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5 - STOCKEURS/02-FORET-VERGERS/2-NOTIFIE/286-B-CHAMBON-NAQ(47)-BASTIDE-Manente-LabastideCastelAmouroux&amp;GrézetCabagnan-22,549ha/"/>
    </mc:Choice>
  </mc:AlternateContent>
  <xr:revisionPtr revIDLastSave="0" documentId="13_ncr:1_{30DDE315-918B-3C4B-B5DD-179F18B04AD8}" xr6:coauthVersionLast="47" xr6:coauthVersionMax="47" xr10:uidLastSave="{00000000-0000-0000-0000-000000000000}"/>
  <bookViews>
    <workbookView xWindow="3260" yWindow="760" windowWidth="21600" windowHeight="11180" tabRatio="866" activeTab="6" xr2:uid="{00000000-000D-0000-FFFF-FFFF00000000}"/>
  </bookViews>
  <sheets>
    <sheet name="Accueil" sheetId="5" r:id="rId1"/>
    <sheet name="Données projet" sheetId="1" r:id="rId2"/>
    <sheet name="Calculateur" sheetId="2" state="hidden" r:id="rId3"/>
    <sheet name="Paramètres" sheetId="3" state="hidden" r:id="rId4"/>
    <sheet name="Scénario référence" sheetId="7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L3" i="2" s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G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A155" i="2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C159" i="2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HH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EC162" i="2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B163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DH164" i="2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EB167" i="2"/>
  <c r="FR167" i="2"/>
  <c r="EC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W168" i="2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HI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FQ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FS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HH186" i="2"/>
  <c r="HG186" i="2"/>
  <c r="ED185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B189" i="2"/>
  <c r="EV189" i="2"/>
  <c r="EY189" i="2" s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AX187" i="2"/>
  <c r="EW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EB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DI200" i="2" l="1"/>
  <c r="HG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I202" i="2" l="1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58" i="2" a="1"/>
  <c r="BC58" i="2" s="1"/>
  <c r="BC126" i="2" a="1"/>
  <c r="BC126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129" i="2" a="1"/>
  <c r="CS129" i="2" s="1"/>
  <c r="DN41" i="2" a="1"/>
  <c r="DN41" i="2" s="1"/>
  <c r="DN29" i="2" a="1"/>
  <c r="DN29" i="2" s="1"/>
  <c r="DN115" i="2" a="1"/>
  <c r="DN115" i="2" s="1"/>
  <c r="DN177" i="2" a="1"/>
  <c r="DN177" i="2" s="1"/>
  <c r="EI195" i="2" a="1"/>
  <c r="EI195" i="2" s="1"/>
  <c r="CS137" i="2" a="1"/>
  <c r="CS137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32" i="2" a="1"/>
  <c r="BC32" i="2" s="1"/>
  <c r="BC185" i="2" a="1"/>
  <c r="BC185" i="2" s="1"/>
  <c r="BC38" i="2" a="1"/>
  <c r="BC3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66" i="2" l="1" a="1"/>
  <c r="AH166" i="2" s="1"/>
  <c r="CS116" i="2" a="1"/>
  <c r="CS116" i="2" s="1"/>
  <c r="CS52" i="2" a="1"/>
  <c r="CS52" i="2" s="1"/>
  <c r="BC143" i="2" a="1"/>
  <c r="BC143" i="2" s="1"/>
  <c r="BC164" i="2" a="1"/>
  <c r="BC164" i="2" s="1"/>
  <c r="BC181" i="2" a="1"/>
  <c r="BC181" i="2" s="1"/>
  <c r="BC82" i="2" a="1"/>
  <c r="BC82" i="2" s="1"/>
  <c r="BC34" i="2" a="1"/>
  <c r="BC34" i="2" s="1"/>
  <c r="BC83" i="2" a="1"/>
  <c r="BC83" i="2" s="1"/>
  <c r="BC151" i="2" a="1"/>
  <c r="BC151" i="2" s="1"/>
  <c r="BC31" i="2" a="1"/>
  <c r="BC31" i="2" s="1"/>
  <c r="BC192" i="2" a="1"/>
  <c r="BC192" i="2" s="1"/>
  <c r="BC65" i="2" a="1"/>
  <c r="BC65" i="2" s="1"/>
  <c r="BC47" i="2" a="1"/>
  <c r="BC47" i="2" s="1"/>
  <c r="BC18" i="2" a="1"/>
  <c r="BC18" i="2" s="1"/>
  <c r="BC7" i="2" a="1"/>
  <c r="BC7" i="2" s="1"/>
  <c r="BC84" i="2" a="1"/>
  <c r="BC84" i="2" s="1"/>
  <c r="BC55" i="2" a="1"/>
  <c r="BC55" i="2" s="1"/>
  <c r="BC114" i="2" a="1"/>
  <c r="BC114" i="2" s="1"/>
  <c r="BC68" i="2" a="1"/>
  <c r="BC68" i="2" s="1"/>
  <c r="AH163" i="2" a="1"/>
  <c r="AH163" i="2" s="1"/>
  <c r="AH151" i="2" a="1"/>
  <c r="AH151" i="2" s="1"/>
  <c r="AH62" i="2" a="1"/>
  <c r="AH62" i="2" s="1"/>
  <c r="DN103" i="2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I203" i="2" s="1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9" i="2"/>
  <c r="FZ10" i="2" s="1"/>
  <c r="FZ11" i="2" s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<sst xmlns="http://schemas.openxmlformats.org/spreadsheetml/2006/main" count="1119" uniqueCount="329">
  <si>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</si>
  <si>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</si>
  <si>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</si>
  <si>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</si>
  <si>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</si>
  <si>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</si>
  <si>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</si>
  <si>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</si>
  <si>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</si>
  <si>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</si>
  <si>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</si>
  <si>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</si>
  <si>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</si>
  <si>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</si>
  <si>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</si>
  <si>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</si>
  <si>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</si>
  <si>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</si>
  <si>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</si>
  <si>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</si>
  <si>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</si>
  <si>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</si>
  <si>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</si>
  <si>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</si>
  <si>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</si>
  <si>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</si>
  <si>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</si>
  <si>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</si>
  <si>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</si>
  <si>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</si>
  <si>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</si>
  <si>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</si>
  <si>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</si>
  <si>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</si>
  <si>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</si>
  <si>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</si>
  <si>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</si>
  <si>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</si>
  <si>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</si>
  <si>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</si>
  <si>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</si>
  <si>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</si>
  <si>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</si>
  <si>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</si>
  <si>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</si>
  <si>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</si>
  <si>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</si>
  <si>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</si>
  <si>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</si>
  <si>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</si>
  <si>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</si>
  <si>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</si>
  <si>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</si>
  <si>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</si>
  <si>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</si>
  <si>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</si>
  <si>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</si>
  <si>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</si>
  <si>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</si>
  <si>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</si>
  <si>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</si>
  <si>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</si>
  <si>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</si>
  <si>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</si>
  <si>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</si>
  <si>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</si>
  <si>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</si>
  <si>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</si>
  <si>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</si>
  <si>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</si>
  <si>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</si>
  <si>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</si>
  <si>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</si>
  <si>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</si>
  <si>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</si>
  <si>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</si>
  <si>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</si>
  <si>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</si>
  <si>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</si>
  <si>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</si>
  <si>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</si>
  <si>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</si>
  <si>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</si>
  <si>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</si>
  <si>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</si>
  <si>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</si>
  <si>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</si>
  <si>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</si>
  <si>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</si>
  <si>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</si>
  <si>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</si>
  <si>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</si>
  <si>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</si>
  <si>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</si>
  <si>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</si>
  <si>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</si>
  <si>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</si>
  <si>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</si>
  <si>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</si>
  <si>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</si>
  <si>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</si>
  <si>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</si>
  <si>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</si>
  <si>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</si>
  <si>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</si>
  <si>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</si>
  <si>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</si>
  <si>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</si>
  <si>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</si>
  <si>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</si>
  <si>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</si>
  <si>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</si>
  <si>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</si>
  <si>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</si>
  <si>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</si>
  <si>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</si>
  <si>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</si>
  <si>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</si>
  <si>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</si>
  <si>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</si>
  <si>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</si>
  <si>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</si>
  <si>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</si>
  <si>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</si>
  <si>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</si>
  <si>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</si>
  <si>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</si>
  <si>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</si>
  <si>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</si>
  <si>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</si>
  <si>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</si>
  <si>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</si>
  <si>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</si>
  <si>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</si>
  <si>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</si>
  <si>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</si>
  <si>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</si>
  <si>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</si>
  <si>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</si>
  <si>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</si>
  <si>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</si>
  <si>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</si>
  <si>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</si>
  <si>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</si>
  <si>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</si>
  <si>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</si>
  <si>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</si>
  <si>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</si>
  <si>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</si>
  <si>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</si>
  <si>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</si>
  <si>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</si>
  <si>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</si>
  <si>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</si>
  <si>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</si>
  <si>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</si>
  <si>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</si>
  <si>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</si>
  <si>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</si>
  <si>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</si>
  <si>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</si>
  <si>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</si>
  <si>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</si>
  <si>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</si>
  <si>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</si>
  <si>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</si>
  <si>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</si>
  <si>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</si>
  <si>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</si>
  <si>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</si>
  <si>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</si>
  <si>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</si>
  <si>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</si>
  <si>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</si>
  <si>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</si>
  <si>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</si>
  <si>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</si>
  <si>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</si>
  <si>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</si>
  <si>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</si>
  <si>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</si>
  <si>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</si>
  <si>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</si>
  <si>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</si>
  <si>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</si>
  <si>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</si>
  <si>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</si>
  <si>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</si>
  <si>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</si>
  <si>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</si>
  <si>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</si>
  <si>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</si>
  <si>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</si>
  <si>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</si>
  <si>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</si>
  <si>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</si>
  <si>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</si>
  <si>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</si>
  <si>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</si>
  <si>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</si>
  <si>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</si>
  <si>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</si>
  <si>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</si>
  <si>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</si>
  <si>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</si>
  <si>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</si>
  <si>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</si>
  <si>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</si>
  <si>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</si>
  <si>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</si>
  <si>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</si>
  <si>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</si>
  <si>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</si>
  <si>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</si>
  <si>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</si>
  <si>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</si>
  <si>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</si>
  <si>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</si>
  <si>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</si>
  <si>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</si>
  <si>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</si>
  <si>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</si>
  <si>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</si>
  <si>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</si>
  <si>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</si>
  <si>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</si>
  <si>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</si>
  <si>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</si>
  <si>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</si>
  <si>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</si>
  <si>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</si>
  <si>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</si>
  <si>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</si>
  <si>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</si>
  <si>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</si>
  <si>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</si>
  <si>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</si>
  <si>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</si>
  <si>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</si>
  <si>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</si>
  <si>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</si>
  <si>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</si>
  <si>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</si>
  <si>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</si>
  <si>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</si>
  <si>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</si>
  <si>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</si>
  <si>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</si>
  <si>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</si>
  <si>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</si>
  <si>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</si>
  <si>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</si>
  <si>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</si>
  <si>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</si>
  <si>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</si>
  <si>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</si>
  <si>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</si>
  <si>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</si>
  <si>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</si>
  <si>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</si>
  <si>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</si>
  <si>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</si>
  <si>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</si>
  <si>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</si>
  <si>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</si>
  <si>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</si>
  <si>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</si>
  <si>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</si>
  <si>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</si>
  <si>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</si>
  <si>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</si>
  <si>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</si>
  <si>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</si>
  <si>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</si>
  <si>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</si>
  <si>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</si>
  <si>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</si>
  <si>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</si>
  <si>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</si>
  <si>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</si>
  <si>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</si>
  <si>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</si>
  <si>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</si>
  <si>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</si>
  <si>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</si>
  <si>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</si>
  <si>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</si>
  <si>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</si>
  <si>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</si>
  <si>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</si>
  <si>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</si>
  <si>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</si>
  <si>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</si>
  <si>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</si>
  <si>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</si>
  <si>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</si>
  <si>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</si>
  <si>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</si>
  <si>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</si>
  <si>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</si>
  <si>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</si>
  <si>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</si>
  <si>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</si>
  <si>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</si>
  <si>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</si>
  <si>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</si>
  <si>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</si>
  <si>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</si>
  <si>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</si>
  <si>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</si>
  <si>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</si>
  <si>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</si>
  <si>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</si>
  <si>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</si>
  <si>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</si>
  <si>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</si>
  <si>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</si>
  <si>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</si>
  <si>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</si>
  <si>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</si>
  <si>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</si>
  <si>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</si>
  <si>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</si>
  <si>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</si>
  <si>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Riche fraiche</t>
  </si>
  <si>
    <t xml:space="preserve">Vesten </t>
  </si>
  <si>
    <t>Moncalvo</t>
  </si>
  <si>
    <t>Rona</t>
  </si>
  <si>
    <t>AF8 en koster riche fraiche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</si>
</sst>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1.717976552924626</c:v>
                </c:pt>
                <c:pt idx="2">
                  <c:v>2.2240299440090214</c:v>
                </c:pt>
                <c:pt idx="3">
                  <c:v>2.8797580405780443</c:v>
                </c:pt>
                <c:pt idx="4">
                  <c:v>3.7296002679201314</c:v>
                </c:pt>
                <c:pt idx="5">
                  <c:v>4.83123780824004</c:v>
                </c:pt>
                <c:pt idx="6">
                  <c:v>6.2595524240560687</c:v>
                </c:pt>
                <c:pt idx="7">
                  <c:v>34.340499100461251</c:v>
                </c:pt>
                <c:pt idx="8">
                  <c:v>69.596399363316891</c:v>
                </c:pt>
                <c:pt idx="9">
                  <c:v>111.06781871657756</c:v>
                </c:pt>
                <c:pt idx="10">
                  <c:v>151.04486212599508</c:v>
                </c:pt>
                <c:pt idx="11">
                  <c:v>197.36812151889237</c:v>
                </c:pt>
                <c:pt idx="12">
                  <c:v>240.1539339323198</c:v>
                </c:pt>
                <c:pt idx="13">
                  <c:v>286.03728369813439</c:v>
                </c:pt>
                <c:pt idx="14">
                  <c:v>325.23346359087509</c:v>
                </c:pt>
                <c:pt idx="15">
                  <c:v>365.40973944635829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1.717976552924626</c:v>
                </c:pt>
                <c:pt idx="2">
                  <c:v>2.2240299440090214</c:v>
                </c:pt>
                <c:pt idx="3">
                  <c:v>2.8797580405780443</c:v>
                </c:pt>
                <c:pt idx="4">
                  <c:v>3.7296002679201314</c:v>
                </c:pt>
                <c:pt idx="5">
                  <c:v>4.83123780824004</c:v>
                </c:pt>
                <c:pt idx="6">
                  <c:v>6.2595524240560687</c:v>
                </c:pt>
                <c:pt idx="7">
                  <c:v>34.340499100461251</c:v>
                </c:pt>
                <c:pt idx="8">
                  <c:v>69.596399363316891</c:v>
                </c:pt>
                <c:pt idx="9">
                  <c:v>111.06781871657756</c:v>
                </c:pt>
                <c:pt idx="10">
                  <c:v>151.04486212599508</c:v>
                </c:pt>
                <c:pt idx="11">
                  <c:v>197.36812151889237</c:v>
                </c:pt>
                <c:pt idx="12">
                  <c:v>240.1539339323198</c:v>
                </c:pt>
                <c:pt idx="13">
                  <c:v>286.03728369813439</c:v>
                </c:pt>
                <c:pt idx="14">
                  <c:v>325.23346359087509</c:v>
                </c:pt>
                <c:pt idx="15">
                  <c:v>365.40973944635829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1.7042974025924702</c:v>
                </c:pt>
                <c:pt idx="2">
                  <c:v>2.1887254462288022</c:v>
                </c:pt>
                <c:pt idx="3">
                  <c:v>2.8114063023578826</c:v>
                </c:pt>
                <c:pt idx="4">
                  <c:v>3.6119473150358368</c:v>
                </c:pt>
                <c:pt idx="5">
                  <c:v>4.6413432401622412</c:v>
                </c:pt>
                <c:pt idx="6">
                  <c:v>5.965261048901418</c:v>
                </c:pt>
                <c:pt idx="7">
                  <c:v>7.6682751513835692</c:v>
                </c:pt>
                <c:pt idx="8">
                  <c:v>9.8593288013918841</c:v>
                </c:pt>
                <c:pt idx="9">
                  <c:v>40.075147827011037</c:v>
                </c:pt>
                <c:pt idx="10">
                  <c:v>72.978392622949812</c:v>
                </c:pt>
                <c:pt idx="11">
                  <c:v>107.72202293155276</c:v>
                </c:pt>
                <c:pt idx="12">
                  <c:v>145.50949477852396</c:v>
                </c:pt>
                <c:pt idx="13">
                  <c:v>186.36444976459833</c:v>
                </c:pt>
                <c:pt idx="14">
                  <c:v>222.62393730733984</c:v>
                </c:pt>
                <c:pt idx="15">
                  <c:v>259.84048040204476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1.6879898674949141</c:v>
                </c:pt>
                <c:pt idx="2">
                  <c:v>2.0854566490860464</c:v>
                </c:pt>
                <c:pt idx="3">
                  <c:v>2.5768811064318067</c:v>
                </c:pt>
                <c:pt idx="4">
                  <c:v>3.1845561156178146</c:v>
                </c:pt>
                <c:pt idx="5">
                  <c:v>3.9360821613674299</c:v>
                </c:pt>
                <c:pt idx="6">
                  <c:v>35.362575102179342</c:v>
                </c:pt>
                <c:pt idx="7">
                  <c:v>68.18426908822488</c:v>
                </c:pt>
                <c:pt idx="8">
                  <c:v>105.18874075739923</c:v>
                </c:pt>
                <c:pt idx="9">
                  <c:v>140.72397143205976</c:v>
                </c:pt>
                <c:pt idx="10">
                  <c:v>176.04232886297191</c:v>
                </c:pt>
                <c:pt idx="11">
                  <c:v>212.32525328046401</c:v>
                </c:pt>
                <c:pt idx="12">
                  <c:v>245.08225003541099</c:v>
                </c:pt>
                <c:pt idx="13">
                  <c:v>274.36551974723062</c:v>
                </c:pt>
                <c:pt idx="14">
                  <c:v>300.21113544922036</c:v>
                </c:pt>
                <c:pt idx="15">
                  <c:v>323.76591506204619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1.6879898674949141</c:v>
                </c:pt>
                <c:pt idx="2">
                  <c:v>2.0854566490860464</c:v>
                </c:pt>
                <c:pt idx="3">
                  <c:v>2.5768811064318067</c:v>
                </c:pt>
                <c:pt idx="4">
                  <c:v>3.1845561156178146</c:v>
                </c:pt>
                <c:pt idx="5">
                  <c:v>3.9360821613674299</c:v>
                </c:pt>
                <c:pt idx="6">
                  <c:v>35.362575102179342</c:v>
                </c:pt>
                <c:pt idx="7">
                  <c:v>68.18426908822488</c:v>
                </c:pt>
                <c:pt idx="8">
                  <c:v>105.18874075739923</c:v>
                </c:pt>
                <c:pt idx="9">
                  <c:v>140.72397143205976</c:v>
                </c:pt>
                <c:pt idx="10">
                  <c:v>176.04232886297191</c:v>
                </c:pt>
                <c:pt idx="11">
                  <c:v>212.32525328046401</c:v>
                </c:pt>
                <c:pt idx="12">
                  <c:v>245.08225003541099</c:v>
                </c:pt>
                <c:pt idx="13">
                  <c:v>274.36551974723062</c:v>
                </c:pt>
                <c:pt idx="14">
                  <c:v>300.21113544922036</c:v>
                </c:pt>
                <c:pt idx="15">
                  <c:v>323.76591506204619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56" t="s">
        <v>291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ht="15" customHeight="1" x14ac:dyDescent="0.2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ht="15" customHeight="1" x14ac:dyDescent="0.2"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ht="18.75" customHeight="1" x14ac:dyDescent="0.2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ht="18.75" customHeight="1" x14ac:dyDescent="0.2"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8" spans="2:13" ht="12" customHeight="1" x14ac:dyDescent="0.2">
      <c r="B18" s="256" t="s">
        <v>292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ht="12" customHeight="1" x14ac:dyDescent="0.2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ht="12" customHeight="1" x14ac:dyDescent="0.2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ht="12" customHeight="1" x14ac:dyDescent="0.2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ht="12" customHeight="1" x14ac:dyDescent="0.2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ht="12" customHeight="1" x14ac:dyDescent="0.2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ht="12" customHeight="1" x14ac:dyDescent="0.2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ht="12" customHeight="1" x14ac:dyDescent="0.2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ht="12" customHeight="1" x14ac:dyDescent="0.2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ht="12" customHeight="1" x14ac:dyDescent="0.2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ht="12" customHeight="1" x14ac:dyDescent="0.2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ht="12" customHeight="1" x14ac:dyDescent="0.2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ht="12" customHeight="1" x14ac:dyDescent="0.2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ht="12" customHeight="1" x14ac:dyDescent="0.2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89" zoomScale="80" zoomScaleNormal="80" workbookViewId="0">
      <selection activeCell="C9" sqref="C9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57" t="s">
        <v>190</v>
      </c>
      <c r="D1" s="257"/>
      <c r="E1" s="25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2" t="s">
        <v>192</v>
      </c>
      <c r="C3" s="263"/>
      <c r="D3" s="263"/>
      <c r="E3" s="263"/>
      <c r="F3" s="264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67" t="s">
        <v>231</v>
      </c>
      <c r="B5" s="267"/>
      <c r="C5" s="24">
        <v>22.548999999999999</v>
      </c>
      <c r="D5" s="268" t="s">
        <v>229</v>
      </c>
      <c r="E5" s="269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6" t="s">
        <v>226</v>
      </c>
      <c r="B7" s="266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112</v>
      </c>
      <c r="C9" s="32">
        <v>0.3261</v>
      </c>
      <c r="D9" s="33">
        <f t="shared" ref="D9:D18" si="0">C9*$C$5</f>
        <v>7.3532288999999995</v>
      </c>
      <c r="E9" s="34">
        <v>15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 t="s">
        <v>112</v>
      </c>
      <c r="C10" s="32">
        <v>0.21740000000000001</v>
      </c>
      <c r="D10" s="33">
        <f t="shared" si="0"/>
        <v>4.9021526</v>
      </c>
      <c r="E10" s="34">
        <v>15</v>
      </c>
      <c r="F10" s="35" t="str">
        <f t="array" ref="F10">IF(E10="","",IF(INDEX(A:A,MAX(IF(ISNUMBER($A$62:$A$81),ROW($A$62:$A$81),"")))&lt;&gt;E10,"Corrigez : révolution incorrecte","OK"))</f>
        <v>OK</v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 t="s">
        <v>112</v>
      </c>
      <c r="C11" s="32">
        <v>0.1087</v>
      </c>
      <c r="D11" s="33">
        <f t="shared" si="0"/>
        <v>2.4510763</v>
      </c>
      <c r="E11" s="34">
        <v>15</v>
      </c>
      <c r="F11" s="35" t="str">
        <f t="array" ref="F11">IF(E11="","",IF(INDEX(A:A,MAX(IF(ISNUMBER($A$88:$A$107),ROW($A$88:$A$107),"")))&lt;&gt;E11,"Corrigez : révolution incorrecte","OK"))</f>
        <v>OK</v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 t="s">
        <v>123</v>
      </c>
      <c r="C12" s="32">
        <v>0.21740000000000001</v>
      </c>
      <c r="D12" s="33">
        <f t="shared" si="0"/>
        <v>4.9021526</v>
      </c>
      <c r="E12" s="34">
        <v>15</v>
      </c>
      <c r="F12" s="35" t="str">
        <f t="array" ref="F12">IF(E12="","",IF(INDEX(A:A,MAX(IF(ISNUMBER($A$114:$A$133),ROW($A$114:$A$133),"")))&lt;&gt;E12,"Corrigez : révolution incorrecte","OK"))</f>
        <v>OK</v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 t="s">
        <v>123</v>
      </c>
      <c r="C13" s="32">
        <v>0.13039999999999999</v>
      </c>
      <c r="D13" s="33">
        <f t="shared" si="0"/>
        <v>2.9403895999999996</v>
      </c>
      <c r="E13" s="34">
        <v>15</v>
      </c>
      <c r="F13" s="35" t="str">
        <f t="array" ref="F13">IF(E13="","",IF(INDEX(A:A,MAX(IF(ISNUMBER($A$140:$A$159),ROW($A$140:$A$159),"")))&lt;&gt;E13,"Corrigez : révolution incorrecte","OK"))</f>
        <v>OK</v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1</v>
      </c>
      <c r="D19" s="38">
        <f>SUM(D9:D18)</f>
        <v>22.548999999999999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0.05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6" t="s">
        <v>227</v>
      </c>
      <c r="B30" s="266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Peuplier Koster</v>
      </c>
      <c r="C32" s="23" t="s">
        <v>324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6</v>
      </c>
      <c r="B36" s="60">
        <v>5</v>
      </c>
      <c r="C36" s="60">
        <v>0</v>
      </c>
      <c r="D36" s="60">
        <v>0</v>
      </c>
      <c r="E36" s="51">
        <v>0.47</v>
      </c>
      <c r="F36" s="51">
        <v>0.21</v>
      </c>
      <c r="G36" s="51"/>
      <c r="H36" s="51">
        <v>0.31</v>
      </c>
      <c r="I36" s="49">
        <f>IFERROR(B36/A36,"")</f>
        <v>0.83333333333333337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7</v>
      </c>
      <c r="B37" s="60">
        <v>29</v>
      </c>
      <c r="C37" s="60">
        <v>0</v>
      </c>
      <c r="D37" s="60">
        <v>0</v>
      </c>
      <c r="E37" s="51">
        <v>0.47</v>
      </c>
      <c r="F37" s="51">
        <v>0.21</v>
      </c>
      <c r="G37" s="51"/>
      <c r="H37" s="51">
        <v>0.31</v>
      </c>
      <c r="I37" s="53">
        <f t="shared" ref="I37:I55" si="1">IF(A37&lt;&gt;0,(B37-(B36-D36))/(A37-A36),"")</f>
        <v>24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8</v>
      </c>
      <c r="B38" s="60">
        <v>60</v>
      </c>
      <c r="C38" s="60">
        <v>0</v>
      </c>
      <c r="D38" s="60">
        <v>0</v>
      </c>
      <c r="E38" s="51">
        <v>0.47</v>
      </c>
      <c r="F38" s="51">
        <v>0.21</v>
      </c>
      <c r="G38" s="51"/>
      <c r="H38" s="51">
        <v>0.31</v>
      </c>
      <c r="I38" s="53">
        <f t="shared" si="1"/>
        <v>31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9</v>
      </c>
      <c r="B39" s="60">
        <v>97</v>
      </c>
      <c r="C39" s="60">
        <v>0</v>
      </c>
      <c r="D39" s="60">
        <v>0</v>
      </c>
      <c r="E39" s="51">
        <v>0.47</v>
      </c>
      <c r="F39" s="51">
        <v>0.21</v>
      </c>
      <c r="G39" s="51"/>
      <c r="H39" s="51">
        <v>0.31</v>
      </c>
      <c r="I39" s="49">
        <f t="shared" si="1"/>
        <v>37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>
        <v>10</v>
      </c>
      <c r="B40" s="60">
        <v>133</v>
      </c>
      <c r="C40" s="60">
        <v>0</v>
      </c>
      <c r="D40" s="60">
        <v>0</v>
      </c>
      <c r="E40" s="51">
        <v>0.47</v>
      </c>
      <c r="F40" s="51">
        <v>0.21</v>
      </c>
      <c r="G40" s="51"/>
      <c r="H40" s="51">
        <v>0.31</v>
      </c>
      <c r="I40" s="49">
        <f t="shared" si="1"/>
        <v>36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>
        <v>11</v>
      </c>
      <c r="B41" s="60">
        <v>175</v>
      </c>
      <c r="C41" s="60">
        <v>0</v>
      </c>
      <c r="D41" s="60">
        <v>0</v>
      </c>
      <c r="E41" s="51">
        <v>0.47</v>
      </c>
      <c r="F41" s="51">
        <v>0.21</v>
      </c>
      <c r="G41" s="51"/>
      <c r="H41" s="51">
        <v>0.31</v>
      </c>
      <c r="I41" s="53">
        <f t="shared" si="1"/>
        <v>42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>
        <v>12</v>
      </c>
      <c r="B42" s="60">
        <v>214</v>
      </c>
      <c r="C42" s="60">
        <v>0</v>
      </c>
      <c r="D42" s="60">
        <v>0</v>
      </c>
      <c r="E42" s="51">
        <v>0.47</v>
      </c>
      <c r="F42" s="51">
        <v>0.21</v>
      </c>
      <c r="G42" s="51"/>
      <c r="H42" s="51">
        <v>0.31</v>
      </c>
      <c r="I42" s="53">
        <f t="shared" si="1"/>
        <v>39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>
        <v>13</v>
      </c>
      <c r="B43" s="60">
        <v>256</v>
      </c>
      <c r="C43" s="60">
        <v>0</v>
      </c>
      <c r="D43" s="60">
        <v>0</v>
      </c>
      <c r="E43" s="51">
        <v>0.47</v>
      </c>
      <c r="F43" s="51">
        <v>0.21</v>
      </c>
      <c r="G43" s="51"/>
      <c r="H43" s="51">
        <v>0.31</v>
      </c>
      <c r="I43" s="49">
        <f t="shared" si="1"/>
        <v>42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>
        <v>14</v>
      </c>
      <c r="B44" s="60">
        <v>292</v>
      </c>
      <c r="C44" s="60">
        <v>0</v>
      </c>
      <c r="D44" s="60">
        <v>0</v>
      </c>
      <c r="E44" s="51">
        <v>0.47</v>
      </c>
      <c r="F44" s="51">
        <v>0.21</v>
      </c>
      <c r="G44" s="51"/>
      <c r="H44" s="51">
        <v>0.31</v>
      </c>
      <c r="I44" s="49">
        <f t="shared" si="1"/>
        <v>36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>
        <v>15</v>
      </c>
      <c r="B45" s="60">
        <v>329</v>
      </c>
      <c r="C45" s="60">
        <v>1</v>
      </c>
      <c r="D45" s="60">
        <v>329</v>
      </c>
      <c r="E45" s="51">
        <v>0.47</v>
      </c>
      <c r="F45" s="51">
        <v>0.21</v>
      </c>
      <c r="G45" s="51"/>
      <c r="H45" s="51">
        <v>0.31</v>
      </c>
      <c r="I45" s="49">
        <f t="shared" si="1"/>
        <v>37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>Peuplier Koster</v>
      </c>
      <c r="C58" s="23" t="s">
        <v>328</v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>
        <v>6</v>
      </c>
      <c r="B62" s="60">
        <v>5</v>
      </c>
      <c r="C62" s="60">
        <v>0</v>
      </c>
      <c r="D62" s="60">
        <v>0</v>
      </c>
      <c r="E62" s="51">
        <v>0.47</v>
      </c>
      <c r="F62" s="51">
        <v>0.21</v>
      </c>
      <c r="G62" s="51"/>
      <c r="H62" s="51">
        <v>0.31</v>
      </c>
      <c r="I62" s="53">
        <f>IFERROR(B62/A62,"")</f>
        <v>0.83333333333333337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>
        <v>7</v>
      </c>
      <c r="B63" s="60">
        <v>29</v>
      </c>
      <c r="C63" s="60">
        <v>0</v>
      </c>
      <c r="D63" s="60">
        <v>0</v>
      </c>
      <c r="E63" s="51">
        <v>0.47</v>
      </c>
      <c r="F63" s="51">
        <v>0.21</v>
      </c>
      <c r="G63" s="51"/>
      <c r="H63" s="51">
        <v>0.31</v>
      </c>
      <c r="I63" s="49">
        <f>IF(A63&lt;&gt;0,(B63-(B62-D62))/(A63-A62),"")</f>
        <v>24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>
        <v>8</v>
      </c>
      <c r="B64" s="60">
        <v>60</v>
      </c>
      <c r="C64" s="60">
        <v>0</v>
      </c>
      <c r="D64" s="60">
        <v>0</v>
      </c>
      <c r="E64" s="51">
        <v>0.47</v>
      </c>
      <c r="F64" s="51">
        <v>0.21</v>
      </c>
      <c r="G64" s="51"/>
      <c r="H64" s="51">
        <v>0.31</v>
      </c>
      <c r="I64" s="49">
        <f>IF(A64&lt;&gt;0,(B64-(B63-D63))/(A64-A63),"")</f>
        <v>31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>
        <v>9</v>
      </c>
      <c r="B65" s="60">
        <v>97</v>
      </c>
      <c r="C65" s="60">
        <v>0</v>
      </c>
      <c r="D65" s="60">
        <v>0</v>
      </c>
      <c r="E65" s="51">
        <v>0.47</v>
      </c>
      <c r="F65" s="51">
        <v>0.21</v>
      </c>
      <c r="G65" s="51"/>
      <c r="H65" s="51">
        <v>0.31</v>
      </c>
      <c r="I65" s="49">
        <f>IF(A65&lt;&gt;0,(B65-(B64-D64))/(A65-A64),"")</f>
        <v>37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>
        <v>10</v>
      </c>
      <c r="B66" s="60">
        <v>133</v>
      </c>
      <c r="C66" s="60">
        <v>0</v>
      </c>
      <c r="D66" s="60">
        <v>0</v>
      </c>
      <c r="E66" s="51">
        <v>0.47</v>
      </c>
      <c r="F66" s="51">
        <v>0.21</v>
      </c>
      <c r="G66" s="51"/>
      <c r="H66" s="51">
        <v>0.31</v>
      </c>
      <c r="I66" s="49">
        <f t="shared" ref="I66:I81" si="2">IF(A66&lt;&gt;0,(B66-(B65-D65))/(A66-A65),"")</f>
        <v>36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>
        <v>11</v>
      </c>
      <c r="B67" s="60">
        <v>175</v>
      </c>
      <c r="C67" s="60">
        <v>0</v>
      </c>
      <c r="D67" s="60">
        <v>0</v>
      </c>
      <c r="E67" s="51">
        <v>0.47</v>
      </c>
      <c r="F67" s="51">
        <v>0.21</v>
      </c>
      <c r="G67" s="51"/>
      <c r="H67" s="51">
        <v>0.31</v>
      </c>
      <c r="I67" s="49">
        <f t="shared" si="2"/>
        <v>42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>
        <v>12</v>
      </c>
      <c r="B68" s="60">
        <v>214</v>
      </c>
      <c r="C68" s="60">
        <v>0</v>
      </c>
      <c r="D68" s="60">
        <v>0</v>
      </c>
      <c r="E68" s="51">
        <v>0.47</v>
      </c>
      <c r="F68" s="51">
        <v>0.21</v>
      </c>
      <c r="G68" s="51"/>
      <c r="H68" s="51">
        <v>0.31</v>
      </c>
      <c r="I68" s="49">
        <f t="shared" si="2"/>
        <v>39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>
        <v>13</v>
      </c>
      <c r="B69" s="50">
        <v>256</v>
      </c>
      <c r="C69" s="50">
        <v>0</v>
      </c>
      <c r="D69" s="50">
        <v>0</v>
      </c>
      <c r="E69" s="51">
        <v>0.47</v>
      </c>
      <c r="F69" s="51">
        <v>0.21</v>
      </c>
      <c r="G69" s="51"/>
      <c r="H69" s="51">
        <v>0.31</v>
      </c>
      <c r="I69" s="49">
        <f t="shared" si="2"/>
        <v>42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>
        <v>14</v>
      </c>
      <c r="B70" s="50">
        <v>292</v>
      </c>
      <c r="C70" s="50">
        <v>0</v>
      </c>
      <c r="D70" s="50">
        <v>0</v>
      </c>
      <c r="E70" s="51">
        <v>0.47</v>
      </c>
      <c r="F70" s="51">
        <v>0.21</v>
      </c>
      <c r="G70" s="51"/>
      <c r="H70" s="51">
        <v>0.31</v>
      </c>
      <c r="I70" s="49">
        <f t="shared" si="2"/>
        <v>36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>
        <v>15</v>
      </c>
      <c r="B71" s="50">
        <v>329</v>
      </c>
      <c r="C71" s="50">
        <v>1</v>
      </c>
      <c r="D71" s="50">
        <v>329</v>
      </c>
      <c r="E71" s="51">
        <v>0.47</v>
      </c>
      <c r="F71" s="51">
        <v>0.21</v>
      </c>
      <c r="G71" s="51"/>
      <c r="H71" s="51">
        <v>0.31</v>
      </c>
      <c r="I71" s="49">
        <f t="shared" si="2"/>
        <v>37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>Peuplier Koster</v>
      </c>
      <c r="C84" s="23" t="s">
        <v>325</v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>
        <v>8</v>
      </c>
      <c r="B88" s="60">
        <v>8</v>
      </c>
      <c r="C88" s="60">
        <v>0</v>
      </c>
      <c r="D88" s="60">
        <v>0</v>
      </c>
      <c r="E88" s="51">
        <v>0.47</v>
      </c>
      <c r="F88" s="51">
        <v>0.21</v>
      </c>
      <c r="G88" s="51"/>
      <c r="H88" s="87">
        <v>0.31</v>
      </c>
      <c r="I88" s="53">
        <f>IFERROR(B88/A88,"")</f>
        <v>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>
        <v>9</v>
      </c>
      <c r="B89" s="60">
        <v>34</v>
      </c>
      <c r="C89" s="60">
        <v>0</v>
      </c>
      <c r="D89" s="60">
        <v>0</v>
      </c>
      <c r="E89" s="51">
        <v>0.47</v>
      </c>
      <c r="F89" s="51">
        <v>0.21</v>
      </c>
      <c r="G89" s="51"/>
      <c r="H89" s="87">
        <v>0.31</v>
      </c>
      <c r="I89" s="53">
        <f t="shared" ref="I89:I107" si="3">IF(A89&lt;&gt;0,(B89-(B88-D88))/(A89-A88),"")</f>
        <v>26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>
        <v>10</v>
      </c>
      <c r="B90" s="60">
        <v>63</v>
      </c>
      <c r="C90" s="60">
        <v>0</v>
      </c>
      <c r="D90" s="60">
        <v>0</v>
      </c>
      <c r="E90" s="87">
        <v>0.47</v>
      </c>
      <c r="F90" s="87">
        <v>0.21</v>
      </c>
      <c r="G90" s="87"/>
      <c r="H90" s="87">
        <v>0.31</v>
      </c>
      <c r="I90" s="53">
        <f t="shared" si="3"/>
        <v>29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>
        <v>11</v>
      </c>
      <c r="B91" s="60">
        <v>94</v>
      </c>
      <c r="C91" s="60">
        <v>0</v>
      </c>
      <c r="D91" s="60">
        <v>0</v>
      </c>
      <c r="E91" s="87">
        <v>0.47</v>
      </c>
      <c r="F91" s="87">
        <v>0.21</v>
      </c>
      <c r="G91" s="87"/>
      <c r="H91" s="87">
        <v>0.31</v>
      </c>
      <c r="I91" s="53">
        <f t="shared" si="3"/>
        <v>31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>
        <v>12</v>
      </c>
      <c r="B92" s="60">
        <v>128</v>
      </c>
      <c r="C92" s="60">
        <v>0</v>
      </c>
      <c r="D92" s="60">
        <v>0</v>
      </c>
      <c r="E92" s="87">
        <v>0.47</v>
      </c>
      <c r="F92" s="87">
        <v>0.21</v>
      </c>
      <c r="G92" s="87"/>
      <c r="H92" s="87">
        <v>0.31</v>
      </c>
      <c r="I92" s="53">
        <f t="shared" si="3"/>
        <v>34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>
        <v>13</v>
      </c>
      <c r="B93" s="60">
        <v>165</v>
      </c>
      <c r="C93" s="60">
        <v>0</v>
      </c>
      <c r="D93" s="60">
        <v>0</v>
      </c>
      <c r="E93" s="87">
        <v>0.47</v>
      </c>
      <c r="F93" s="87">
        <v>0.21</v>
      </c>
      <c r="G93" s="87"/>
      <c r="H93" s="87">
        <v>0.31</v>
      </c>
      <c r="I93" s="53">
        <f t="shared" si="3"/>
        <v>37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>
        <v>14</v>
      </c>
      <c r="B94" s="60">
        <v>198</v>
      </c>
      <c r="C94" s="60">
        <v>0</v>
      </c>
      <c r="D94" s="60">
        <v>0</v>
      </c>
      <c r="E94" s="87">
        <v>0.47</v>
      </c>
      <c r="F94" s="87">
        <v>0.21</v>
      </c>
      <c r="G94" s="87"/>
      <c r="H94" s="87">
        <v>0.31</v>
      </c>
      <c r="I94" s="53">
        <f t="shared" si="3"/>
        <v>33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60">
        <v>15</v>
      </c>
      <c r="B95" s="60">
        <v>232</v>
      </c>
      <c r="C95" s="60">
        <v>1</v>
      </c>
      <c r="D95" s="60">
        <v>232</v>
      </c>
      <c r="E95" s="87">
        <v>0.47</v>
      </c>
      <c r="F95" s="87">
        <v>0.21</v>
      </c>
      <c r="G95" s="87"/>
      <c r="H95" s="87">
        <v>0.31</v>
      </c>
      <c r="I95" s="53">
        <f t="shared" si="3"/>
        <v>34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>Peuplier Dorskamp</v>
      </c>
      <c r="C110" s="23" t="s">
        <v>326</v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>
        <v>5</v>
      </c>
      <c r="B114" s="60">
        <v>3</v>
      </c>
      <c r="C114" s="50">
        <v>0</v>
      </c>
      <c r="D114" s="60">
        <v>0</v>
      </c>
      <c r="E114" s="51">
        <v>0.47</v>
      </c>
      <c r="F114" s="51">
        <v>0.21</v>
      </c>
      <c r="G114" s="51"/>
      <c r="H114" s="51">
        <v>0.31</v>
      </c>
      <c r="I114" s="53">
        <f>IFERROR(B114/A114,"")</f>
        <v>0.6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>
        <v>6</v>
      </c>
      <c r="B115" s="60">
        <v>29</v>
      </c>
      <c r="C115" s="50">
        <v>0</v>
      </c>
      <c r="D115" s="60">
        <v>0</v>
      </c>
      <c r="E115" s="51">
        <v>0.47</v>
      </c>
      <c r="F115" s="51">
        <v>0.21</v>
      </c>
      <c r="G115" s="51"/>
      <c r="H115" s="51">
        <v>0.31</v>
      </c>
      <c r="I115" s="53">
        <f t="shared" ref="I115:I133" si="4">IF(A115&lt;&gt;0,(B115-(B114-D114))/(A115-A114),"")</f>
        <v>26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>
        <v>7</v>
      </c>
      <c r="B116" s="60">
        <v>57</v>
      </c>
      <c r="C116" s="50">
        <v>0</v>
      </c>
      <c r="D116" s="60">
        <v>0</v>
      </c>
      <c r="E116" s="51">
        <v>0.47</v>
      </c>
      <c r="F116" s="51">
        <v>0.21</v>
      </c>
      <c r="G116" s="51"/>
      <c r="H116" s="51">
        <v>0.31</v>
      </c>
      <c r="I116" s="53">
        <f t="shared" si="4"/>
        <v>28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>
        <v>8</v>
      </c>
      <c r="B117" s="60">
        <v>89</v>
      </c>
      <c r="C117" s="50">
        <v>0</v>
      </c>
      <c r="D117" s="60">
        <v>0</v>
      </c>
      <c r="E117" s="51">
        <v>0.47</v>
      </c>
      <c r="F117" s="51">
        <v>0.21</v>
      </c>
      <c r="G117" s="51"/>
      <c r="H117" s="51">
        <v>0.31</v>
      </c>
      <c r="I117" s="53">
        <f t="shared" si="4"/>
        <v>32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>
        <v>9</v>
      </c>
      <c r="B118" s="60">
        <v>120</v>
      </c>
      <c r="C118" s="50">
        <v>0</v>
      </c>
      <c r="D118" s="60">
        <v>0</v>
      </c>
      <c r="E118" s="51">
        <v>0.47</v>
      </c>
      <c r="F118" s="51">
        <v>0.21</v>
      </c>
      <c r="G118" s="51"/>
      <c r="H118" s="51">
        <v>0.31</v>
      </c>
      <c r="I118" s="53">
        <f t="shared" si="4"/>
        <v>31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50">
        <v>10</v>
      </c>
      <c r="B119" s="60">
        <v>151</v>
      </c>
      <c r="C119" s="50">
        <v>0</v>
      </c>
      <c r="D119" s="60">
        <v>0</v>
      </c>
      <c r="E119" s="51">
        <v>0.47</v>
      </c>
      <c r="F119" s="51">
        <v>0.21</v>
      </c>
      <c r="G119" s="51"/>
      <c r="H119" s="51">
        <v>0.31</v>
      </c>
      <c r="I119" s="53">
        <f t="shared" si="4"/>
        <v>31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60">
        <v>11</v>
      </c>
      <c r="B120" s="60">
        <v>183</v>
      </c>
      <c r="C120" s="60">
        <v>0</v>
      </c>
      <c r="D120" s="60">
        <v>0</v>
      </c>
      <c r="E120" s="87">
        <v>0.47</v>
      </c>
      <c r="F120" s="87">
        <v>0.21</v>
      </c>
      <c r="G120" s="87"/>
      <c r="H120" s="87">
        <v>0.31</v>
      </c>
      <c r="I120" s="53">
        <f t="shared" si="4"/>
        <v>32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60">
        <v>12</v>
      </c>
      <c r="B121" s="60">
        <v>212</v>
      </c>
      <c r="C121" s="60">
        <v>0</v>
      </c>
      <c r="D121" s="60">
        <v>0</v>
      </c>
      <c r="E121" s="87">
        <v>0.47</v>
      </c>
      <c r="F121" s="87">
        <v>0.21</v>
      </c>
      <c r="G121" s="87"/>
      <c r="H121" s="87">
        <v>0.31</v>
      </c>
      <c r="I121" s="53">
        <f t="shared" si="4"/>
        <v>29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60">
        <v>13</v>
      </c>
      <c r="B122" s="60">
        <v>238</v>
      </c>
      <c r="C122" s="60">
        <v>0</v>
      </c>
      <c r="D122" s="60">
        <v>0</v>
      </c>
      <c r="E122" s="87">
        <v>0.47</v>
      </c>
      <c r="F122" s="87">
        <v>0.21</v>
      </c>
      <c r="G122" s="87"/>
      <c r="H122" s="87">
        <v>0.31</v>
      </c>
      <c r="I122" s="53">
        <f t="shared" si="4"/>
        <v>26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>
        <v>14</v>
      </c>
      <c r="B123" s="60">
        <v>261</v>
      </c>
      <c r="C123" s="60">
        <v>0</v>
      </c>
      <c r="D123" s="60">
        <v>0</v>
      </c>
      <c r="E123" s="87">
        <v>0.47</v>
      </c>
      <c r="F123" s="87">
        <v>0.21</v>
      </c>
      <c r="G123" s="87"/>
      <c r="H123" s="87">
        <v>0.31</v>
      </c>
      <c r="I123" s="53">
        <f t="shared" si="4"/>
        <v>23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>
        <v>15</v>
      </c>
      <c r="B124" s="60">
        <v>282</v>
      </c>
      <c r="C124" s="60">
        <v>1</v>
      </c>
      <c r="D124" s="60">
        <v>282</v>
      </c>
      <c r="E124" s="87">
        <v>0.47</v>
      </c>
      <c r="F124" s="87">
        <v>0.21</v>
      </c>
      <c r="G124" s="87"/>
      <c r="H124" s="87">
        <v>0.31</v>
      </c>
      <c r="I124" s="53">
        <f t="shared" si="4"/>
        <v>21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>Peuplier Dorskamp</v>
      </c>
      <c r="C136" s="23" t="s">
        <v>327</v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>
        <v>5</v>
      </c>
      <c r="B140" s="60">
        <v>3</v>
      </c>
      <c r="C140" s="50">
        <v>0</v>
      </c>
      <c r="D140" s="60">
        <v>0</v>
      </c>
      <c r="E140" s="51">
        <v>0.47</v>
      </c>
      <c r="F140" s="51">
        <v>0.21</v>
      </c>
      <c r="G140" s="51"/>
      <c r="H140" s="51">
        <v>0.31</v>
      </c>
      <c r="I140" s="57">
        <f>IFERROR(B140/A140,"")</f>
        <v>0.6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>
        <v>6</v>
      </c>
      <c r="B141" s="60">
        <v>29</v>
      </c>
      <c r="C141" s="50">
        <v>0</v>
      </c>
      <c r="D141" s="60">
        <v>0</v>
      </c>
      <c r="E141" s="51">
        <v>0.47</v>
      </c>
      <c r="F141" s="51">
        <v>0.21</v>
      </c>
      <c r="G141" s="51"/>
      <c r="H141" s="51">
        <v>0.31</v>
      </c>
      <c r="I141" s="57">
        <f t="shared" ref="I141:I159" si="5">IF(A141&lt;&gt;0,(B141-(B140-D140))/(A141-A140),"")</f>
        <v>26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>
        <v>7</v>
      </c>
      <c r="B142" s="60">
        <v>57</v>
      </c>
      <c r="C142" s="50">
        <v>0</v>
      </c>
      <c r="D142" s="60">
        <v>0</v>
      </c>
      <c r="E142" s="51">
        <v>0.47</v>
      </c>
      <c r="F142" s="51">
        <v>0.21</v>
      </c>
      <c r="G142" s="51"/>
      <c r="H142" s="51">
        <v>0.31</v>
      </c>
      <c r="I142" s="57">
        <f t="shared" si="5"/>
        <v>28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>
        <v>8</v>
      </c>
      <c r="B143" s="60">
        <v>89</v>
      </c>
      <c r="C143" s="50">
        <v>0</v>
      </c>
      <c r="D143" s="60">
        <v>0</v>
      </c>
      <c r="E143" s="51">
        <v>0.47</v>
      </c>
      <c r="F143" s="51">
        <v>0.21</v>
      </c>
      <c r="G143" s="51"/>
      <c r="H143" s="51">
        <v>0.31</v>
      </c>
      <c r="I143" s="57">
        <f t="shared" si="5"/>
        <v>32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>
        <v>9</v>
      </c>
      <c r="B144" s="60">
        <v>120</v>
      </c>
      <c r="C144" s="50">
        <v>0</v>
      </c>
      <c r="D144" s="60">
        <v>0</v>
      </c>
      <c r="E144" s="51">
        <v>0.47</v>
      </c>
      <c r="F144" s="51">
        <v>0.21</v>
      </c>
      <c r="G144" s="51"/>
      <c r="H144" s="51">
        <v>0.31</v>
      </c>
      <c r="I144" s="57">
        <f t="shared" si="5"/>
        <v>31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>
        <v>10</v>
      </c>
      <c r="B145" s="60">
        <v>151</v>
      </c>
      <c r="C145" s="50">
        <v>0</v>
      </c>
      <c r="D145" s="60">
        <v>0</v>
      </c>
      <c r="E145" s="51">
        <v>0.47</v>
      </c>
      <c r="F145" s="51">
        <v>0.21</v>
      </c>
      <c r="G145" s="51"/>
      <c r="H145" s="51">
        <v>0.31</v>
      </c>
      <c r="I145" s="57">
        <f t="shared" si="5"/>
        <v>31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>
        <v>11</v>
      </c>
      <c r="B146" s="60">
        <v>183</v>
      </c>
      <c r="C146" s="50">
        <v>0</v>
      </c>
      <c r="D146" s="60">
        <v>0</v>
      </c>
      <c r="E146" s="51">
        <v>0.47</v>
      </c>
      <c r="F146" s="51">
        <v>0.21</v>
      </c>
      <c r="G146" s="51"/>
      <c r="H146" s="51">
        <v>0.31</v>
      </c>
      <c r="I146" s="57">
        <f t="shared" si="5"/>
        <v>32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>
        <v>12</v>
      </c>
      <c r="B147" s="60">
        <v>212</v>
      </c>
      <c r="C147" s="50">
        <v>0</v>
      </c>
      <c r="D147" s="60">
        <v>0</v>
      </c>
      <c r="E147" s="51">
        <v>0.47</v>
      </c>
      <c r="F147" s="51">
        <v>0.21</v>
      </c>
      <c r="G147" s="51"/>
      <c r="H147" s="51">
        <v>0.31</v>
      </c>
      <c r="I147" s="57">
        <f>IF(A147&lt;&gt;0,(B147-(B146-D146))/(A147-A146),"")</f>
        <v>29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>
        <v>13</v>
      </c>
      <c r="B148" s="60">
        <v>238</v>
      </c>
      <c r="C148" s="50">
        <v>0</v>
      </c>
      <c r="D148" s="60">
        <v>0</v>
      </c>
      <c r="E148" s="51">
        <v>0.47</v>
      </c>
      <c r="F148" s="51">
        <v>0.21</v>
      </c>
      <c r="G148" s="51"/>
      <c r="H148" s="51">
        <v>0.31</v>
      </c>
      <c r="I148" s="57">
        <f t="shared" si="5"/>
        <v>26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>
        <v>14</v>
      </c>
      <c r="B149" s="60">
        <v>261</v>
      </c>
      <c r="C149" s="50">
        <v>0</v>
      </c>
      <c r="D149" s="60">
        <v>0</v>
      </c>
      <c r="E149" s="51">
        <v>0.47</v>
      </c>
      <c r="F149" s="51">
        <v>0.21</v>
      </c>
      <c r="G149" s="51"/>
      <c r="H149" s="51">
        <v>0.31</v>
      </c>
      <c r="I149" s="57">
        <f t="shared" si="5"/>
        <v>23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>
        <v>15</v>
      </c>
      <c r="B150" s="60">
        <v>282</v>
      </c>
      <c r="C150" s="50">
        <v>1</v>
      </c>
      <c r="D150" s="60">
        <v>282</v>
      </c>
      <c r="E150" s="51">
        <v>0.47</v>
      </c>
      <c r="F150" s="51">
        <v>0.21</v>
      </c>
      <c r="G150" s="51"/>
      <c r="H150" s="51">
        <v>0.31</v>
      </c>
      <c r="I150" s="57">
        <f t="shared" si="5"/>
        <v>21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/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/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/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/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/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73" t="s">
        <v>176</v>
      </c>
      <c r="C1" s="274"/>
      <c r="D1" s="274"/>
      <c r="E1" s="274"/>
      <c r="F1" s="274"/>
      <c r="G1" s="274"/>
      <c r="H1" s="275"/>
      <c r="I1" s="270" t="str">
        <f>IF('Données projet'!$B$9="","",'Données projet'!$B$9)</f>
        <v>Peuplier Koster</v>
      </c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  <c r="AB1" s="271"/>
      <c r="AC1" s="272"/>
      <c r="AD1" s="271" t="str">
        <f>IF('Données projet'!$B$10="","",'Données projet'!$B$10)</f>
        <v>Peuplier Koster</v>
      </c>
      <c r="AE1" s="271"/>
      <c r="AF1" s="271"/>
      <c r="AG1" s="271"/>
      <c r="AH1" s="271"/>
      <c r="AI1" s="271"/>
      <c r="AJ1" s="271"/>
      <c r="AK1" s="271"/>
      <c r="AL1" s="271"/>
      <c r="AM1" s="271"/>
      <c r="AN1" s="271"/>
      <c r="AO1" s="271"/>
      <c r="AP1" s="271"/>
      <c r="AQ1" s="271"/>
      <c r="AR1" s="271"/>
      <c r="AS1" s="271"/>
      <c r="AT1" s="271"/>
      <c r="AU1" s="271"/>
      <c r="AV1" s="271"/>
      <c r="AW1" s="271"/>
      <c r="AX1" s="272"/>
      <c r="AY1" s="270" t="str">
        <f>IF('Données projet'!$B$11="","",'Données projet'!$B$11)</f>
        <v>Peuplier Koster</v>
      </c>
      <c r="AZ1" s="271"/>
      <c r="BA1" s="271"/>
      <c r="BB1" s="271"/>
      <c r="BC1" s="271"/>
      <c r="BD1" s="271"/>
      <c r="BE1" s="271"/>
      <c r="BF1" s="271"/>
      <c r="BG1" s="271"/>
      <c r="BH1" s="271"/>
      <c r="BI1" s="271"/>
      <c r="BJ1" s="271"/>
      <c r="BK1" s="271"/>
      <c r="BL1" s="271"/>
      <c r="BM1" s="271"/>
      <c r="BN1" s="271"/>
      <c r="BO1" s="271"/>
      <c r="BP1" s="271"/>
      <c r="BQ1" s="271"/>
      <c r="BR1" s="271"/>
      <c r="BS1" s="272"/>
      <c r="BT1" s="270" t="str">
        <f>IF('Données projet'!$B$12="","",'Données projet'!$B$12)</f>
        <v>Peuplier Dorskamp</v>
      </c>
      <c r="BU1" s="271"/>
      <c r="BV1" s="271"/>
      <c r="BW1" s="271"/>
      <c r="BX1" s="271"/>
      <c r="BY1" s="271"/>
      <c r="BZ1" s="271"/>
      <c r="CA1" s="271"/>
      <c r="CB1" s="271"/>
      <c r="CC1" s="271"/>
      <c r="CD1" s="271"/>
      <c r="CE1" s="271"/>
      <c r="CF1" s="271"/>
      <c r="CG1" s="271"/>
      <c r="CH1" s="271"/>
      <c r="CI1" s="271"/>
      <c r="CJ1" s="271"/>
      <c r="CK1" s="271"/>
      <c r="CL1" s="271"/>
      <c r="CM1" s="271"/>
      <c r="CN1" s="272"/>
      <c r="CO1" s="270" t="str">
        <f>IF('Données projet'!$B$13="","",'Données projet'!$B$13)</f>
        <v>Peuplier Dorskamp</v>
      </c>
      <c r="CP1" s="271"/>
      <c r="CQ1" s="271"/>
      <c r="CR1" s="271"/>
      <c r="CS1" s="271"/>
      <c r="CT1" s="271"/>
      <c r="CU1" s="271"/>
      <c r="CV1" s="271"/>
      <c r="CW1" s="271"/>
      <c r="CX1" s="271"/>
      <c r="CY1" s="271"/>
      <c r="CZ1" s="271"/>
      <c r="DA1" s="271"/>
      <c r="DB1" s="271"/>
      <c r="DC1" s="271"/>
      <c r="DD1" s="271"/>
      <c r="DE1" s="271"/>
      <c r="DF1" s="271"/>
      <c r="DG1" s="271"/>
      <c r="DH1" s="271"/>
      <c r="DI1" s="272"/>
      <c r="DJ1" s="270" t="str">
        <f>IF('Données projet'!$B$14="","",'Données projet'!$B$14)</f>
        <v/>
      </c>
      <c r="DK1" s="271"/>
      <c r="DL1" s="271"/>
      <c r="DM1" s="271"/>
      <c r="DN1" s="271"/>
      <c r="DO1" s="271"/>
      <c r="DP1" s="271"/>
      <c r="DQ1" s="271"/>
      <c r="DR1" s="271"/>
      <c r="DS1" s="271"/>
      <c r="DT1" s="271"/>
      <c r="DU1" s="271"/>
      <c r="DV1" s="271"/>
      <c r="DW1" s="271"/>
      <c r="DX1" s="271"/>
      <c r="DY1" s="271"/>
      <c r="DZ1" s="271"/>
      <c r="EA1" s="271"/>
      <c r="EB1" s="271"/>
      <c r="EC1" s="271"/>
      <c r="ED1" s="272"/>
      <c r="EE1" s="270" t="str">
        <f>IF('Données projet'!$B$15="","",'Données projet'!$B$15)</f>
        <v/>
      </c>
      <c r="EF1" s="271"/>
      <c r="EG1" s="271"/>
      <c r="EH1" s="271"/>
      <c r="EI1" s="271"/>
      <c r="EJ1" s="271"/>
      <c r="EK1" s="271"/>
      <c r="EL1" s="271"/>
      <c r="EM1" s="271"/>
      <c r="EN1" s="271"/>
      <c r="EO1" s="271"/>
      <c r="EP1" s="271"/>
      <c r="EQ1" s="271"/>
      <c r="ER1" s="271"/>
      <c r="ES1" s="271"/>
      <c r="ET1" s="271"/>
      <c r="EU1" s="271"/>
      <c r="EV1" s="271"/>
      <c r="EW1" s="271"/>
      <c r="EX1" s="271"/>
      <c r="EY1" s="272"/>
      <c r="EZ1" s="270" t="str">
        <f>IF('Données projet'!$B$16="","",'Données projet'!$B$16)</f>
        <v/>
      </c>
      <c r="FA1" s="271"/>
      <c r="FB1" s="271"/>
      <c r="FC1" s="271"/>
      <c r="FD1" s="271"/>
      <c r="FE1" s="271"/>
      <c r="FF1" s="271"/>
      <c r="FG1" s="271"/>
      <c r="FH1" s="271"/>
      <c r="FI1" s="271"/>
      <c r="FJ1" s="271"/>
      <c r="FK1" s="271"/>
      <c r="FL1" s="271"/>
      <c r="FM1" s="271"/>
      <c r="FN1" s="271"/>
      <c r="FO1" s="271"/>
      <c r="FP1" s="271"/>
      <c r="FQ1" s="271"/>
      <c r="FR1" s="271"/>
      <c r="FS1" s="271"/>
      <c r="FT1" s="272"/>
      <c r="FU1" s="270" t="str">
        <f>IF('Données projet'!$B$17="","",'Données projet'!$B$17)</f>
        <v/>
      </c>
      <c r="FV1" s="271"/>
      <c r="FW1" s="271"/>
      <c r="FX1" s="271"/>
      <c r="FY1" s="271"/>
      <c r="FZ1" s="271"/>
      <c r="GA1" s="271"/>
      <c r="GB1" s="271"/>
      <c r="GC1" s="271"/>
      <c r="GD1" s="271"/>
      <c r="GE1" s="271"/>
      <c r="GF1" s="271"/>
      <c r="GG1" s="271"/>
      <c r="GH1" s="271"/>
      <c r="GI1" s="271"/>
      <c r="GJ1" s="271"/>
      <c r="GK1" s="271"/>
      <c r="GL1" s="271"/>
      <c r="GM1" s="271"/>
      <c r="GN1" s="271"/>
      <c r="GO1" s="272"/>
      <c r="GP1" s="270" t="str">
        <f>IF('Données projet'!$B$18="","",'Données projet'!$B$18)</f>
        <v/>
      </c>
      <c r="GQ1" s="271"/>
      <c r="GR1" s="271"/>
      <c r="GS1" s="271"/>
      <c r="GT1" s="271"/>
      <c r="GU1" s="271"/>
      <c r="GV1" s="271"/>
      <c r="GW1" s="271"/>
      <c r="GX1" s="271"/>
      <c r="GY1" s="271"/>
      <c r="GZ1" s="271"/>
      <c r="HA1" s="271"/>
      <c r="HB1" s="271"/>
      <c r="HC1" s="271"/>
      <c r="HD1" s="271"/>
      <c r="HE1" s="271"/>
      <c r="HF1" s="271"/>
      <c r="HG1" s="271"/>
      <c r="HH1" s="271"/>
      <c r="HI1" s="271"/>
      <c r="HJ1" s="272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114.4650227251685</v>
      </c>
      <c r="T3" s="59">
        <f>IF('Données projet'!E9&gt;30,$R$33-$H$33,LOOKUP('Données projet'!$E$9,$A$3:$A$203,R3:R203)-LOOKUP('Données projet'!$E$9,$A$3:$A$203,$H$3:$H$203))</f>
        <v>386.57315604590599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114.4650227251685</v>
      </c>
      <c r="AO3" s="59">
        <f>IF('Données projet'!E10&gt;30,$AM$33-$H$33,LOOKUP('Données projet'!$E$10,$A$3:$A$203,AM3:AM203)-LOOKUP('Données projet'!$E$10,$A$3:$A$203,$H$3:$H$203))</f>
        <v>386.57315604590599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68.944412338382023</v>
      </c>
      <c r="BJ3" s="59">
        <f>IF('Données projet'!E11&gt;30,$BH$33-$H$33,LOOKUP('Données projet'!$E$11,$A$3:$A$203,BH3:BH203)-LOOKUP('Données projet'!$E$11,$A$3:$A$203,$H$3:$H$203))</f>
        <v>281.00389700159246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165</v>
      </c>
      <c r="CD3" s="59">
        <f ca="1">AVERAGE(OFFSET($CC$3,0,0,'Données projet'!$E$12+1,1))-AVERAGE(OFFSET($H$3,0,0,'Données projet'!$E$12+1,1))</f>
        <v>120.26681323682763</v>
      </c>
      <c r="CE3" s="59">
        <f>IF('Données projet'!E12&gt;30,$CC$33-$H$33,LOOKUP('Données projet'!$E$12,$A$3:$A$203,CC3:CC203)-LOOKUP('Données projet'!$E$12,$A$3:$A$203,$H$3:$H$203))</f>
        <v>344.92933166159389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165</v>
      </c>
      <c r="CY3" s="59">
        <f ca="1">AVERAGE(OFFSET($CX$3,0,0,'Données projet'!$E$13+1,1))-AVERAGE(OFFSET($H$3,0,0,'Données projet'!$E$13+1,1))</f>
        <v>120.26681323682763</v>
      </c>
      <c r="CZ3" s="59">
        <f>IF('Données projet'!E13&gt;30,$CX$33-$H$33,LOOKUP('Données projet'!$E$13,$A$3:$A$203,CX3:CX203)-LOOKUP('Données projet'!$E$13,$A$3:$A$203,$H$3:$H$203))</f>
        <v>344.92933166159389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0.83333333333333337</v>
      </c>
      <c r="N4" s="13">
        <f>IF('Données projet'!$A$36&gt;35,N3+M4-V3,IF(A4&lt;'Données projet'!$A$36,$K$205^A4,IF(A4='Données projet'!$A$36,'Données projet'!$B$36,N3+M4-V3)))</f>
        <v>1.3076604860118306</v>
      </c>
      <c r="O4" s="13">
        <f>N4*VLOOKUP('Données projet'!$B$9,Paramètres!$A$1:$I$89,3,0)*VLOOKUP('Données projet'!$B$9,Paramètres!$A$1:$I$89,5,0)</f>
        <v>0.66502381676617661</v>
      </c>
      <c r="P4" s="13">
        <f>EXP(-1.0587+0.8836*LN(O4)+0.284)</f>
        <v>0.32137420405179057</v>
      </c>
      <c r="Q4" s="20">
        <f t="shared" ref="Q4:Q34" si="2">(O4+P4)*0.475*44/12</f>
        <v>1.717976552924626</v>
      </c>
      <c r="R4" s="59">
        <f t="shared" si="0"/>
        <v>169.53041050584847</v>
      </c>
      <c r="S4" s="59">
        <f ca="1">AVERAGE(OFFSET($R$3,0,0,'Données projet'!$E$9+1,1))-AVERAGE(OFFSET($H$3,0,0,'Données projet'!$E$9+1,1))</f>
        <v>114.4650227251685</v>
      </c>
      <c r="T4" s="59">
        <f>$T$3</f>
        <v>386.57315604590599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0.83333333333333337</v>
      </c>
      <c r="AI4" s="13">
        <f>IF('Données projet'!$A$62&gt;35,AI3+AH4-AQ3,IF(A4&lt;'Données projet'!$A$62,$AF$205^A4,IF(A4='Données projet'!$A$62,'Données projet'!$B$62,AI3+AH4-AQ3)))</f>
        <v>1.3076604860118306</v>
      </c>
      <c r="AJ4" s="13">
        <f>AI4*VLOOKUP('Données projet'!$B$10,Paramètres!$A$1:$I$89,3,0)*VLOOKUP('Données projet'!$B$10,Paramètres!$A$1:$I$89,5,0)</f>
        <v>0.66502381676617661</v>
      </c>
      <c r="AK4" s="13">
        <f>EXP(-1.0587+0.8836*LN(AJ4)+0.284)</f>
        <v>0.32137420405179057</v>
      </c>
      <c r="AL4" s="20">
        <f t="shared" ref="AL4:AL67" si="4">(AJ4+AK4)*0.475*44/12</f>
        <v>1.717976552924626</v>
      </c>
      <c r="AM4" s="59">
        <f t="shared" ref="AM4:AM67" si="5">AL4+(AD4+AE4)*44/12</f>
        <v>169.53041050584847</v>
      </c>
      <c r="AN4" s="59">
        <f ca="1">AVERAGE(OFFSET($AM$3,0,0,'Données projet'!$E$10+1,1))-AVERAGE(OFFSET($H$3,0,0,'Données projet'!$E$10+1,1))</f>
        <v>114.4650227251685</v>
      </c>
      <c r="AO4" s="59">
        <f>$AO$3</f>
        <v>386.57315604590599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</v>
      </c>
      <c r="BD4" s="12">
        <f>IF('Données projet'!$A$88&gt;35,BD3+BC4-BL3,IF(A4&lt;'Données projet'!$A$88,$BA$205^A4,IF(A4='Données projet'!$A$88,'Données projet'!$B$88,BD3+BC4-BL3)))</f>
        <v>1.2968395546510096</v>
      </c>
      <c r="BE4" s="13">
        <f>BD4*VLOOKUP('Données projet'!$B$11,Paramètres!$A$1:$I$89,3,0)*VLOOKUP('Données projet'!$B$11,Paramètres!$A$1:$I$89,5,0)</f>
        <v>0.65952072391331751</v>
      </c>
      <c r="BF4" s="13">
        <f>EXP(-1.0587+0.8836*LN(BE4)+0.284)</f>
        <v>0.31902323929767035</v>
      </c>
      <c r="BG4" s="20">
        <f t="shared" ref="BG4:BG67" si="7">(BE4+BF4)*0.475*44/12</f>
        <v>1.7042974025924702</v>
      </c>
      <c r="BH4" s="59">
        <f t="shared" ref="BH4:BH67" si="8">BG4+(AY4+AZ4)*44/12</f>
        <v>169.5167313555163</v>
      </c>
      <c r="BI4" s="59">
        <f ca="1">AVERAGE(OFFSET($BH$3,0,0,'Données projet'!$E$11+1,1))-AVERAGE(OFFSET($H$3,0,0,'Données projet'!$E$11+1,1))</f>
        <v>68.944412338382023</v>
      </c>
      <c r="BJ4" s="59">
        <f>$BJ$3</f>
        <v>281.00389700159246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0.6</v>
      </c>
      <c r="BY4" s="12">
        <f>IF('Données projet'!$A$114&gt;35,BY3+BX4-CG3,IF(A4&lt;'Données projet'!$A$114,$BV$205^A4,IF(A4='Données projet'!$A$114,'Données projet'!$B$114,BY3+BX4-CG3)))</f>
        <v>1.2457309396155174</v>
      </c>
      <c r="BZ4" s="13">
        <f>BY4*VLOOKUP('Données projet'!$B$12,Paramètres!$A$1:$I$89,3,0)*VLOOKUP('Données projet'!$B$12,Paramètres!$A$1:$I$89,5,0)</f>
        <v>0.65296232930886966</v>
      </c>
      <c r="CA4" s="13">
        <f>EXP(-1.0587+0.8836*LN(BZ4)+0.284)</f>
        <v>0.31621845585567432</v>
      </c>
      <c r="CB4" s="20">
        <f t="shared" ref="CB4:CB67" si="10">(BZ4+CA4)*0.475*44/12</f>
        <v>1.6879898674949141</v>
      </c>
      <c r="CC4" s="59">
        <f t="shared" ref="CC4:CC67" si="11">CB4+(BT4+BU4)*44/12</f>
        <v>169.50042382041875</v>
      </c>
      <c r="CD4" s="59">
        <f ca="1">AVERAGE(OFFSET($CC$3,0,0,'Données projet'!$E$12+1,1))-AVERAGE(OFFSET($H$3,0,0,'Données projet'!$E$12+1,1))</f>
        <v>120.26681323682763</v>
      </c>
      <c r="CE4" s="59">
        <f>$CE$3</f>
        <v>344.92933166159389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0.6</v>
      </c>
      <c r="CT4" s="12">
        <f>IF('Données projet'!$A$140&gt;35,CT3+CS4-DB3,IF(A4&lt;'Données projet'!$A$140,$CQ$205^A4,IF(A4='Données projet'!$A$140,'Données projet'!$B$140,CT3+CS4-DB3)))</f>
        <v>1.2457309396155174</v>
      </c>
      <c r="CU4" s="17">
        <f>CT4*VLOOKUP('Données projet'!$B$13,Paramètres!$A$1:$I$89,3,0)*VLOOKUP('Données projet'!$B$13,Paramètres!$A$1:$I$89,5,0)</f>
        <v>0.65296232930886966</v>
      </c>
      <c r="CV4" s="13">
        <f>EXP(-1.0587+0.8836*LN(CU4)+0.284)</f>
        <v>0.31621845585567432</v>
      </c>
      <c r="CW4" s="20">
        <f t="shared" ref="CW4:CW67" si="13">(CU4+CV4)*0.475*44/12</f>
        <v>1.6879898674949141</v>
      </c>
      <c r="CX4" s="59">
        <f t="shared" ref="CX4:CX67" si="14">CW4+(CO4+CP4)*44/12</f>
        <v>169.50042382041875</v>
      </c>
      <c r="CY4" s="59">
        <f ca="1">AVERAGE(OFFSET($CX$3,0,0,'Données projet'!$E$13+1,1))-AVERAGE(OFFSET($H$3,0,0,'Données projet'!$E$13+1,1))</f>
        <v>120.26681323682763</v>
      </c>
      <c r="CZ4" s="59">
        <f>$CZ$3</f>
        <v>344.92933166159389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0.83333333333333337</v>
      </c>
      <c r="N5" s="13">
        <f>IF('Données projet'!$A$36&gt;35,N4+M5-V4,IF(A5&lt;'Données projet'!$A$36,$K$205^A5,IF(A5='Données projet'!$A$36,'Données projet'!$B$36,N4+M5-V4)))</f>
        <v>1.7099759466766971</v>
      </c>
      <c r="O5" s="13">
        <f>N5*VLOOKUP('Données projet'!$B$9,Paramètres!$A$1:$I$89,3,0)*VLOOKUP('Données projet'!$B$9,Paramètres!$A$1:$I$89,5,0)</f>
        <v>0.86962536744190111</v>
      </c>
      <c r="P5" s="13">
        <f t="shared" ref="P5:P68" si="33">EXP(-1.0587+0.8836*LN(O5)+0.284)</f>
        <v>0.4073296243336133</v>
      </c>
      <c r="Q5" s="20">
        <f t="shared" si="2"/>
        <v>2.2240299440090214</v>
      </c>
      <c r="R5" s="59">
        <f t="shared" si="0"/>
        <v>172.82131123150987</v>
      </c>
      <c r="S5" s="59">
        <f ca="1">AVERAGE(OFFSET($R$3,0,0,'Données projet'!$E$9+1,1))-AVERAGE(OFFSET($H$3,0,0,'Données projet'!$E$9+1,1))</f>
        <v>114.4650227251685</v>
      </c>
      <c r="T5" s="59">
        <f t="shared" ref="T5:T68" si="34">$T$3</f>
        <v>386.57315604590599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0.83333333333333337</v>
      </c>
      <c r="AI5" s="13">
        <f>IF('Données projet'!$A$62&gt;35,AI4+AH5-AQ4,IF(A5&lt;'Données projet'!$A$62,$AF$205^A5,IF(A5='Données projet'!$A$62,'Données projet'!$B$62,AI4+AH5-AQ4)))</f>
        <v>1.7099759466766971</v>
      </c>
      <c r="AJ5" s="13">
        <f>AI5*VLOOKUP('Données projet'!$B$10,Paramètres!$A$1:$I$89,3,0)*VLOOKUP('Données projet'!$B$10,Paramètres!$A$1:$I$89,5,0)</f>
        <v>0.86962536744190111</v>
      </c>
      <c r="AK5" s="13">
        <f t="shared" ref="AK5:AK68" si="35">EXP(-1.0587+0.8836*LN(AJ5)+0.284)</f>
        <v>0.4073296243336133</v>
      </c>
      <c r="AL5" s="20">
        <f t="shared" si="4"/>
        <v>2.2240299440090214</v>
      </c>
      <c r="AM5" s="59">
        <f t="shared" si="5"/>
        <v>172.82131123150987</v>
      </c>
      <c r="AN5" s="59">
        <f ca="1">AVERAGE(OFFSET($AM$3,0,0,'Données projet'!$E$10+1,1))-AVERAGE(OFFSET($H$3,0,0,'Données projet'!$E$10+1,1))</f>
        <v>114.4650227251685</v>
      </c>
      <c r="AO5" s="59">
        <f t="shared" ref="AO5:AO68" si="36">$AO$3</f>
        <v>386.57315604590599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</v>
      </c>
      <c r="BD5" s="12">
        <f>IF('Données projet'!$A$88&gt;35,BD4+BC5-BL4,IF(A5&lt;'Données projet'!$A$88,$BA$205^A5,IF(A5='Données projet'!$A$88,'Données projet'!$B$88,BD4+BC5-BL4)))</f>
        <v>1.681792830507429</v>
      </c>
      <c r="BE5" s="13">
        <f>BD5*VLOOKUP('Données projet'!$B$11,Paramètres!$A$1:$I$89,3,0)*VLOOKUP('Données projet'!$B$11,Paramètres!$A$1:$I$89,5,0)</f>
        <v>0.85529256188285807</v>
      </c>
      <c r="BF5" s="13">
        <f t="shared" ref="BF5:BF68" si="37">EXP(-1.0587+0.8836*LN(BE5)+0.284)</f>
        <v>0.40139190485138254</v>
      </c>
      <c r="BG5" s="20">
        <f t="shared" si="7"/>
        <v>2.1887254462288022</v>
      </c>
      <c r="BH5" s="59">
        <f t="shared" si="8"/>
        <v>172.78600673372964</v>
      </c>
      <c r="BI5" s="59">
        <f ca="1">AVERAGE(OFFSET($BH$3,0,0,'Données projet'!$E$11+1,1))-AVERAGE(OFFSET($H$3,0,0,'Données projet'!$E$11+1,1))</f>
        <v>68.944412338382023</v>
      </c>
      <c r="BJ5" s="59">
        <f t="shared" ref="BJ5:BJ68" si="38">$BJ$3</f>
        <v>281.00389700159246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0.6</v>
      </c>
      <c r="BY5" s="12">
        <f>IF('Données projet'!$A$114&gt;35,BY4+BX5-CG4,IF(A5&lt;'Données projet'!$A$114,$BV$205^A5,IF(A5='Données projet'!$A$114,'Données projet'!$B$114,BY4+BX5-CG4)))</f>
        <v>1.5518455739153598</v>
      </c>
      <c r="BZ5" s="13">
        <f>BY5*VLOOKUP('Données projet'!$B$12,Paramètres!$A$1:$I$89,3,0)*VLOOKUP('Données projet'!$B$12,Paramètres!$A$1:$I$89,5,0)</f>
        <v>0.81341537602347502</v>
      </c>
      <c r="CA5" s="13">
        <f t="shared" ref="CA5:CA68" si="39">EXP(-1.0587+0.8836*LN(BZ5)+0.284)</f>
        <v>0.38397600144219768</v>
      </c>
      <c r="CB5" s="20">
        <f t="shared" si="10"/>
        <v>2.0854566490860464</v>
      </c>
      <c r="CC5" s="59">
        <f t="shared" si="11"/>
        <v>172.68273793658688</v>
      </c>
      <c r="CD5" s="59">
        <f ca="1">AVERAGE(OFFSET($CC$3,0,0,'Données projet'!$E$12+1,1))-AVERAGE(OFFSET($H$3,0,0,'Données projet'!$E$12+1,1))</f>
        <v>120.26681323682763</v>
      </c>
      <c r="CE5" s="59">
        <f t="shared" ref="CE5:CE68" si="40">$CE$3</f>
        <v>344.92933166159389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0.6</v>
      </c>
      <c r="CT5" s="12">
        <f>IF('Données projet'!$A$140&gt;35,CT4+CS5-DB4,IF(A5&lt;'Données projet'!$A$140,$CQ$205^A5,IF(A5='Données projet'!$A$140,'Données projet'!$B$140,CT4+CS5-DB4)))</f>
        <v>1.5518455739153598</v>
      </c>
      <c r="CU5" s="17">
        <f>CT5*VLOOKUP('Données projet'!$B$13,Paramètres!$A$1:$I$89,3,0)*VLOOKUP('Données projet'!$B$13,Paramètres!$A$1:$I$89,5,0)</f>
        <v>0.81341537602347502</v>
      </c>
      <c r="CV5" s="13">
        <f t="shared" ref="CV5:CV68" si="41">EXP(-1.0587+0.8836*LN(CU5)+0.284)</f>
        <v>0.38397600144219768</v>
      </c>
      <c r="CW5" s="20">
        <f t="shared" si="13"/>
        <v>2.0854566490860464</v>
      </c>
      <c r="CX5" s="59">
        <f t="shared" si="14"/>
        <v>172.68273793658688</v>
      </c>
      <c r="CY5" s="59">
        <f ca="1">AVERAGE(OFFSET($CX$3,0,0,'Données projet'!$E$13+1,1))-AVERAGE(OFFSET($H$3,0,0,'Données projet'!$E$13+1,1))</f>
        <v>120.26681323682763</v>
      </c>
      <c r="CZ5" s="59">
        <f t="shared" ref="CZ5:CZ68" si="42">$CZ$3</f>
        <v>344.92933166159389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0.83333333333333337</v>
      </c>
      <c r="N6" s="13">
        <f>IF('Données projet'!$A$36&gt;35,N5+M6-V5,IF(A6&lt;'Données projet'!$A$36,$K$205^A6,IF(A6='Données projet'!$A$36,'Données projet'!$B$36,N5+M6-V5)))</f>
        <v>2.2360679774997898</v>
      </c>
      <c r="O6" s="13">
        <f>N6*VLOOKUP('Données projet'!$B$9,Paramètres!$A$1:$I$89,3,0)*VLOOKUP('Données projet'!$B$9,Paramètres!$A$1:$I$89,5,0)</f>
        <v>1.137174730637293</v>
      </c>
      <c r="P6" s="13">
        <f t="shared" si="33"/>
        <v>0.51627486203909612</v>
      </c>
      <c r="Q6" s="20">
        <f t="shared" si="2"/>
        <v>2.8797580405780443</v>
      </c>
      <c r="R6" s="59">
        <f t="shared" si="0"/>
        <v>176.23477861046294</v>
      </c>
      <c r="S6" s="59">
        <f ca="1">AVERAGE(OFFSET($R$3,0,0,'Données projet'!$E$9+1,1))-AVERAGE(OFFSET($H$3,0,0,'Données projet'!$E$9+1,1))</f>
        <v>114.4650227251685</v>
      </c>
      <c r="T6" s="59">
        <f t="shared" si="34"/>
        <v>386.57315604590599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0.83333333333333337</v>
      </c>
      <c r="AI6" s="13">
        <f>IF('Données projet'!$A$62&gt;35,AI5+AH6-AQ5,IF(A6&lt;'Données projet'!$A$62,$AF$205^A6,IF(A6='Données projet'!$A$62,'Données projet'!$B$62,AI5+AH6-AQ5)))</f>
        <v>2.2360679774997898</v>
      </c>
      <c r="AJ6" s="13">
        <f>AI6*VLOOKUP('Données projet'!$B$10,Paramètres!$A$1:$I$89,3,0)*VLOOKUP('Données projet'!$B$10,Paramètres!$A$1:$I$89,5,0)</f>
        <v>1.137174730637293</v>
      </c>
      <c r="AK6" s="13">
        <f t="shared" si="35"/>
        <v>0.51627486203909612</v>
      </c>
      <c r="AL6" s="20">
        <f t="shared" si="4"/>
        <v>2.8797580405780443</v>
      </c>
      <c r="AM6" s="59">
        <f t="shared" si="5"/>
        <v>176.23477861046294</v>
      </c>
      <c r="AN6" s="59">
        <f ca="1">AVERAGE(OFFSET($AM$3,0,0,'Données projet'!$E$10+1,1))-AVERAGE(OFFSET($H$3,0,0,'Données projet'!$E$10+1,1))</f>
        <v>114.4650227251685</v>
      </c>
      <c r="AO6" s="59">
        <f t="shared" si="36"/>
        <v>386.57315604590599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</v>
      </c>
      <c r="BD6" s="12">
        <f>IF('Données projet'!$A$88&gt;35,BD5+BC6-BL5,IF(A6&lt;'Données projet'!$A$88,$BA$205^A6,IF(A6='Données projet'!$A$88,'Données projet'!$B$88,BD5+BC6-BL5)))</f>
        <v>2.1810154653305154</v>
      </c>
      <c r="BE6" s="13">
        <f>BD6*VLOOKUP('Données projet'!$B$11,Paramètres!$A$1:$I$89,3,0)*VLOOKUP('Données projet'!$B$11,Paramètres!$A$1:$I$89,5,0)</f>
        <v>1.109177225048487</v>
      </c>
      <c r="BF6" s="13">
        <f t="shared" si="37"/>
        <v>0.50502735046800051</v>
      </c>
      <c r="BG6" s="20">
        <f t="shared" si="7"/>
        <v>2.8114063023578826</v>
      </c>
      <c r="BH6" s="59">
        <f t="shared" si="8"/>
        <v>176.16642687224277</v>
      </c>
      <c r="BI6" s="59">
        <f ca="1">AVERAGE(OFFSET($BH$3,0,0,'Données projet'!$E$11+1,1))-AVERAGE(OFFSET($H$3,0,0,'Données projet'!$E$11+1,1))</f>
        <v>68.944412338382023</v>
      </c>
      <c r="BJ6" s="59">
        <f t="shared" si="38"/>
        <v>281.00389700159246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0.6</v>
      </c>
      <c r="BY6" s="12">
        <f>IF('Données projet'!$A$114&gt;35,BY5+BX6-CG5,IF(A6&lt;'Données projet'!$A$114,$BV$205^A6,IF(A6='Données projet'!$A$114,'Données projet'!$B$114,BY5+BX6-CG5)))</f>
        <v>1.9331820449317632</v>
      </c>
      <c r="BZ6" s="13">
        <f>BY6*VLOOKUP('Données projet'!$B$12,Paramètres!$A$1:$I$89,3,0)*VLOOKUP('Données projet'!$B$12,Paramètres!$A$1:$I$89,5,0)</f>
        <v>1.0132967006714331</v>
      </c>
      <c r="CA6" s="13">
        <f t="shared" si="39"/>
        <v>0.46625225995926933</v>
      </c>
      <c r="CB6" s="20">
        <f t="shared" si="10"/>
        <v>2.5768811064318067</v>
      </c>
      <c r="CC6" s="59">
        <f t="shared" si="11"/>
        <v>175.9319016763167</v>
      </c>
      <c r="CD6" s="59">
        <f ca="1">AVERAGE(OFFSET($CC$3,0,0,'Données projet'!$E$12+1,1))-AVERAGE(OFFSET($H$3,0,0,'Données projet'!$E$12+1,1))</f>
        <v>120.26681323682763</v>
      </c>
      <c r="CE6" s="59">
        <f t="shared" si="40"/>
        <v>344.92933166159389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0.6</v>
      </c>
      <c r="CT6" s="12">
        <f>IF('Données projet'!$A$140&gt;35,CT5+CS6-DB5,IF(A6&lt;'Données projet'!$A$140,$CQ$205^A6,IF(A6='Données projet'!$A$140,'Données projet'!$B$140,CT5+CS6-DB5)))</f>
        <v>1.9331820449317632</v>
      </c>
      <c r="CU6" s="17">
        <f>CT6*VLOOKUP('Données projet'!$B$13,Paramètres!$A$1:$I$89,3,0)*VLOOKUP('Données projet'!$B$13,Paramètres!$A$1:$I$89,5,0)</f>
        <v>1.0132967006714331</v>
      </c>
      <c r="CV6" s="13">
        <f t="shared" si="41"/>
        <v>0.46625225995926933</v>
      </c>
      <c r="CW6" s="20">
        <f t="shared" si="13"/>
        <v>2.5768811064318067</v>
      </c>
      <c r="CX6" s="59">
        <f t="shared" si="14"/>
        <v>175.9319016763167</v>
      </c>
      <c r="CY6" s="59">
        <f ca="1">AVERAGE(OFFSET($CX$3,0,0,'Données projet'!$E$13+1,1))-AVERAGE(OFFSET($H$3,0,0,'Données projet'!$E$13+1,1))</f>
        <v>120.26681323682763</v>
      </c>
      <c r="CZ6" s="59">
        <f t="shared" si="42"/>
        <v>344.92933166159389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0.83333333333333337</v>
      </c>
      <c r="N7" s="13">
        <f>IF('Données projet'!$A$36&gt;35,N6+M7-V6,IF(A7&lt;'Données projet'!$A$36,$K$205^A7,IF(A7='Données projet'!$A$36,'Données projet'!$B$36,N6+M7-V6)))</f>
        <v>2.9240177382128665</v>
      </c>
      <c r="O7" s="13">
        <f>N7*VLOOKUP('Données projet'!$B$9,Paramètres!$A$1:$I$89,3,0)*VLOOKUP('Données projet'!$B$9,Paramètres!$A$1:$I$89,5,0)</f>
        <v>1.4870384609455356</v>
      </c>
      <c r="P7" s="13">
        <f t="shared" si="33"/>
        <v>0.65435882207080776</v>
      </c>
      <c r="Q7" s="20">
        <f t="shared" si="2"/>
        <v>3.7296002679201314</v>
      </c>
      <c r="R7" s="59">
        <f t="shared" si="0"/>
        <v>179.81572233209707</v>
      </c>
      <c r="S7" s="59">
        <f ca="1">AVERAGE(OFFSET($R$3,0,0,'Données projet'!$E$9+1,1))-AVERAGE(OFFSET($H$3,0,0,'Données projet'!$E$9+1,1))</f>
        <v>114.4650227251685</v>
      </c>
      <c r="T7" s="59">
        <f t="shared" si="34"/>
        <v>386.57315604590599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0.83333333333333337</v>
      </c>
      <c r="AI7" s="13">
        <f>IF('Données projet'!$A$62&gt;35,AI6+AH7-AQ6,IF(A7&lt;'Données projet'!$A$62,$AF$205^A7,IF(A7='Données projet'!$A$62,'Données projet'!$B$62,AI6+AH7-AQ6)))</f>
        <v>2.9240177382128665</v>
      </c>
      <c r="AJ7" s="13">
        <f>AI7*VLOOKUP('Données projet'!$B$10,Paramètres!$A$1:$I$89,3,0)*VLOOKUP('Données projet'!$B$10,Paramètres!$A$1:$I$89,5,0)</f>
        <v>1.4870384609455356</v>
      </c>
      <c r="AK7" s="13">
        <f t="shared" si="35"/>
        <v>0.65435882207080776</v>
      </c>
      <c r="AL7" s="20">
        <f t="shared" si="4"/>
        <v>3.7296002679201314</v>
      </c>
      <c r="AM7" s="59">
        <f t="shared" si="5"/>
        <v>179.81572233209707</v>
      </c>
      <c r="AN7" s="59">
        <f ca="1">AVERAGE(OFFSET($AM$3,0,0,'Données projet'!$E$10+1,1))-AVERAGE(OFFSET($H$3,0,0,'Données projet'!$E$10+1,1))</f>
        <v>114.4650227251685</v>
      </c>
      <c r="AO7" s="59">
        <f t="shared" si="36"/>
        <v>386.57315604590599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</v>
      </c>
      <c r="BD7" s="12">
        <f>IF('Données projet'!$A$88&gt;35,BD6+BC7-BL6,IF(A7&lt;'Données projet'!$A$88,$BA$205^A7,IF(A7='Données projet'!$A$88,'Données projet'!$B$88,BD6+BC7-BL6)))</f>
        <v>2.8284271247461898</v>
      </c>
      <c r="BE7" s="13">
        <f>BD7*VLOOKUP('Données projet'!$B$11,Paramètres!$A$1:$I$89,3,0)*VLOOKUP('Données projet'!$B$11,Paramètres!$A$1:$I$89,5,0)</f>
        <v>1.4384248985609225</v>
      </c>
      <c r="BF7" s="13">
        <f t="shared" si="37"/>
        <v>0.63542044978501278</v>
      </c>
      <c r="BG7" s="20">
        <f t="shared" si="7"/>
        <v>3.6119473150358368</v>
      </c>
      <c r="BH7" s="59">
        <f t="shared" si="8"/>
        <v>179.6980693792128</v>
      </c>
      <c r="BI7" s="59">
        <f ca="1">AVERAGE(OFFSET($BH$3,0,0,'Données projet'!$E$11+1,1))-AVERAGE(OFFSET($H$3,0,0,'Données projet'!$E$11+1,1))</f>
        <v>68.944412338382023</v>
      </c>
      <c r="BJ7" s="59">
        <f t="shared" si="38"/>
        <v>281.00389700159246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0.6</v>
      </c>
      <c r="BY7" s="12">
        <f>IF('Données projet'!$A$114&gt;35,BY6+BX7-CG6,IF(A7&lt;'Données projet'!$A$114,$BV$205^A7,IF(A7='Données projet'!$A$114,'Données projet'!$B$114,BY6+BX7-CG6)))</f>
        <v>2.4082246852806923</v>
      </c>
      <c r="BZ7" s="13">
        <f>BY7*VLOOKUP('Données projet'!$B$12,Paramètres!$A$1:$I$89,3,0)*VLOOKUP('Données projet'!$B$12,Paramètres!$A$1:$I$89,5,0)</f>
        <v>1.2622950510367279</v>
      </c>
      <c r="CA7" s="13">
        <f t="shared" si="39"/>
        <v>0.56615822108833347</v>
      </c>
      <c r="CB7" s="20">
        <f t="shared" si="10"/>
        <v>3.1845561156178146</v>
      </c>
      <c r="CC7" s="59">
        <f t="shared" si="11"/>
        <v>179.27067817979477</v>
      </c>
      <c r="CD7" s="59">
        <f ca="1">AVERAGE(OFFSET($CC$3,0,0,'Données projet'!$E$12+1,1))-AVERAGE(OFFSET($H$3,0,0,'Données projet'!$E$12+1,1))</f>
        <v>120.26681323682763</v>
      </c>
      <c r="CE7" s="59">
        <f t="shared" si="40"/>
        <v>344.92933166159389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0.6</v>
      </c>
      <c r="CT7" s="12">
        <f>IF('Données projet'!$A$140&gt;35,CT6+CS7-DB6,IF(A7&lt;'Données projet'!$A$140,$CQ$205^A7,IF(A7='Données projet'!$A$140,'Données projet'!$B$140,CT6+CS7-DB6)))</f>
        <v>2.4082246852806923</v>
      </c>
      <c r="CU7" s="17">
        <f>CT7*VLOOKUP('Données projet'!$B$13,Paramètres!$A$1:$I$89,3,0)*VLOOKUP('Données projet'!$B$13,Paramètres!$A$1:$I$89,5,0)</f>
        <v>1.2622950510367279</v>
      </c>
      <c r="CV7" s="13">
        <f t="shared" si="41"/>
        <v>0.56615822108833347</v>
      </c>
      <c r="CW7" s="20">
        <f t="shared" si="13"/>
        <v>3.1845561156178146</v>
      </c>
      <c r="CX7" s="59">
        <f t="shared" si="14"/>
        <v>179.27067817979477</v>
      </c>
      <c r="CY7" s="59">
        <f ca="1">AVERAGE(OFFSET($CX$3,0,0,'Données projet'!$E$13+1,1))-AVERAGE(OFFSET($H$3,0,0,'Données projet'!$E$13+1,1))</f>
        <v>120.26681323682763</v>
      </c>
      <c r="CZ7" s="59">
        <f t="shared" si="42"/>
        <v>344.92933166159389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0.83333333333333337</v>
      </c>
      <c r="N8" s="13">
        <f>IF('Données projet'!$A$36&gt;35,N7+M8-V7,IF(A8&lt;'Données projet'!$A$36,$K$205^A8,IF(A8='Données projet'!$A$36,'Données projet'!$B$36,N7+M8-V7)))</f>
        <v>3.8236224566586507</v>
      </c>
      <c r="O8" s="13">
        <f>N8*VLOOKUP('Données projet'!$B$9,Paramètres!$A$1:$I$89,3,0)*VLOOKUP('Données projet'!$B$9,Paramètres!$A$1:$I$89,5,0)</f>
        <v>1.9445414365583238</v>
      </c>
      <c r="P8" s="13">
        <f t="shared" si="33"/>
        <v>0.82937500836418721</v>
      </c>
      <c r="Q8" s="20">
        <f t="shared" si="2"/>
        <v>4.83123780824004</v>
      </c>
      <c r="R8" s="59">
        <f t="shared" si="0"/>
        <v>183.6222856846874</v>
      </c>
      <c r="S8" s="59">
        <f ca="1">AVERAGE(OFFSET($R$3,0,0,'Données projet'!$E$9+1,1))-AVERAGE(OFFSET($H$3,0,0,'Données projet'!$E$9+1,1))</f>
        <v>114.4650227251685</v>
      </c>
      <c r="T8" s="59">
        <f t="shared" si="34"/>
        <v>386.57315604590599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0.83333333333333337</v>
      </c>
      <c r="AI8" s="13">
        <f>IF('Données projet'!$A$62&gt;35,AI7+AH8-AQ7,IF(A8&lt;'Données projet'!$A$62,$AF$205^A8,IF(A8='Données projet'!$A$62,'Données projet'!$B$62,AI7+AH8-AQ7)))</f>
        <v>3.8236224566586507</v>
      </c>
      <c r="AJ8" s="13">
        <f>AI8*VLOOKUP('Données projet'!$B$10,Paramètres!$A$1:$I$89,3,0)*VLOOKUP('Données projet'!$B$10,Paramètres!$A$1:$I$89,5,0)</f>
        <v>1.9445414365583238</v>
      </c>
      <c r="AK8" s="13">
        <f t="shared" si="35"/>
        <v>0.82937500836418721</v>
      </c>
      <c r="AL8" s="20">
        <f t="shared" si="4"/>
        <v>4.83123780824004</v>
      </c>
      <c r="AM8" s="59">
        <f t="shared" si="5"/>
        <v>183.6222856846874</v>
      </c>
      <c r="AN8" s="59">
        <f ca="1">AVERAGE(OFFSET($AM$3,0,0,'Données projet'!$E$10+1,1))-AVERAGE(OFFSET($H$3,0,0,'Données projet'!$E$10+1,1))</f>
        <v>114.4650227251685</v>
      </c>
      <c r="AO8" s="59">
        <f t="shared" si="36"/>
        <v>386.57315604590599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</v>
      </c>
      <c r="BD8" s="12">
        <f>IF('Données projet'!$A$88&gt;35,BD7+BC8-BL7,IF(A8&lt;'Données projet'!$A$88,$BA$205^A8,IF(A8='Données projet'!$A$88,'Données projet'!$B$88,BD7+BC8-BL7)))</f>
        <v>3.6680161728186844</v>
      </c>
      <c r="BE8" s="13">
        <f>BD8*VLOOKUP('Données projet'!$B$11,Paramètres!$A$1:$I$89,3,0)*VLOOKUP('Données projet'!$B$11,Paramètres!$A$1:$I$89,5,0)</f>
        <v>1.8654063048486704</v>
      </c>
      <c r="BF8" s="13">
        <f t="shared" si="37"/>
        <v>0.79947976605787985</v>
      </c>
      <c r="BG8" s="20">
        <f t="shared" si="7"/>
        <v>4.6413432401622412</v>
      </c>
      <c r="BH8" s="59">
        <f t="shared" si="8"/>
        <v>183.43239111660958</v>
      </c>
      <c r="BI8" s="59">
        <f ca="1">AVERAGE(OFFSET($BH$3,0,0,'Données projet'!$E$11+1,1))-AVERAGE(OFFSET($H$3,0,0,'Données projet'!$E$11+1,1))</f>
        <v>68.944412338382023</v>
      </c>
      <c r="BJ8" s="59">
        <f t="shared" si="38"/>
        <v>281.00389700159246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>
        <f>VLOOKUP(A8,'Données projet'!$A$113:$I$133,2,0)</f>
        <v>3</v>
      </c>
      <c r="BW8" s="12">
        <f>VLOOKUP(A8,'Données projet'!$A$113:$I$133,9,0)</f>
        <v>0.6</v>
      </c>
      <c r="BX8" s="12">
        <f t="array" ref="BX8">INDEX(BW:BW,MIN(IF(ISNUMBER(BW8:BW204),ROW(BW8:BW204),"")))</f>
        <v>0.6</v>
      </c>
      <c r="BY8" s="12">
        <f>IF('Données projet'!$A$114&gt;35,BY7+BX8-CG7,IF(A8&lt;'Données projet'!$A$114,$BV$205^A8,IF(A8='Données projet'!$A$114,'Données projet'!$B$114,BY7+BX8-CG7)))</f>
        <v>3</v>
      </c>
      <c r="BZ8" s="13">
        <f>BY8*VLOOKUP('Données projet'!$B$12,Paramètres!$A$1:$I$89,3,0)*VLOOKUP('Données projet'!$B$12,Paramètres!$A$1:$I$89,5,0)</f>
        <v>1.5724800000000001</v>
      </c>
      <c r="CA8" s="13">
        <f t="shared" si="39"/>
        <v>0.6874714802109646</v>
      </c>
      <c r="CB8" s="20">
        <f t="shared" si="10"/>
        <v>3.9360821613674299</v>
      </c>
      <c r="CC8" s="59">
        <f t="shared" si="11"/>
        <v>182.72713003781479</v>
      </c>
      <c r="CD8" s="59">
        <f ca="1">AVERAGE(OFFSET($CC$3,0,0,'Données projet'!$E$12+1,1))-AVERAGE(OFFSET($H$3,0,0,'Données projet'!$E$12+1,1))</f>
        <v>120.26681323682763</v>
      </c>
      <c r="CE8" s="59">
        <f t="shared" si="40"/>
        <v>344.92933166159389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0.28199999999999997</v>
      </c>
      <c r="CI8" s="16">
        <f>IF(ISNA(VLOOKUP(A8,'Données projet'!$A$113:$I$133,6,0)),0%,VLOOKUP(A8,'Données projet'!$A$113:$I$133,6,0)*VLOOKUP('Données projet'!$B$12,Paramètres!$A$1:$I$89,7,0))</f>
        <v>0.126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>
        <f>VLOOKUP(A8,'Données projet'!$A$139:$I$159,2,0)</f>
        <v>3</v>
      </c>
      <c r="CR8" s="12">
        <f>VLOOKUP(A8,'Données projet'!$A$139:$I$159,9,0)</f>
        <v>0.6</v>
      </c>
      <c r="CS8" s="12">
        <f t="array" ref="CS8">INDEX(CR:CR,MIN(IF(ISNUMBER(CR8:CR204),ROW(CR8:CR204),"")))</f>
        <v>0.6</v>
      </c>
      <c r="CT8" s="12">
        <f>IF('Données projet'!$A$140&gt;35,CT7+CS8-DB7,IF(A8&lt;'Données projet'!$A$140,$CQ$205^A8,IF(A8='Données projet'!$A$140,'Données projet'!$B$140,CT7+CS8-DB7)))</f>
        <v>3</v>
      </c>
      <c r="CU8" s="17">
        <f>CT8*VLOOKUP('Données projet'!$B$13,Paramètres!$A$1:$I$89,3,0)*VLOOKUP('Données projet'!$B$13,Paramètres!$A$1:$I$89,5,0)</f>
        <v>1.5724800000000001</v>
      </c>
      <c r="CV8" s="13">
        <f t="shared" si="41"/>
        <v>0.6874714802109646</v>
      </c>
      <c r="CW8" s="20">
        <f t="shared" si="13"/>
        <v>3.9360821613674299</v>
      </c>
      <c r="CX8" s="59">
        <f t="shared" si="14"/>
        <v>182.72713003781479</v>
      </c>
      <c r="CY8" s="59">
        <f ca="1">AVERAGE(OFFSET($CX$3,0,0,'Données projet'!$E$13+1,1))-AVERAGE(OFFSET($H$3,0,0,'Données projet'!$E$13+1,1))</f>
        <v>120.26681323682763</v>
      </c>
      <c r="CZ8" s="59">
        <f t="shared" si="42"/>
        <v>344.92933166159389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0.28199999999999997</v>
      </c>
      <c r="DD8" s="16">
        <f>IF(ISNA(VLOOKUP(A8,'Données projet'!$A$139:$I$159,6,0)),0%,VLOOKUP(A8,'Données projet'!$A$139:$I$159,6,0)*VLOOKUP('Données projet'!$B$13,Paramètres!$A$1:$I$89,7,0))</f>
        <v>0.126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>
        <f>VLOOKUP(A9,'Données projet'!$A$35:$I$55,2,0)</f>
        <v>5</v>
      </c>
      <c r="L9" s="12">
        <f>VLOOKUP(A9,'Données projet'!$A$35:$I$55,9,0)</f>
        <v>0.83333333333333337</v>
      </c>
      <c r="M9" s="12">
        <f t="array" ref="M9">INDEX(L:L,MIN(IF(ISNUMBER(L9:L205),ROW(L9:L205),"")))</f>
        <v>0.83333333333333337</v>
      </c>
      <c r="N9" s="13">
        <f>IF('Données projet'!$A$36&gt;35,N8+M9-V8,IF(A9&lt;'Données projet'!$A$36,$K$205^A9,IF(A9='Données projet'!$A$36,'Données projet'!$B$36,N8+M9-V8)))</f>
        <v>5</v>
      </c>
      <c r="O9" s="13">
        <f>N9*VLOOKUP('Données projet'!$B$9,Paramètres!$A$1:$I$89,3,0)*VLOOKUP('Données projet'!$B$9,Paramètres!$A$1:$I$89,5,0)</f>
        <v>2.5428000000000002</v>
      </c>
      <c r="P9" s="13">
        <f t="shared" si="33"/>
        <v>1.0512013918025274</v>
      </c>
      <c r="Q9" s="20">
        <f t="shared" si="2"/>
        <v>6.2595524240560687</v>
      </c>
      <c r="R9" s="59">
        <f t="shared" si="0"/>
        <v>187.72980452031504</v>
      </c>
      <c r="S9" s="59">
        <f ca="1">AVERAGE(OFFSET($R$3,0,0,'Données projet'!$E$9+1,1))-AVERAGE(OFFSET($H$3,0,0,'Données projet'!$E$9+1,1))</f>
        <v>114.4650227251685</v>
      </c>
      <c r="T9" s="59">
        <f t="shared" si="34"/>
        <v>386.57315604590599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0.28199999999999997</v>
      </c>
      <c r="X9" s="16">
        <f>IF(ISNA(VLOOKUP(A9,'Données projet'!$A$35:$I$55,6,0)),0%,VLOOKUP(A9,'Données projet'!$A$35:$I$55,6,0)*VLOOKUP('Données projet'!$B$9,Paramètres!$A$1:$I$89,7,0))</f>
        <v>0.126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>
        <f>VLOOKUP(A9,'Données projet'!$A$61:$I$81,2,0)</f>
        <v>5</v>
      </c>
      <c r="AG9" s="12">
        <f>VLOOKUP(A9,'Données projet'!$A$61:$I$81,9,0)</f>
        <v>0.83333333333333337</v>
      </c>
      <c r="AH9" s="12">
        <f t="array" ref="AH9">INDEX(AG:AG,MIN(IF(ISNUMBER(AG9:AG205),ROW(AG9:AG205),"")))</f>
        <v>0.83333333333333337</v>
      </c>
      <c r="AI9" s="13">
        <f>IF('Données projet'!$A$62&gt;35,AI8+AH9-AQ8,IF(A9&lt;'Données projet'!$A$62,$AF$205^A9,IF(A9='Données projet'!$A$62,'Données projet'!$B$62,AI8+AH9-AQ8)))</f>
        <v>5</v>
      </c>
      <c r="AJ9" s="13">
        <f>AI9*VLOOKUP('Données projet'!$B$10,Paramètres!$A$1:$I$89,3,0)*VLOOKUP('Données projet'!$B$10,Paramètres!$A$1:$I$89,5,0)</f>
        <v>2.5428000000000002</v>
      </c>
      <c r="AK9" s="13">
        <f t="shared" si="35"/>
        <v>1.0512013918025274</v>
      </c>
      <c r="AL9" s="20">
        <f t="shared" si="4"/>
        <v>6.2595524240560687</v>
      </c>
      <c r="AM9" s="59">
        <f t="shared" si="5"/>
        <v>187.72980452031504</v>
      </c>
      <c r="AN9" s="59">
        <f ca="1">AVERAGE(OFFSET($AM$3,0,0,'Données projet'!$E$10+1,1))-AVERAGE(OFFSET($H$3,0,0,'Données projet'!$E$10+1,1))</f>
        <v>114.4650227251685</v>
      </c>
      <c r="AO9" s="59">
        <f t="shared" si="36"/>
        <v>386.57315604590599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0.28199999999999997</v>
      </c>
      <c r="AS9" s="16">
        <f>IF(ISNA(VLOOKUP(A9,'Données projet'!$A$61:$I$81,6,0)),0%,VLOOKUP(A9,'Données projet'!$A$61:$I$81,6,0)*VLOOKUP('Données projet'!$B$10,Paramètres!$A$1:$I$89,7,0))</f>
        <v>0.126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</v>
      </c>
      <c r="BD9" s="12">
        <f>IF('Données projet'!$A$88&gt;35,BD8+BC9-BL8,IF(A9&lt;'Données projet'!$A$88,$BA$205^A9,IF(A9='Données projet'!$A$88,'Données projet'!$B$88,BD8+BC9-BL8)))</f>
        <v>4.7568284600108832</v>
      </c>
      <c r="BE9" s="13">
        <f>BD9*VLOOKUP('Données projet'!$B$11,Paramètres!$A$1:$I$89,3,0)*VLOOKUP('Données projet'!$B$11,Paramètres!$A$1:$I$89,5,0)</f>
        <v>2.4191326816231347</v>
      </c>
      <c r="BF9" s="13">
        <f t="shared" si="37"/>
        <v>1.0058975856886845</v>
      </c>
      <c r="BG9" s="20">
        <f t="shared" si="7"/>
        <v>5.965261048901418</v>
      </c>
      <c r="BH9" s="59">
        <f t="shared" si="8"/>
        <v>187.4355131451604</v>
      </c>
      <c r="BI9" s="59">
        <f ca="1">AVERAGE(OFFSET($BH$3,0,0,'Données projet'!$E$11+1,1))-AVERAGE(OFFSET($H$3,0,0,'Données projet'!$E$11+1,1))</f>
        <v>68.944412338382023</v>
      </c>
      <c r="BJ9" s="59">
        <f t="shared" si="38"/>
        <v>281.00389700159246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>
        <f>VLOOKUP(A9,'Données projet'!$A$113:$I$133,2,0)</f>
        <v>29</v>
      </c>
      <c r="BW9" s="12">
        <f>VLOOKUP(A9,'Données projet'!$A$113:$I$133,9,0)</f>
        <v>26</v>
      </c>
      <c r="BX9" s="12">
        <f t="array" ref="BX9">INDEX(BW:BW,MIN(IF(ISNUMBER(BW9:BW205),ROW(BW9:BW205),"")))</f>
        <v>26</v>
      </c>
      <c r="BY9" s="12">
        <f>IF('Données projet'!$A$114&gt;35,BY8+BX9-CG8,IF(A9&lt;'Données projet'!$A$114,$BV$205^A9,IF(A9='Données projet'!$A$114,'Données projet'!$B$114,BY8+BX9-CG8)))</f>
        <v>29</v>
      </c>
      <c r="BZ9" s="13">
        <f>BY9*VLOOKUP('Données projet'!$B$12,Paramètres!$A$1:$I$89,3,0)*VLOOKUP('Données projet'!$B$12,Paramètres!$A$1:$I$89,5,0)</f>
        <v>15.20064</v>
      </c>
      <c r="CA9" s="13">
        <f t="shared" si="39"/>
        <v>5.1032308720646968</v>
      </c>
      <c r="CB9" s="20">
        <f t="shared" si="10"/>
        <v>35.362575102179342</v>
      </c>
      <c r="CC9" s="59">
        <f t="shared" si="11"/>
        <v>216.83282719843831</v>
      </c>
      <c r="CD9" s="59">
        <f ca="1">AVERAGE(OFFSET($CC$3,0,0,'Données projet'!$E$12+1,1))-AVERAGE(OFFSET($H$3,0,0,'Données projet'!$E$12+1,1))</f>
        <v>120.26681323682763</v>
      </c>
      <c r="CE9" s="59">
        <f t="shared" si="40"/>
        <v>344.92933166159389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0.28199999999999997</v>
      </c>
      <c r="CI9" s="16">
        <f>IF(ISNA(VLOOKUP(A9,'Données projet'!$A$113:$I$133,6,0)),0%,VLOOKUP(A9,'Données projet'!$A$113:$I$133,6,0)*VLOOKUP('Données projet'!$B$12,Paramètres!$A$1:$I$89,7,0))</f>
        <v>0.126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>
        <f>VLOOKUP(A9,'Données projet'!$A$139:$I$159,2,0)</f>
        <v>29</v>
      </c>
      <c r="CR9" s="12">
        <f>VLOOKUP(A9,'Données projet'!$A$139:$I$159,9,0)</f>
        <v>26</v>
      </c>
      <c r="CS9" s="12">
        <f t="array" ref="CS9">INDEX(CR:CR,MIN(IF(ISNUMBER(CR9:CR205),ROW(CR9:CR205),"")))</f>
        <v>26</v>
      </c>
      <c r="CT9" s="12">
        <f>IF('Données projet'!$A$140&gt;35,CT8+CS9-DB8,IF(A9&lt;'Données projet'!$A$140,$CQ$205^A9,IF(A9='Données projet'!$A$140,'Données projet'!$B$140,CT8+CS9-DB8)))</f>
        <v>29</v>
      </c>
      <c r="CU9" s="17">
        <f>CT9*VLOOKUP('Données projet'!$B$13,Paramètres!$A$1:$I$89,3,0)*VLOOKUP('Données projet'!$B$13,Paramètres!$A$1:$I$89,5,0)</f>
        <v>15.20064</v>
      </c>
      <c r="CV9" s="13">
        <f t="shared" si="41"/>
        <v>5.1032308720646968</v>
      </c>
      <c r="CW9" s="20">
        <f t="shared" si="13"/>
        <v>35.362575102179342</v>
      </c>
      <c r="CX9" s="59">
        <f t="shared" si="14"/>
        <v>216.83282719843831</v>
      </c>
      <c r="CY9" s="59">
        <f ca="1">AVERAGE(OFFSET($CX$3,0,0,'Données projet'!$E$13+1,1))-AVERAGE(OFFSET($H$3,0,0,'Données projet'!$E$13+1,1))</f>
        <v>120.26681323682763</v>
      </c>
      <c r="CZ9" s="59">
        <f t="shared" si="42"/>
        <v>344.92933166159389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0.28199999999999997</v>
      </c>
      <c r="DD9" s="16">
        <f>IF(ISNA(VLOOKUP(A9,'Données projet'!$A$139:$I$159,6,0)),0%,VLOOKUP(A9,'Données projet'!$A$139:$I$159,6,0)*VLOOKUP('Données projet'!$B$13,Paramètres!$A$1:$I$89,7,0))</f>
        <v>0.126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>
        <f>VLOOKUP(A10,'Données projet'!$A$35:$I$55,2,0)</f>
        <v>29</v>
      </c>
      <c r="L10" s="12">
        <f>VLOOKUP(A10,'Données projet'!$A$35:$I$55,9,0)</f>
        <v>24</v>
      </c>
      <c r="M10" s="12">
        <f t="array" ref="M10">INDEX(L:L,MIN(IF(ISNUMBER(L10:L206),ROW(L10:L206),"")))</f>
        <v>24</v>
      </c>
      <c r="N10" s="13">
        <f>IF('Données projet'!$A$36&gt;35,N9+M10-V9,IF(A10&lt;'Données projet'!$A$36,$K$205^A10,IF(A10='Données projet'!$A$36,'Données projet'!$B$36,N9+M10-V9)))</f>
        <v>29</v>
      </c>
      <c r="O10" s="13">
        <f>N10*VLOOKUP('Données projet'!$B$9,Paramètres!$A$1:$I$89,3,0)*VLOOKUP('Données projet'!$B$9,Paramètres!$A$1:$I$89,5,0)</f>
        <v>14.748240000000001</v>
      </c>
      <c r="P10" s="13">
        <f t="shared" si="33"/>
        <v>4.9687929763413896</v>
      </c>
      <c r="Q10" s="20">
        <f t="shared" si="2"/>
        <v>34.340499100461251</v>
      </c>
      <c r="R10" s="59">
        <f t="shared" si="0"/>
        <v>218.46468003619748</v>
      </c>
      <c r="S10" s="59">
        <f ca="1">AVERAGE(OFFSET($R$3,0,0,'Données projet'!$E$9+1,1))-AVERAGE(OFFSET($H$3,0,0,'Données projet'!$E$9+1,1))</f>
        <v>114.4650227251685</v>
      </c>
      <c r="T10" s="59">
        <f t="shared" si="34"/>
        <v>386.57315604590599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0.28199999999999997</v>
      </c>
      <c r="X10" s="16">
        <f>IF(ISNA(VLOOKUP(A10,'Données projet'!$A$35:$I$55,6,0)),0%,VLOOKUP(A10,'Données projet'!$A$35:$I$55,6,0)*VLOOKUP('Données projet'!$B$9,Paramètres!$A$1:$I$89,7,0))</f>
        <v>0.126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>
        <f>VLOOKUP(A10,'Données projet'!$A$61:$I$81,2,0)</f>
        <v>29</v>
      </c>
      <c r="AG10" s="12">
        <f>VLOOKUP(A10,'Données projet'!$A$61:$I$81,9,0)</f>
        <v>24</v>
      </c>
      <c r="AH10" s="12">
        <f t="array" ref="AH10">INDEX(AG:AG,MIN(IF(ISNUMBER(AG10:AG206),ROW(AG10:AG206),"")))</f>
        <v>24</v>
      </c>
      <c r="AI10" s="13">
        <f>IF('Données projet'!$A$62&gt;35,AI9+AH10-AQ9,IF(A10&lt;'Données projet'!$A$62,$AF$205^A10,IF(A10='Données projet'!$A$62,'Données projet'!$B$62,AI9+AH10-AQ9)))</f>
        <v>29</v>
      </c>
      <c r="AJ10" s="13">
        <f>AI10*VLOOKUP('Données projet'!$B$10,Paramètres!$A$1:$I$89,3,0)*VLOOKUP('Données projet'!$B$10,Paramètres!$A$1:$I$89,5,0)</f>
        <v>14.748240000000001</v>
      </c>
      <c r="AK10" s="13">
        <f t="shared" si="35"/>
        <v>4.9687929763413896</v>
      </c>
      <c r="AL10" s="20">
        <f t="shared" si="4"/>
        <v>34.340499100461251</v>
      </c>
      <c r="AM10" s="59">
        <f t="shared" si="5"/>
        <v>218.46468003619748</v>
      </c>
      <c r="AN10" s="59">
        <f ca="1">AVERAGE(OFFSET($AM$3,0,0,'Données projet'!$E$10+1,1))-AVERAGE(OFFSET($H$3,0,0,'Données projet'!$E$10+1,1))</f>
        <v>114.4650227251685</v>
      </c>
      <c r="AO10" s="59">
        <f t="shared" si="36"/>
        <v>386.57315604590599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0.28199999999999997</v>
      </c>
      <c r="AS10" s="16">
        <f>IF(ISNA(VLOOKUP(A10,'Données projet'!$A$61:$I$81,6,0)),0%,VLOOKUP(A10,'Données projet'!$A$61:$I$81,6,0)*VLOOKUP('Données projet'!$B$10,Paramètres!$A$1:$I$89,7,0))</f>
        <v>0.126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</v>
      </c>
      <c r="BD10" s="12">
        <f>IF('Données projet'!$A$88&gt;35,BD9+BC10-BL9,IF(A10&lt;'Données projet'!$A$88,$BA$205^A10,IF(A10='Données projet'!$A$88,'Données projet'!$B$88,BD9+BC10-BL9)))</f>
        <v>6.168843301631763</v>
      </c>
      <c r="BE10" s="13">
        <f>BD10*VLOOKUP('Données projet'!$B$11,Paramètres!$A$1:$I$89,3,0)*VLOOKUP('Données projet'!$B$11,Paramètres!$A$1:$I$89,5,0)</f>
        <v>3.1372269494778497</v>
      </c>
      <c r="BF10" s="13">
        <f t="shared" si="37"/>
        <v>1.2656104580151082</v>
      </c>
      <c r="BG10" s="20">
        <f t="shared" si="7"/>
        <v>7.6682751513835692</v>
      </c>
      <c r="BH10" s="59">
        <f t="shared" si="8"/>
        <v>191.7924560871198</v>
      </c>
      <c r="BI10" s="59">
        <f ca="1">AVERAGE(OFFSET($BH$3,0,0,'Données projet'!$E$11+1,1))-AVERAGE(OFFSET($H$3,0,0,'Données projet'!$E$11+1,1))</f>
        <v>68.944412338382023</v>
      </c>
      <c r="BJ10" s="59">
        <f t="shared" si="38"/>
        <v>281.00389700159246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>
        <f>VLOOKUP(A10,'Données projet'!$A$113:$I$133,2,0)</f>
        <v>57</v>
      </c>
      <c r="BW10" s="12">
        <f>VLOOKUP(A10,'Données projet'!$A$113:$I$133,9,0)</f>
        <v>28</v>
      </c>
      <c r="BX10" s="12">
        <f t="array" ref="BX10">INDEX(BW:BW,MIN(IF(ISNUMBER(BW10:BW206),ROW(BW10:BW206),"")))</f>
        <v>28</v>
      </c>
      <c r="BY10" s="12">
        <f>IF('Données projet'!$A$114&gt;35,BY9+BX10-CG9,IF(A10&lt;'Données projet'!$A$114,$BV$205^A10,IF(A10='Données projet'!$A$114,'Données projet'!$B$114,BY9+BX10-CG9)))</f>
        <v>57</v>
      </c>
      <c r="BZ10" s="13">
        <f>BY10*VLOOKUP('Données projet'!$B$12,Paramètres!$A$1:$I$89,3,0)*VLOOKUP('Données projet'!$B$12,Paramètres!$A$1:$I$89,5,0)</f>
        <v>29.877120000000001</v>
      </c>
      <c r="CA10" s="13">
        <f t="shared" si="39"/>
        <v>9.2717426343874898</v>
      </c>
      <c r="CB10" s="20">
        <f t="shared" si="10"/>
        <v>68.18426908822488</v>
      </c>
      <c r="CC10" s="59">
        <f t="shared" si="11"/>
        <v>252.30845002396111</v>
      </c>
      <c r="CD10" s="59">
        <f ca="1">AVERAGE(OFFSET($CC$3,0,0,'Données projet'!$E$12+1,1))-AVERAGE(OFFSET($H$3,0,0,'Données projet'!$E$12+1,1))</f>
        <v>120.26681323682763</v>
      </c>
      <c r="CE10" s="59">
        <f t="shared" si="40"/>
        <v>344.92933166159389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0.28199999999999997</v>
      </c>
      <c r="CI10" s="16">
        <f>IF(ISNA(VLOOKUP(A10,'Données projet'!$A$113:$I$133,6,0)),0%,VLOOKUP(A10,'Données projet'!$A$113:$I$133,6,0)*VLOOKUP('Données projet'!$B$12,Paramètres!$A$1:$I$89,7,0))</f>
        <v>0.126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>
        <f>VLOOKUP(A10,'Données projet'!$A$139:$I$159,2,0)</f>
        <v>57</v>
      </c>
      <c r="CR10" s="12">
        <f>VLOOKUP(A10,'Données projet'!$A$139:$I$159,9,0)</f>
        <v>28</v>
      </c>
      <c r="CS10" s="12">
        <f t="array" ref="CS10">INDEX(CR:CR,MIN(IF(ISNUMBER(CR10:CR206),ROW(CR10:CR206),"")))</f>
        <v>28</v>
      </c>
      <c r="CT10" s="12">
        <f>IF('Données projet'!$A$140&gt;35,CT9+CS10-DB9,IF(A10&lt;'Données projet'!$A$140,$CQ$205^A10,IF(A10='Données projet'!$A$140,'Données projet'!$B$140,CT9+CS10-DB9)))</f>
        <v>57</v>
      </c>
      <c r="CU10" s="17">
        <f>CT10*VLOOKUP('Données projet'!$B$13,Paramètres!$A$1:$I$89,3,0)*VLOOKUP('Données projet'!$B$13,Paramètres!$A$1:$I$89,5,0)</f>
        <v>29.877120000000001</v>
      </c>
      <c r="CV10" s="13">
        <f t="shared" si="41"/>
        <v>9.2717426343874898</v>
      </c>
      <c r="CW10" s="20">
        <f t="shared" si="13"/>
        <v>68.18426908822488</v>
      </c>
      <c r="CX10" s="59">
        <f t="shared" si="14"/>
        <v>252.30845002396111</v>
      </c>
      <c r="CY10" s="59">
        <f ca="1">AVERAGE(OFFSET($CX$3,0,0,'Données projet'!$E$13+1,1))-AVERAGE(OFFSET($H$3,0,0,'Données projet'!$E$13+1,1))</f>
        <v>120.26681323682763</v>
      </c>
      <c r="CZ10" s="59">
        <f t="shared" si="42"/>
        <v>344.92933166159389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0.28199999999999997</v>
      </c>
      <c r="DD10" s="16">
        <f>IF(ISNA(VLOOKUP(A10,'Données projet'!$A$139:$I$159,6,0)),0%,VLOOKUP(A10,'Données projet'!$A$139:$I$159,6,0)*VLOOKUP('Données projet'!$B$13,Paramètres!$A$1:$I$89,7,0))</f>
        <v>0.126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>
        <f>VLOOKUP(A11,'Données projet'!$A$35:$I$55,2,0)</f>
        <v>60</v>
      </c>
      <c r="L11" s="12">
        <f>VLOOKUP(A11,'Données projet'!$A$35:$I$55,9,0)</f>
        <v>31</v>
      </c>
      <c r="M11" s="12">
        <f t="array" ref="M11">INDEX(L:L,MIN(IF(ISNUMBER(L11:L207),ROW(L11:L207),"")))</f>
        <v>31</v>
      </c>
      <c r="N11" s="13">
        <f>IF('Données projet'!$A$36&gt;35,N10+M11-V10,IF(A11&lt;'Données projet'!$A$36,$K$205^A11,IF(A11='Données projet'!$A$36,'Données projet'!$B$36,N10+M11-V10)))</f>
        <v>60</v>
      </c>
      <c r="O11" s="13">
        <f>N11*VLOOKUP('Données projet'!$B$9,Paramètres!$A$1:$I$89,3,0)*VLOOKUP('Données projet'!$B$9,Paramètres!$A$1:$I$89,5,0)</f>
        <v>30.513600000000004</v>
      </c>
      <c r="P11" s="13">
        <f t="shared" si="33"/>
        <v>9.4460551368326602</v>
      </c>
      <c r="Q11" s="20">
        <f t="shared" si="2"/>
        <v>69.596399363316891</v>
      </c>
      <c r="R11" s="59">
        <f t="shared" si="0"/>
        <v>256.34967222953742</v>
      </c>
      <c r="S11" s="59">
        <f ca="1">AVERAGE(OFFSET($R$3,0,0,'Données projet'!$E$9+1,1))-AVERAGE(OFFSET($H$3,0,0,'Données projet'!$E$9+1,1))</f>
        <v>114.4650227251685</v>
      </c>
      <c r="T11" s="59">
        <f t="shared" si="34"/>
        <v>386.57315604590599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0.28199999999999997</v>
      </c>
      <c r="X11" s="16">
        <f>IF(ISNA(VLOOKUP(A11,'Données projet'!$A$35:$I$55,6,0)),0%,VLOOKUP(A11,'Données projet'!$A$35:$I$55,6,0)*VLOOKUP('Données projet'!$B$9,Paramètres!$A$1:$I$89,7,0))</f>
        <v>0.126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>
        <f>VLOOKUP(A11,'Données projet'!$A$61:$I$81,2,0)</f>
        <v>60</v>
      </c>
      <c r="AG11" s="12">
        <f>VLOOKUP(A11,'Données projet'!$A$61:$I$81,9,0)</f>
        <v>31</v>
      </c>
      <c r="AH11" s="12">
        <f t="array" ref="AH11">INDEX(AG:AG,MIN(IF(ISNUMBER(AG11:AG207),ROW(AG11:AG207),"")))</f>
        <v>31</v>
      </c>
      <c r="AI11" s="13">
        <f>IF('Données projet'!$A$62&gt;35,AI10+AH11-AQ10,IF(A11&lt;'Données projet'!$A$62,$AF$205^A11,IF(A11='Données projet'!$A$62,'Données projet'!$B$62,AI10+AH11-AQ10)))</f>
        <v>60</v>
      </c>
      <c r="AJ11" s="13">
        <f>AI11*VLOOKUP('Données projet'!$B$10,Paramètres!$A$1:$I$89,3,0)*VLOOKUP('Données projet'!$B$10,Paramètres!$A$1:$I$89,5,0)</f>
        <v>30.513600000000004</v>
      </c>
      <c r="AK11" s="13">
        <f t="shared" si="35"/>
        <v>9.4460551368326602</v>
      </c>
      <c r="AL11" s="20">
        <f t="shared" si="4"/>
        <v>69.596399363316891</v>
      </c>
      <c r="AM11" s="59">
        <f t="shared" si="5"/>
        <v>256.34967222953742</v>
      </c>
      <c r="AN11" s="59">
        <f ca="1">AVERAGE(OFFSET($AM$3,0,0,'Données projet'!$E$10+1,1))-AVERAGE(OFFSET($H$3,0,0,'Données projet'!$E$10+1,1))</f>
        <v>114.4650227251685</v>
      </c>
      <c r="AO11" s="59">
        <f t="shared" si="36"/>
        <v>386.57315604590599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0.28199999999999997</v>
      </c>
      <c r="AS11" s="16">
        <f>IF(ISNA(VLOOKUP(A11,'Données projet'!$A$61:$I$81,6,0)),0%,VLOOKUP(A11,'Données projet'!$A$61:$I$81,6,0)*VLOOKUP('Données projet'!$B$10,Paramètres!$A$1:$I$89,7,0))</f>
        <v>0.126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>
        <f>VLOOKUP(A11,'Données projet'!$A$87:$I$107,2,0)</f>
        <v>8</v>
      </c>
      <c r="BB11" s="12">
        <f>VLOOKUP(A11,'Données projet'!$A$87:$I$107,9,0)</f>
        <v>1</v>
      </c>
      <c r="BC11" s="12">
        <f t="array" ref="BC11">INDEX(BB:BB,MIN(IF(ISNUMBER(BB11:BB207),ROW(BB11:BB207),"")))</f>
        <v>1</v>
      </c>
      <c r="BD11" s="12">
        <f>IF('Données projet'!$A$88&gt;35,BD10+BC11-BL10,IF(A11&lt;'Données projet'!$A$88,$BA$205^A11,IF(A11='Données projet'!$A$88,'Données projet'!$B$88,BD10+BC11-BL10)))</f>
        <v>8</v>
      </c>
      <c r="BE11" s="13">
        <f>BD11*VLOOKUP('Données projet'!$B$11,Paramètres!$A$1:$I$89,3,0)*VLOOKUP('Données projet'!$B$11,Paramètres!$A$1:$I$89,5,0)</f>
        <v>4.0684800000000001</v>
      </c>
      <c r="BF11" s="13">
        <f t="shared" si="37"/>
        <v>1.5923786419474943</v>
      </c>
      <c r="BG11" s="20">
        <f t="shared" si="7"/>
        <v>9.8593288013918841</v>
      </c>
      <c r="BH11" s="59">
        <f t="shared" si="8"/>
        <v>196.61260166761244</v>
      </c>
      <c r="BI11" s="59">
        <f ca="1">AVERAGE(OFFSET($BH$3,0,0,'Données projet'!$E$11+1,1))-AVERAGE(OFFSET($H$3,0,0,'Données projet'!$E$11+1,1))</f>
        <v>68.944412338382023</v>
      </c>
      <c r="BJ11" s="59">
        <f t="shared" si="38"/>
        <v>281.00389700159246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0.28199999999999997</v>
      </c>
      <c r="BN11" s="16">
        <f>IF(ISNA(VLOOKUP(A11,'Données projet'!$A$87:$I$107,6,0)),0%,VLOOKUP(A11,'Données projet'!$A$87:$I$107,6,0)*VLOOKUP('Données projet'!$B$11,Paramètres!$A$1:$I$89,7,0))</f>
        <v>0.126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>
        <f>VLOOKUP(A11,'Données projet'!$A$113:$I$133,2,0)</f>
        <v>89</v>
      </c>
      <c r="BW11" s="12">
        <f>VLOOKUP(A11,'Données projet'!$A$113:$I$133,9,0)</f>
        <v>32</v>
      </c>
      <c r="BX11" s="12">
        <f t="array" ref="BX11">INDEX(BW:BW,MIN(IF(ISNUMBER(BW11:BW207),ROW(BW11:BW207),"")))</f>
        <v>32</v>
      </c>
      <c r="BY11" s="12">
        <f>IF('Données projet'!$A$114&gt;35,BY10+BX11-CG10,IF(A11&lt;'Données projet'!$A$114,$BV$205^A11,IF(A11='Données projet'!$A$114,'Données projet'!$B$114,BY10+BX11-CG10)))</f>
        <v>89</v>
      </c>
      <c r="BZ11" s="13">
        <f>BY11*VLOOKUP('Données projet'!$B$12,Paramètres!$A$1:$I$89,3,0)*VLOOKUP('Données projet'!$B$12,Paramètres!$A$1:$I$89,5,0)</f>
        <v>46.650240000000004</v>
      </c>
      <c r="CA11" s="13">
        <f t="shared" si="39"/>
        <v>13.745209238698116</v>
      </c>
      <c r="CB11" s="20">
        <f t="shared" si="10"/>
        <v>105.18874075739923</v>
      </c>
      <c r="CC11" s="59">
        <f t="shared" si="11"/>
        <v>291.9420136236198</v>
      </c>
      <c r="CD11" s="59">
        <f ca="1">AVERAGE(OFFSET($CC$3,0,0,'Données projet'!$E$12+1,1))-AVERAGE(OFFSET($H$3,0,0,'Données projet'!$E$12+1,1))</f>
        <v>120.26681323682763</v>
      </c>
      <c r="CE11" s="59">
        <f t="shared" si="40"/>
        <v>344.92933166159389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0.28199999999999997</v>
      </c>
      <c r="CI11" s="16">
        <f>IF(ISNA(VLOOKUP(A11,'Données projet'!$A$113:$I$133,6,0)),0%,VLOOKUP(A11,'Données projet'!$A$113:$I$133,6,0)*VLOOKUP('Données projet'!$B$12,Paramètres!$A$1:$I$89,7,0))</f>
        <v>0.126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>
        <f>VLOOKUP(A11,'Données projet'!$A$139:$I$159,2,0)</f>
        <v>89</v>
      </c>
      <c r="CR11" s="12">
        <f>VLOOKUP(A11,'Données projet'!$A$139:$I$159,9,0)</f>
        <v>32</v>
      </c>
      <c r="CS11" s="12">
        <f t="array" ref="CS11">INDEX(CR:CR,MIN(IF(ISNUMBER(CR11:CR207),ROW(CR11:CR207),"")))</f>
        <v>32</v>
      </c>
      <c r="CT11" s="12">
        <f>IF('Données projet'!$A$140&gt;35,CT10+CS11-DB10,IF(A11&lt;'Données projet'!$A$140,$CQ$205^A11,IF(A11='Données projet'!$A$140,'Données projet'!$B$140,CT10+CS11-DB10)))</f>
        <v>89</v>
      </c>
      <c r="CU11" s="17">
        <f>CT11*VLOOKUP('Données projet'!$B$13,Paramètres!$A$1:$I$89,3,0)*VLOOKUP('Données projet'!$B$13,Paramètres!$A$1:$I$89,5,0)</f>
        <v>46.650240000000004</v>
      </c>
      <c r="CV11" s="13">
        <f t="shared" si="41"/>
        <v>13.745209238698116</v>
      </c>
      <c r="CW11" s="20">
        <f t="shared" si="13"/>
        <v>105.18874075739923</v>
      </c>
      <c r="CX11" s="59">
        <f t="shared" si="14"/>
        <v>291.9420136236198</v>
      </c>
      <c r="CY11" s="59">
        <f ca="1">AVERAGE(OFFSET($CX$3,0,0,'Données projet'!$E$13+1,1))-AVERAGE(OFFSET($H$3,0,0,'Données projet'!$E$13+1,1))</f>
        <v>120.26681323682763</v>
      </c>
      <c r="CZ11" s="59">
        <f t="shared" si="42"/>
        <v>344.92933166159389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0.28199999999999997</v>
      </c>
      <c r="DD11" s="16">
        <f>IF(ISNA(VLOOKUP(A11,'Données projet'!$A$139:$I$159,6,0)),0%,VLOOKUP(A11,'Données projet'!$A$139:$I$159,6,0)*VLOOKUP('Données projet'!$B$13,Paramètres!$A$1:$I$89,7,0))</f>
        <v>0.126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>
        <f>VLOOKUP(A12,'Données projet'!$A$35:$I$55,2,0)</f>
        <v>97</v>
      </c>
      <c r="L12" s="12">
        <f>VLOOKUP(A12,'Données projet'!$A$35:$I$55,9,0)</f>
        <v>37</v>
      </c>
      <c r="M12" s="12">
        <f t="array" ref="M12">INDEX(L:L,MIN(IF(ISNUMBER(L12:L208),ROW(L12:L208),"")))</f>
        <v>37</v>
      </c>
      <c r="N12" s="13">
        <f>IF('Données projet'!$A$36&gt;35,N11+M12-V11,IF(A12&lt;'Données projet'!$A$36,$K$205^A12,IF(A12='Données projet'!$A$36,'Données projet'!$B$36,N11+M12-V11)))</f>
        <v>97</v>
      </c>
      <c r="O12" s="13">
        <f>N12*VLOOKUP('Données projet'!$B$9,Paramètres!$A$1:$I$89,3,0)*VLOOKUP('Données projet'!$B$9,Paramètres!$A$1:$I$89,5,0)</f>
        <v>49.33032</v>
      </c>
      <c r="P12" s="13">
        <f t="shared" si="33"/>
        <v>14.440676392293337</v>
      </c>
      <c r="Q12" s="20">
        <f t="shared" si="2"/>
        <v>111.06781871657756</v>
      </c>
      <c r="R12" s="59">
        <f t="shared" si="0"/>
        <v>300.42577746913366</v>
      </c>
      <c r="S12" s="59">
        <f ca="1">AVERAGE(OFFSET($R$3,0,0,'Données projet'!$E$9+1,1))-AVERAGE(OFFSET($H$3,0,0,'Données projet'!$E$9+1,1))</f>
        <v>114.4650227251685</v>
      </c>
      <c r="T12" s="59">
        <f t="shared" si="34"/>
        <v>386.57315604590599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0.28199999999999997</v>
      </c>
      <c r="X12" s="16">
        <f>IF(ISNA(VLOOKUP(A12,'Données projet'!$A$35:$I$55,6,0)),0%,VLOOKUP(A12,'Données projet'!$A$35:$I$55,6,0)*VLOOKUP('Données projet'!$B$9,Paramètres!$A$1:$I$89,7,0))</f>
        <v>0.126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>
        <f>VLOOKUP(A12,'Données projet'!$A$61:$I$81,2,0)</f>
        <v>97</v>
      </c>
      <c r="AG12" s="12">
        <f>VLOOKUP(A12,'Données projet'!$A$61:$I$81,9,0)</f>
        <v>37</v>
      </c>
      <c r="AH12" s="12">
        <f t="array" ref="AH12">INDEX(AG:AG,MIN(IF(ISNUMBER(AG12:AG208),ROW(AG12:AG208),"")))</f>
        <v>37</v>
      </c>
      <c r="AI12" s="13">
        <f>IF('Données projet'!$A$62&gt;35,AI11+AH12-AQ11,IF(A12&lt;'Données projet'!$A$62,$AF$205^A12,IF(A12='Données projet'!$A$62,'Données projet'!$B$62,AI11+AH12-AQ11)))</f>
        <v>97</v>
      </c>
      <c r="AJ12" s="13">
        <f>AI12*VLOOKUP('Données projet'!$B$10,Paramètres!$A$1:$I$89,3,0)*VLOOKUP('Données projet'!$B$10,Paramètres!$A$1:$I$89,5,0)</f>
        <v>49.33032</v>
      </c>
      <c r="AK12" s="13">
        <f t="shared" si="35"/>
        <v>14.440676392293337</v>
      </c>
      <c r="AL12" s="20">
        <f t="shared" si="4"/>
        <v>111.06781871657756</v>
      </c>
      <c r="AM12" s="59">
        <f t="shared" si="5"/>
        <v>300.42577746913366</v>
      </c>
      <c r="AN12" s="59">
        <f ca="1">AVERAGE(OFFSET($AM$3,0,0,'Données projet'!$E$10+1,1))-AVERAGE(OFFSET($H$3,0,0,'Données projet'!$E$10+1,1))</f>
        <v>114.4650227251685</v>
      </c>
      <c r="AO12" s="59">
        <f t="shared" si="36"/>
        <v>386.57315604590599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0.28199999999999997</v>
      </c>
      <c r="AS12" s="16">
        <f>IF(ISNA(VLOOKUP(A12,'Données projet'!$A$61:$I$81,6,0)),0%,VLOOKUP(A12,'Données projet'!$A$61:$I$81,6,0)*VLOOKUP('Données projet'!$B$10,Paramètres!$A$1:$I$89,7,0))</f>
        <v>0.126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>
        <f>VLOOKUP(A12,'Données projet'!$A$87:$I$107,2,0)</f>
        <v>34</v>
      </c>
      <c r="BB12" s="12">
        <f>VLOOKUP(A12,'Données projet'!$A$87:$I$107,9,0)</f>
        <v>26</v>
      </c>
      <c r="BC12" s="12">
        <f t="array" ref="BC12">INDEX(BB:BB,MIN(IF(ISNUMBER(BB12:BB208),ROW(BB12:BB208),"")))</f>
        <v>26</v>
      </c>
      <c r="BD12" s="12">
        <f>IF('Données projet'!$A$88&gt;35,BD11+BC12-BL11,IF(A12&lt;'Données projet'!$A$88,$BA$205^A12,IF(A12='Données projet'!$A$88,'Données projet'!$B$88,BD11+BC12-BL11)))</f>
        <v>34</v>
      </c>
      <c r="BE12" s="13">
        <f>BD12*VLOOKUP('Données projet'!$B$11,Paramètres!$A$1:$I$89,3,0)*VLOOKUP('Données projet'!$B$11,Paramètres!$A$1:$I$89,5,0)</f>
        <v>17.291039999999999</v>
      </c>
      <c r="BF12" s="13">
        <f t="shared" si="37"/>
        <v>5.7186142547431791</v>
      </c>
      <c r="BG12" s="20">
        <f t="shared" si="7"/>
        <v>40.075147827011037</v>
      </c>
      <c r="BH12" s="59">
        <f t="shared" si="8"/>
        <v>229.4331065795671</v>
      </c>
      <c r="BI12" s="59">
        <f ca="1">AVERAGE(OFFSET($BH$3,0,0,'Données projet'!$E$11+1,1))-AVERAGE(OFFSET($H$3,0,0,'Données projet'!$E$11+1,1))</f>
        <v>68.944412338382023</v>
      </c>
      <c r="BJ12" s="59">
        <f t="shared" si="38"/>
        <v>281.00389700159246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0.28199999999999997</v>
      </c>
      <c r="BN12" s="16">
        <f>IF(ISNA(VLOOKUP(A12,'Données projet'!$A$87:$I$107,6,0)),0%,VLOOKUP(A12,'Données projet'!$A$87:$I$107,6,0)*VLOOKUP('Données projet'!$B$11,Paramètres!$A$1:$I$89,7,0))</f>
        <v>0.126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>
        <f>VLOOKUP(A12,'Données projet'!$A$113:$I$133,2,0)</f>
        <v>120</v>
      </c>
      <c r="BW12" s="12">
        <f>VLOOKUP(A12,'Données projet'!$A$113:$I$133,9,0)</f>
        <v>31</v>
      </c>
      <c r="BX12" s="12">
        <f t="array" ref="BX12">INDEX(BW:BW,MIN(IF(ISNUMBER(BW12:BW208),ROW(BW12:BW208),"")))</f>
        <v>31</v>
      </c>
      <c r="BY12" s="12">
        <f>IF('Données projet'!$A$114&gt;35,BY11+BX12-CG11,IF(A12&lt;'Données projet'!$A$114,$BV$205^A12,IF(A12='Données projet'!$A$114,'Données projet'!$B$114,BY11+BX12-CG11)))</f>
        <v>120</v>
      </c>
      <c r="BZ12" s="13">
        <f>BY12*VLOOKUP('Données projet'!$B$12,Paramètres!$A$1:$I$89,3,0)*VLOOKUP('Données projet'!$B$12,Paramètres!$A$1:$I$89,5,0)</f>
        <v>62.8992</v>
      </c>
      <c r="CA12" s="13">
        <f t="shared" si="39"/>
        <v>17.899252496876414</v>
      </c>
      <c r="CB12" s="20">
        <f t="shared" si="10"/>
        <v>140.72397143205976</v>
      </c>
      <c r="CC12" s="59">
        <f t="shared" si="11"/>
        <v>330.08193018461583</v>
      </c>
      <c r="CD12" s="59">
        <f ca="1">AVERAGE(OFFSET($CC$3,0,0,'Données projet'!$E$12+1,1))-AVERAGE(OFFSET($H$3,0,0,'Données projet'!$E$12+1,1))</f>
        <v>120.26681323682763</v>
      </c>
      <c r="CE12" s="59">
        <f t="shared" si="40"/>
        <v>344.92933166159389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0.28199999999999997</v>
      </c>
      <c r="CI12" s="16">
        <f>IF(ISNA(VLOOKUP(A12,'Données projet'!$A$113:$I$133,6,0)),0%,VLOOKUP(A12,'Données projet'!$A$113:$I$133,6,0)*VLOOKUP('Données projet'!$B$12,Paramètres!$A$1:$I$89,7,0))</f>
        <v>0.126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>
        <f>VLOOKUP(A12,'Données projet'!$A$139:$I$159,2,0)</f>
        <v>120</v>
      </c>
      <c r="CR12" s="12">
        <f>VLOOKUP(A12,'Données projet'!$A$139:$I$159,9,0)</f>
        <v>31</v>
      </c>
      <c r="CS12" s="12">
        <f t="array" ref="CS12">INDEX(CR:CR,MIN(IF(ISNUMBER(CR12:CR208),ROW(CR12:CR208),"")))</f>
        <v>31</v>
      </c>
      <c r="CT12" s="12">
        <f>IF('Données projet'!$A$140&gt;35,CT11+CS12-DB11,IF(A12&lt;'Données projet'!$A$140,$CQ$205^A12,IF(A12='Données projet'!$A$140,'Données projet'!$B$140,CT11+CS12-DB11)))</f>
        <v>120</v>
      </c>
      <c r="CU12" s="17">
        <f>CT12*VLOOKUP('Données projet'!$B$13,Paramètres!$A$1:$I$89,3,0)*VLOOKUP('Données projet'!$B$13,Paramètres!$A$1:$I$89,5,0)</f>
        <v>62.8992</v>
      </c>
      <c r="CV12" s="13">
        <f t="shared" si="41"/>
        <v>17.899252496876414</v>
      </c>
      <c r="CW12" s="20">
        <f t="shared" si="13"/>
        <v>140.72397143205976</v>
      </c>
      <c r="CX12" s="59">
        <f t="shared" si="14"/>
        <v>330.08193018461583</v>
      </c>
      <c r="CY12" s="59">
        <f ca="1">AVERAGE(OFFSET($CX$3,0,0,'Données projet'!$E$13+1,1))-AVERAGE(OFFSET($H$3,0,0,'Données projet'!$E$13+1,1))</f>
        <v>120.26681323682763</v>
      </c>
      <c r="CZ12" s="59">
        <f t="shared" si="42"/>
        <v>344.92933166159389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0.28199999999999997</v>
      </c>
      <c r="DD12" s="16">
        <f>IF(ISNA(VLOOKUP(A12,'Données projet'!$A$139:$I$159,6,0)),0%,VLOOKUP(A12,'Données projet'!$A$139:$I$159,6,0)*VLOOKUP('Données projet'!$B$13,Paramètres!$A$1:$I$89,7,0))</f>
        <v>0.126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133</v>
      </c>
      <c r="L13" s="12">
        <f>VLOOKUP(A13,'Données projet'!$A$35:$I$55,9,0)</f>
        <v>36</v>
      </c>
      <c r="M13" s="12">
        <f t="array" ref="M13">INDEX(L:L,MIN(IF(ISNUMBER(L13:L209),ROW(L13:L209),"")))</f>
        <v>36</v>
      </c>
      <c r="N13" s="13">
        <f>IF('Données projet'!$A$36&gt;35,N12+M13-V12,IF(A13&lt;'Données projet'!$A$36,$K$205^A13,IF(A13='Données projet'!$A$36,'Données projet'!$B$36,N12+M13-V12)))</f>
        <v>133</v>
      </c>
      <c r="O13" s="13">
        <f>N13*VLOOKUP('Données projet'!$B$9,Paramètres!$A$1:$I$89,3,0)*VLOOKUP('Données projet'!$B$9,Paramètres!$A$1:$I$89,5,0)</f>
        <v>67.638480000000015</v>
      </c>
      <c r="P13" s="13">
        <f t="shared" si="33"/>
        <v>19.085842751767505</v>
      </c>
      <c r="Q13" s="20">
        <f t="shared" si="2"/>
        <v>151.04486212599508</v>
      </c>
      <c r="R13" s="59">
        <f t="shared" si="0"/>
        <v>342.98352411103997</v>
      </c>
      <c r="S13" s="59">
        <f ca="1">AVERAGE(OFFSET($R$3,0,0,'Données projet'!$E$9+1,1))-AVERAGE(OFFSET($H$3,0,0,'Données projet'!$E$9+1,1))</f>
        <v>114.4650227251685</v>
      </c>
      <c r="T13" s="59">
        <f t="shared" si="34"/>
        <v>386.57315604590599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0.28199999999999997</v>
      </c>
      <c r="X13" s="16">
        <f>IF(ISNA(VLOOKUP(A13,'Données projet'!$A$35:$I$55,6,0)),0%,VLOOKUP(A13,'Données projet'!$A$35:$I$55,6,0)*VLOOKUP('Données projet'!$B$9,Paramètres!$A$1:$I$89,7,0))</f>
        <v>0.126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>
        <f>VLOOKUP(A13,'Données projet'!$A$61:$I$81,2,0)</f>
        <v>133</v>
      </c>
      <c r="AG13" s="12">
        <f>VLOOKUP(A13,'Données projet'!$A$61:$I$81,9,0)</f>
        <v>36</v>
      </c>
      <c r="AH13" s="12">
        <f t="array" ref="AH13">INDEX(AG:AG,MIN(IF(ISNUMBER(AG13:AG209),ROW(AG13:AG209),"")))</f>
        <v>36</v>
      </c>
      <c r="AI13" s="13">
        <f>IF('Données projet'!$A$62&gt;35,AI12+AH13-AQ12,IF(A13&lt;'Données projet'!$A$62,$AF$205^A13,IF(A13='Données projet'!$A$62,'Données projet'!$B$62,AI12+AH13-AQ12)))</f>
        <v>133</v>
      </c>
      <c r="AJ13" s="13">
        <f>AI13*VLOOKUP('Données projet'!$B$10,Paramètres!$A$1:$I$89,3,0)*VLOOKUP('Données projet'!$B$10,Paramètres!$A$1:$I$89,5,0)</f>
        <v>67.638480000000015</v>
      </c>
      <c r="AK13" s="13">
        <f t="shared" si="35"/>
        <v>19.085842751767505</v>
      </c>
      <c r="AL13" s="20">
        <f t="shared" si="4"/>
        <v>151.04486212599508</v>
      </c>
      <c r="AM13" s="59">
        <f t="shared" si="5"/>
        <v>342.98352411103997</v>
      </c>
      <c r="AN13" s="59">
        <f ca="1">AVERAGE(OFFSET($AM$3,0,0,'Données projet'!$E$10+1,1))-AVERAGE(OFFSET($H$3,0,0,'Données projet'!$E$10+1,1))</f>
        <v>114.4650227251685</v>
      </c>
      <c r="AO13" s="59">
        <f t="shared" si="36"/>
        <v>386.57315604590599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0.28199999999999997</v>
      </c>
      <c r="AS13" s="16">
        <f>IF(ISNA(VLOOKUP(A13,'Données projet'!$A$61:$I$81,6,0)),0%,VLOOKUP(A13,'Données projet'!$A$61:$I$81,6,0)*VLOOKUP('Données projet'!$B$10,Paramètres!$A$1:$I$89,7,0))</f>
        <v>0.126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>
        <f>VLOOKUP(A13,'Données projet'!$A$87:$I$107,2,0)</f>
        <v>63</v>
      </c>
      <c r="BB13" s="12">
        <f>VLOOKUP(A13,'Données projet'!$A$87:$I$107,9,0)</f>
        <v>29</v>
      </c>
      <c r="BC13" s="12">
        <f t="array" ref="BC13">INDEX(BB:BB,MIN(IF(ISNUMBER(BB13:BB209),ROW(BB13:BB209),"")))</f>
        <v>29</v>
      </c>
      <c r="BD13" s="12">
        <f>IF('Données projet'!$A$88&gt;35,BD12+BC13-BL12,IF(A13&lt;'Données projet'!$A$88,$BA$205^A13,IF(A13='Données projet'!$A$88,'Données projet'!$B$88,BD12+BC13-BL12)))</f>
        <v>63</v>
      </c>
      <c r="BE13" s="13">
        <f>BD13*VLOOKUP('Données projet'!$B$11,Paramètres!$A$1:$I$89,3,0)*VLOOKUP('Données projet'!$B$11,Paramètres!$A$1:$I$89,5,0)</f>
        <v>32.039279999999998</v>
      </c>
      <c r="BF13" s="13">
        <f t="shared" si="37"/>
        <v>9.8621894485836314</v>
      </c>
      <c r="BG13" s="20">
        <f t="shared" si="7"/>
        <v>72.978392622949812</v>
      </c>
      <c r="BH13" s="59">
        <f t="shared" si="8"/>
        <v>264.91705460799471</v>
      </c>
      <c r="BI13" s="59">
        <f ca="1">AVERAGE(OFFSET($BH$3,0,0,'Données projet'!$E$11+1,1))-AVERAGE(OFFSET($H$3,0,0,'Données projet'!$E$11+1,1))</f>
        <v>68.944412338382023</v>
      </c>
      <c r="BJ13" s="59">
        <f t="shared" si="38"/>
        <v>281.00389700159246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0.28199999999999997</v>
      </c>
      <c r="BN13" s="16">
        <f>IF(ISNA(VLOOKUP(A13,'Données projet'!$A$87:$I$107,6,0)),0%,VLOOKUP(A13,'Données projet'!$A$87:$I$107,6,0)*VLOOKUP('Données projet'!$B$11,Paramètres!$A$1:$I$89,7,0))</f>
        <v>0.126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>
        <f>VLOOKUP(A13,'Données projet'!$A$113:$I$133,2,0)</f>
        <v>151</v>
      </c>
      <c r="BW13" s="12">
        <f>VLOOKUP(A13,'Données projet'!$A$113:$I$133,9,0)</f>
        <v>31</v>
      </c>
      <c r="BX13" s="12">
        <f t="array" ref="BX13">INDEX(BW:BW,MIN(IF(ISNUMBER(BW13:BW209),ROW(BW13:BW209),"")))</f>
        <v>31</v>
      </c>
      <c r="BY13" s="12">
        <f>IF('Données projet'!$A$114&gt;35,BY12+BX13-CG12,IF(A13&lt;'Données projet'!$A$114,$BV$205^A13,IF(A13='Données projet'!$A$114,'Données projet'!$B$114,BY12+BX13-CG12)))</f>
        <v>151</v>
      </c>
      <c r="BZ13" s="13">
        <f>BY13*VLOOKUP('Données projet'!$B$12,Paramètres!$A$1:$I$89,3,0)*VLOOKUP('Données projet'!$B$12,Paramètres!$A$1:$I$89,5,0)</f>
        <v>79.148160000000004</v>
      </c>
      <c r="CA13" s="13">
        <f t="shared" si="39"/>
        <v>21.928775232328377</v>
      </c>
      <c r="CB13" s="20">
        <f t="shared" si="10"/>
        <v>176.04232886297191</v>
      </c>
      <c r="CC13" s="59">
        <f t="shared" si="11"/>
        <v>367.9809908480168</v>
      </c>
      <c r="CD13" s="59">
        <f ca="1">AVERAGE(OFFSET($CC$3,0,0,'Données projet'!$E$12+1,1))-AVERAGE(OFFSET($H$3,0,0,'Données projet'!$E$12+1,1))</f>
        <v>120.26681323682763</v>
      </c>
      <c r="CE13" s="59">
        <f t="shared" si="40"/>
        <v>344.92933166159389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0.28199999999999997</v>
      </c>
      <c r="CI13" s="16">
        <f>IF(ISNA(VLOOKUP(A13,'Données projet'!$A$113:$I$133,6,0)),0%,VLOOKUP(A13,'Données projet'!$A$113:$I$133,6,0)*VLOOKUP('Données projet'!$B$12,Paramètres!$A$1:$I$89,7,0))</f>
        <v>0.126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>
        <f>VLOOKUP(A13,'Données projet'!$A$139:$I$159,2,0)</f>
        <v>151</v>
      </c>
      <c r="CR13" s="12">
        <f>VLOOKUP(A13,'Données projet'!$A$139:$I$159,9,0)</f>
        <v>31</v>
      </c>
      <c r="CS13" s="12">
        <f t="array" ref="CS13">INDEX(CR:CR,MIN(IF(ISNUMBER(CR13:CR209),ROW(CR13:CR209),"")))</f>
        <v>31</v>
      </c>
      <c r="CT13" s="12">
        <f>IF('Données projet'!$A$140&gt;35,CT12+CS13-DB12,IF(A13&lt;'Données projet'!$A$140,$CQ$205^A13,IF(A13='Données projet'!$A$140,'Données projet'!$B$140,CT12+CS13-DB12)))</f>
        <v>151</v>
      </c>
      <c r="CU13" s="17">
        <f>CT13*VLOOKUP('Données projet'!$B$13,Paramètres!$A$1:$I$89,3,0)*VLOOKUP('Données projet'!$B$13,Paramètres!$A$1:$I$89,5,0)</f>
        <v>79.148160000000004</v>
      </c>
      <c r="CV13" s="13">
        <f t="shared" si="41"/>
        <v>21.928775232328377</v>
      </c>
      <c r="CW13" s="20">
        <f t="shared" si="13"/>
        <v>176.04232886297191</v>
      </c>
      <c r="CX13" s="59">
        <f t="shared" si="14"/>
        <v>367.9809908480168</v>
      </c>
      <c r="CY13" s="59">
        <f ca="1">AVERAGE(OFFSET($CX$3,0,0,'Données projet'!$E$13+1,1))-AVERAGE(OFFSET($H$3,0,0,'Données projet'!$E$13+1,1))</f>
        <v>120.26681323682763</v>
      </c>
      <c r="CZ13" s="59">
        <f t="shared" si="42"/>
        <v>344.92933166159389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0.28199999999999997</v>
      </c>
      <c r="DD13" s="16">
        <f>IF(ISNA(VLOOKUP(A13,'Données projet'!$A$139:$I$159,6,0)),0%,VLOOKUP(A13,'Données projet'!$A$139:$I$159,6,0)*VLOOKUP('Données projet'!$B$13,Paramètres!$A$1:$I$89,7,0))</f>
        <v>0.126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>
        <f>VLOOKUP(A14,'Données projet'!$A$35:$I$55,2,0)</f>
        <v>175</v>
      </c>
      <c r="L14" s="12">
        <f>VLOOKUP(A14,'Données projet'!$A$35:$I$55,9,0)</f>
        <v>42</v>
      </c>
      <c r="M14" s="12">
        <f t="array" ref="M14">INDEX(L:L,MIN(IF(ISNUMBER(L14:L210),ROW(L14:L210),"")))</f>
        <v>42</v>
      </c>
      <c r="N14" s="13">
        <f>IF('Données projet'!$A$36&gt;35,N13+M14-V13,IF(A14&lt;'Données projet'!$A$36,$K$205^A14,IF(A14='Données projet'!$A$36,'Données projet'!$B$36,N13+M14-V13)))</f>
        <v>175</v>
      </c>
      <c r="O14" s="13">
        <f>N14*VLOOKUP('Données projet'!$B$9,Paramètres!$A$1:$I$89,3,0)*VLOOKUP('Données projet'!$B$9,Paramètres!$A$1:$I$89,5,0)</f>
        <v>88.998000000000005</v>
      </c>
      <c r="P14" s="13">
        <f t="shared" si="33"/>
        <v>24.323409484531489</v>
      </c>
      <c r="Q14" s="20">
        <f t="shared" si="2"/>
        <v>197.36812151889237</v>
      </c>
      <c r="R14" s="59">
        <f t="shared" si="0"/>
        <v>391.8639201280065</v>
      </c>
      <c r="S14" s="59">
        <f ca="1">AVERAGE(OFFSET($R$3,0,0,'Données projet'!$E$9+1,1))-AVERAGE(OFFSET($H$3,0,0,'Données projet'!$E$9+1,1))</f>
        <v>114.4650227251685</v>
      </c>
      <c r="T14" s="59">
        <f t="shared" si="34"/>
        <v>386.57315604590599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0.28199999999999997</v>
      </c>
      <c r="X14" s="16">
        <f>IF(ISNA(VLOOKUP(A14,'Données projet'!$A$35:$I$55,6,0)),0%,VLOOKUP(A14,'Données projet'!$A$35:$I$55,6,0)*VLOOKUP('Données projet'!$B$9,Paramètres!$A$1:$I$89,7,0))</f>
        <v>0.126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>
        <f>VLOOKUP(A14,'Données projet'!$A$61:$I$81,2,0)</f>
        <v>175</v>
      </c>
      <c r="AG14" s="12">
        <f>VLOOKUP(A14,'Données projet'!$A$61:$I$81,9,0)</f>
        <v>42</v>
      </c>
      <c r="AH14" s="12">
        <f t="array" ref="AH14">INDEX(AG:AG,MIN(IF(ISNUMBER(AG14:AG210),ROW(AG14:AG210),"")))</f>
        <v>42</v>
      </c>
      <c r="AI14" s="13">
        <f>IF('Données projet'!$A$62&gt;35,AI13+AH14-AQ13,IF(A14&lt;'Données projet'!$A$62,$AF$205^A14,IF(A14='Données projet'!$A$62,'Données projet'!$B$62,AI13+AH14-AQ13)))</f>
        <v>175</v>
      </c>
      <c r="AJ14" s="13">
        <f>AI14*VLOOKUP('Données projet'!$B$10,Paramètres!$A$1:$I$89,3,0)*VLOOKUP('Données projet'!$B$10,Paramètres!$A$1:$I$89,5,0)</f>
        <v>88.998000000000005</v>
      </c>
      <c r="AK14" s="13">
        <f t="shared" si="35"/>
        <v>24.323409484531489</v>
      </c>
      <c r="AL14" s="20">
        <f t="shared" si="4"/>
        <v>197.36812151889237</v>
      </c>
      <c r="AM14" s="59">
        <f t="shared" si="5"/>
        <v>391.8639201280065</v>
      </c>
      <c r="AN14" s="59">
        <f ca="1">AVERAGE(OFFSET($AM$3,0,0,'Données projet'!$E$10+1,1))-AVERAGE(OFFSET($H$3,0,0,'Données projet'!$E$10+1,1))</f>
        <v>114.4650227251685</v>
      </c>
      <c r="AO14" s="59">
        <f t="shared" si="36"/>
        <v>386.57315604590599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0.28199999999999997</v>
      </c>
      <c r="AS14" s="16">
        <f>IF(ISNA(VLOOKUP(A14,'Données projet'!$A$61:$I$81,6,0)),0%,VLOOKUP(A14,'Données projet'!$A$61:$I$81,6,0)*VLOOKUP('Données projet'!$B$10,Paramètres!$A$1:$I$89,7,0))</f>
        <v>0.126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>
        <f>VLOOKUP(A14,'Données projet'!$A$87:$I$107,2,0)</f>
        <v>94</v>
      </c>
      <c r="BB14" s="12">
        <f>VLOOKUP(A14,'Données projet'!$A$87:$I$107,9,0)</f>
        <v>31</v>
      </c>
      <c r="BC14" s="12">
        <f t="array" ref="BC14">INDEX(BB:BB,MIN(IF(ISNUMBER(BB14:BB210),ROW(BB14:BB210),"")))</f>
        <v>31</v>
      </c>
      <c r="BD14" s="12">
        <f>IF('Données projet'!$A$88&gt;35,BD13+BC14-BL13,IF(A14&lt;'Données projet'!$A$88,$BA$205^A14,IF(A14='Données projet'!$A$88,'Données projet'!$B$88,BD13+BC14-BL13)))</f>
        <v>94</v>
      </c>
      <c r="BE14" s="13">
        <f>BD14*VLOOKUP('Données projet'!$B$11,Paramètres!$A$1:$I$89,3,0)*VLOOKUP('Données projet'!$B$11,Paramètres!$A$1:$I$89,5,0)</f>
        <v>47.804640000000006</v>
      </c>
      <c r="BF14" s="13">
        <f t="shared" si="37"/>
        <v>14.045325319551822</v>
      </c>
      <c r="BG14" s="20">
        <f t="shared" si="7"/>
        <v>107.72202293155276</v>
      </c>
      <c r="BH14" s="59">
        <f t="shared" si="8"/>
        <v>302.21782154066688</v>
      </c>
      <c r="BI14" s="59">
        <f ca="1">AVERAGE(OFFSET($BH$3,0,0,'Données projet'!$E$11+1,1))-AVERAGE(OFFSET($H$3,0,0,'Données projet'!$E$11+1,1))</f>
        <v>68.944412338382023</v>
      </c>
      <c r="BJ14" s="59">
        <f t="shared" si="38"/>
        <v>281.00389700159246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0.28199999999999997</v>
      </c>
      <c r="BN14" s="16">
        <f>IF(ISNA(VLOOKUP(A14,'Données projet'!$A$87:$I$107,6,0)),0%,VLOOKUP(A14,'Données projet'!$A$87:$I$107,6,0)*VLOOKUP('Données projet'!$B$11,Paramètres!$A$1:$I$89,7,0))</f>
        <v>0.126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>
        <f>VLOOKUP(A14,'Données projet'!$A$113:$I$133,2,0)</f>
        <v>183</v>
      </c>
      <c r="BW14" s="12">
        <f>VLOOKUP(A14,'Données projet'!$A$113:$I$133,9,0)</f>
        <v>32</v>
      </c>
      <c r="BX14" s="12">
        <f t="array" ref="BX14">INDEX(BW:BW,MIN(IF(ISNUMBER(BW14:BW210),ROW(BW14:BW210),"")))</f>
        <v>32</v>
      </c>
      <c r="BY14" s="12">
        <f>IF('Données projet'!$A$114&gt;35,BY13+BX14-CG13,IF(A14&lt;'Données projet'!$A$114,$BV$205^A14,IF(A14='Données projet'!$A$114,'Données projet'!$B$114,BY13+BX14-CG13)))</f>
        <v>183</v>
      </c>
      <c r="BZ14" s="13">
        <f>BY14*VLOOKUP('Données projet'!$B$12,Paramètres!$A$1:$I$89,3,0)*VLOOKUP('Données projet'!$B$12,Paramètres!$A$1:$I$89,5,0)</f>
        <v>95.92128000000001</v>
      </c>
      <c r="CA14" s="13">
        <f t="shared" si="39"/>
        <v>25.98795633328076</v>
      </c>
      <c r="CB14" s="20">
        <f t="shared" si="10"/>
        <v>212.32525328046401</v>
      </c>
      <c r="CC14" s="59">
        <f t="shared" si="11"/>
        <v>406.82105188957814</v>
      </c>
      <c r="CD14" s="59">
        <f ca="1">AVERAGE(OFFSET($CC$3,0,0,'Données projet'!$E$12+1,1))-AVERAGE(OFFSET($H$3,0,0,'Données projet'!$E$12+1,1))</f>
        <v>120.26681323682763</v>
      </c>
      <c r="CE14" s="59">
        <f t="shared" si="40"/>
        <v>344.92933166159389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0.28199999999999997</v>
      </c>
      <c r="CI14" s="16">
        <f>IF(ISNA(VLOOKUP(A14,'Données projet'!$A$113:$I$133,6,0)),0%,VLOOKUP(A14,'Données projet'!$A$113:$I$133,6,0)*VLOOKUP('Données projet'!$B$12,Paramètres!$A$1:$I$89,7,0))</f>
        <v>0.126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>
        <f>VLOOKUP(A14,'Données projet'!$A$139:$I$159,2,0)</f>
        <v>183</v>
      </c>
      <c r="CR14" s="12">
        <f>VLOOKUP(A14,'Données projet'!$A$139:$I$159,9,0)</f>
        <v>32</v>
      </c>
      <c r="CS14" s="12">
        <f t="array" ref="CS14">INDEX(CR:CR,MIN(IF(ISNUMBER(CR14:CR210),ROW(CR14:CR210),"")))</f>
        <v>32</v>
      </c>
      <c r="CT14" s="12">
        <f>IF('Données projet'!$A$140&gt;35,CT13+CS14-DB13,IF(A14&lt;'Données projet'!$A$140,$CQ$205^A14,IF(A14='Données projet'!$A$140,'Données projet'!$B$140,CT13+CS14-DB13)))</f>
        <v>183</v>
      </c>
      <c r="CU14" s="17">
        <f>CT14*VLOOKUP('Données projet'!$B$13,Paramètres!$A$1:$I$89,3,0)*VLOOKUP('Données projet'!$B$13,Paramètres!$A$1:$I$89,5,0)</f>
        <v>95.92128000000001</v>
      </c>
      <c r="CV14" s="13">
        <f t="shared" si="41"/>
        <v>25.98795633328076</v>
      </c>
      <c r="CW14" s="20">
        <f t="shared" si="13"/>
        <v>212.32525328046401</v>
      </c>
      <c r="CX14" s="59">
        <f t="shared" si="14"/>
        <v>406.82105188957814</v>
      </c>
      <c r="CY14" s="59">
        <f ca="1">AVERAGE(OFFSET($CX$3,0,0,'Données projet'!$E$13+1,1))-AVERAGE(OFFSET($H$3,0,0,'Données projet'!$E$13+1,1))</f>
        <v>120.26681323682763</v>
      </c>
      <c r="CZ14" s="59">
        <f t="shared" si="42"/>
        <v>344.92933166159389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0.28199999999999997</v>
      </c>
      <c r="DD14" s="16">
        <f>IF(ISNA(VLOOKUP(A14,'Données projet'!$A$139:$I$159,6,0)),0%,VLOOKUP(A14,'Données projet'!$A$139:$I$159,6,0)*VLOOKUP('Données projet'!$B$13,Paramètres!$A$1:$I$89,7,0))</f>
        <v>0.126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>
        <f>VLOOKUP(A15,'Données projet'!$A$35:$I$55,2,0)</f>
        <v>214</v>
      </c>
      <c r="L15" s="12">
        <f>VLOOKUP(A15,'Données projet'!$A$35:$I$55,9,0)</f>
        <v>39</v>
      </c>
      <c r="M15" s="12">
        <f t="array" ref="M15">INDEX(L:L,MIN(IF(ISNUMBER(L15:L211),ROW(L15:L211),"")))</f>
        <v>39</v>
      </c>
      <c r="N15" s="13">
        <f>IF('Données projet'!$A$36&gt;35,N14+M15-V14,IF(A15&lt;'Données projet'!$A$36,$K$205^A15,IF(A15='Données projet'!$A$36,'Données projet'!$B$36,N14+M15-V14)))</f>
        <v>214</v>
      </c>
      <c r="O15" s="13">
        <f>N15*VLOOKUP('Données projet'!$B$9,Paramètres!$A$1:$I$89,3,0)*VLOOKUP('Données projet'!$B$9,Paramètres!$A$1:$I$89,5,0)</f>
        <v>108.83184</v>
      </c>
      <c r="P15" s="13">
        <f t="shared" si="33"/>
        <v>29.055586181236279</v>
      </c>
      <c r="Q15" s="20">
        <f t="shared" si="2"/>
        <v>240.1539339323198</v>
      </c>
      <c r="R15" s="59">
        <f t="shared" si="0"/>
        <v>437.18371138505267</v>
      </c>
      <c r="S15" s="59">
        <f ca="1">AVERAGE(OFFSET($R$3,0,0,'Données projet'!$E$9+1,1))-AVERAGE(OFFSET($H$3,0,0,'Données projet'!$E$9+1,1))</f>
        <v>114.4650227251685</v>
      </c>
      <c r="T15" s="59">
        <f t="shared" si="34"/>
        <v>386.57315604590599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0.28199999999999997</v>
      </c>
      <c r="X15" s="16">
        <f>IF(ISNA(VLOOKUP(A15,'Données projet'!$A$35:$I$55,6,0)),0%,VLOOKUP(A15,'Données projet'!$A$35:$I$55,6,0)*VLOOKUP('Données projet'!$B$9,Paramètres!$A$1:$I$89,7,0))</f>
        <v>0.126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>
        <f>VLOOKUP(A15,'Données projet'!$A$61:$I$81,2,0)</f>
        <v>214</v>
      </c>
      <c r="AG15" s="12">
        <f>VLOOKUP(A15,'Données projet'!$A$61:$I$81,9,0)</f>
        <v>39</v>
      </c>
      <c r="AH15" s="12">
        <f t="array" ref="AH15">INDEX(AG:AG,MIN(IF(ISNUMBER(AG15:AG211),ROW(AG15:AG211),"")))</f>
        <v>39</v>
      </c>
      <c r="AI15" s="13">
        <f>IF('Données projet'!$A$62&gt;35,AI14+AH15-AQ14,IF(A15&lt;'Données projet'!$A$62,$AF$205^A15,IF(A15='Données projet'!$A$62,'Données projet'!$B$62,AI14+AH15-AQ14)))</f>
        <v>214</v>
      </c>
      <c r="AJ15" s="13">
        <f>AI15*VLOOKUP('Données projet'!$B$10,Paramètres!$A$1:$I$89,3,0)*VLOOKUP('Données projet'!$B$10,Paramètres!$A$1:$I$89,5,0)</f>
        <v>108.83184</v>
      </c>
      <c r="AK15" s="13">
        <f t="shared" si="35"/>
        <v>29.055586181236279</v>
      </c>
      <c r="AL15" s="20">
        <f t="shared" si="4"/>
        <v>240.1539339323198</v>
      </c>
      <c r="AM15" s="59">
        <f t="shared" si="5"/>
        <v>437.18371138505267</v>
      </c>
      <c r="AN15" s="59">
        <f ca="1">AVERAGE(OFFSET($AM$3,0,0,'Données projet'!$E$10+1,1))-AVERAGE(OFFSET($H$3,0,0,'Données projet'!$E$10+1,1))</f>
        <v>114.4650227251685</v>
      </c>
      <c r="AO15" s="59">
        <f t="shared" si="36"/>
        <v>386.57315604590599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0.28199999999999997</v>
      </c>
      <c r="AS15" s="16">
        <f>IF(ISNA(VLOOKUP(A15,'Données projet'!$A$61:$I$81,6,0)),0%,VLOOKUP(A15,'Données projet'!$A$61:$I$81,6,0)*VLOOKUP('Données projet'!$B$10,Paramètres!$A$1:$I$89,7,0))</f>
        <v>0.126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>
        <f>VLOOKUP(A15,'Données projet'!$A$87:$I$107,2,0)</f>
        <v>128</v>
      </c>
      <c r="BB15" s="12">
        <f>VLOOKUP(A15,'Données projet'!$A$87:$I$107,9,0)</f>
        <v>34</v>
      </c>
      <c r="BC15" s="12">
        <f t="array" ref="BC15">INDEX(BB:BB,MIN(IF(ISNUMBER(BB15:BB211),ROW(BB15:BB211),"")))</f>
        <v>34</v>
      </c>
      <c r="BD15" s="12">
        <f>IF('Données projet'!$A$88&gt;35,BD14+BC15-BL14,IF(A15&lt;'Données projet'!$A$88,$BA$205^A15,IF(A15='Données projet'!$A$88,'Données projet'!$B$88,BD14+BC15-BL14)))</f>
        <v>128</v>
      </c>
      <c r="BE15" s="13">
        <f>BD15*VLOOKUP('Données projet'!$B$11,Paramètres!$A$1:$I$89,3,0)*VLOOKUP('Données projet'!$B$11,Paramètres!$A$1:$I$89,5,0)</f>
        <v>65.095680000000002</v>
      </c>
      <c r="BF15" s="13">
        <f t="shared" si="37"/>
        <v>18.450441403937198</v>
      </c>
      <c r="BG15" s="20">
        <f t="shared" si="7"/>
        <v>145.50949477852396</v>
      </c>
      <c r="BH15" s="59">
        <f t="shared" si="8"/>
        <v>342.53927223125686</v>
      </c>
      <c r="BI15" s="59">
        <f ca="1">AVERAGE(OFFSET($BH$3,0,0,'Données projet'!$E$11+1,1))-AVERAGE(OFFSET($H$3,0,0,'Données projet'!$E$11+1,1))</f>
        <v>68.944412338382023</v>
      </c>
      <c r="BJ15" s="59">
        <f t="shared" si="38"/>
        <v>281.00389700159246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0.28199999999999997</v>
      </c>
      <c r="BN15" s="16">
        <f>IF(ISNA(VLOOKUP(A15,'Données projet'!$A$87:$I$107,6,0)),0%,VLOOKUP(A15,'Données projet'!$A$87:$I$107,6,0)*VLOOKUP('Données projet'!$B$11,Paramètres!$A$1:$I$89,7,0))</f>
        <v>0.126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>
        <f>VLOOKUP(A15,'Données projet'!$A$113:$I$133,2,0)</f>
        <v>212</v>
      </c>
      <c r="BW15" s="12">
        <f>VLOOKUP(A15,'Données projet'!$A$113:$I$133,9,0)</f>
        <v>29</v>
      </c>
      <c r="BX15" s="12">
        <f t="array" ref="BX15">INDEX(BW:BW,MIN(IF(ISNUMBER(BW15:BW211),ROW(BW15:BW211),"")))</f>
        <v>29</v>
      </c>
      <c r="BY15" s="12">
        <f>IF('Données projet'!$A$114&gt;35,BY14+BX15-CG14,IF(A15&lt;'Données projet'!$A$114,$BV$205^A15,IF(A15='Données projet'!$A$114,'Données projet'!$B$114,BY14+BX15-CG14)))</f>
        <v>212</v>
      </c>
      <c r="BZ15" s="13">
        <f>BY15*VLOOKUP('Données projet'!$B$12,Paramètres!$A$1:$I$89,3,0)*VLOOKUP('Données projet'!$B$12,Paramètres!$A$1:$I$89,5,0)</f>
        <v>111.12192</v>
      </c>
      <c r="CA15" s="13">
        <f t="shared" si="39"/>
        <v>29.595161360044589</v>
      </c>
      <c r="CB15" s="20">
        <f t="shared" si="10"/>
        <v>245.08225003541099</v>
      </c>
      <c r="CC15" s="59">
        <f t="shared" si="11"/>
        <v>442.11202748814389</v>
      </c>
      <c r="CD15" s="59">
        <f ca="1">AVERAGE(OFFSET($CC$3,0,0,'Données projet'!$E$12+1,1))-AVERAGE(OFFSET($H$3,0,0,'Données projet'!$E$12+1,1))</f>
        <v>120.26681323682763</v>
      </c>
      <c r="CE15" s="59">
        <f t="shared" si="40"/>
        <v>344.92933166159389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0.28199999999999997</v>
      </c>
      <c r="CI15" s="16">
        <f>IF(ISNA(VLOOKUP(A15,'Données projet'!$A$113:$I$133,6,0)),0%,VLOOKUP(A15,'Données projet'!$A$113:$I$133,6,0)*VLOOKUP('Données projet'!$B$12,Paramètres!$A$1:$I$89,7,0))</f>
        <v>0.126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>
        <f>VLOOKUP(A15,'Données projet'!$A$139:$I$159,2,0)</f>
        <v>212</v>
      </c>
      <c r="CR15" s="12">
        <f>VLOOKUP(A15,'Données projet'!$A$139:$I$159,9,0)</f>
        <v>29</v>
      </c>
      <c r="CS15" s="12">
        <f t="array" ref="CS15">INDEX(CR:CR,MIN(IF(ISNUMBER(CR15:CR211),ROW(CR15:CR211),"")))</f>
        <v>29</v>
      </c>
      <c r="CT15" s="12">
        <f>IF('Données projet'!$A$140&gt;35,CT14+CS15-DB14,IF(A15&lt;'Données projet'!$A$140,$CQ$205^A15,IF(A15='Données projet'!$A$140,'Données projet'!$B$140,CT14+CS15-DB14)))</f>
        <v>212</v>
      </c>
      <c r="CU15" s="17">
        <f>CT15*VLOOKUP('Données projet'!$B$13,Paramètres!$A$1:$I$89,3,0)*VLOOKUP('Données projet'!$B$13,Paramètres!$A$1:$I$89,5,0)</f>
        <v>111.12192</v>
      </c>
      <c r="CV15" s="13">
        <f t="shared" si="41"/>
        <v>29.595161360044589</v>
      </c>
      <c r="CW15" s="20">
        <f t="shared" si="13"/>
        <v>245.08225003541099</v>
      </c>
      <c r="CX15" s="59">
        <f t="shared" si="14"/>
        <v>442.11202748814389</v>
      </c>
      <c r="CY15" s="59">
        <f ca="1">AVERAGE(OFFSET($CX$3,0,0,'Données projet'!$E$13+1,1))-AVERAGE(OFFSET($H$3,0,0,'Données projet'!$E$13+1,1))</f>
        <v>120.26681323682763</v>
      </c>
      <c r="CZ15" s="59">
        <f t="shared" si="42"/>
        <v>344.92933166159389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0.28199999999999997</v>
      </c>
      <c r="DD15" s="16">
        <f>IF(ISNA(VLOOKUP(A15,'Données projet'!$A$139:$I$159,6,0)),0%,VLOOKUP(A15,'Données projet'!$A$139:$I$159,6,0)*VLOOKUP('Données projet'!$B$13,Paramètres!$A$1:$I$89,7,0))</f>
        <v>0.126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>
        <f>VLOOKUP(A16,'Données projet'!$A$35:$I$55,2,0)</f>
        <v>256</v>
      </c>
      <c r="L16" s="12">
        <f>VLOOKUP(A16,'Données projet'!$A$35:$I$55,9,0)</f>
        <v>42</v>
      </c>
      <c r="M16" s="12">
        <f t="array" ref="M16">INDEX(L:L,MIN(IF(ISNUMBER(L16:L212),ROW(L16:L212),"")))</f>
        <v>42</v>
      </c>
      <c r="N16" s="13">
        <f>IF('Données projet'!$A$36&gt;35,N15+M16-V15,IF(A16&lt;'Données projet'!$A$36,$K$205^A16,IF(A16='Données projet'!$A$36,'Données projet'!$B$36,N15+M16-V15)))</f>
        <v>256</v>
      </c>
      <c r="O16" s="13">
        <f>N16*VLOOKUP('Données projet'!$B$9,Paramètres!$A$1:$I$89,3,0)*VLOOKUP('Données projet'!$B$9,Paramètres!$A$1:$I$89,5,0)</f>
        <v>130.19136</v>
      </c>
      <c r="P16" s="13">
        <f t="shared" si="33"/>
        <v>34.040573223809218</v>
      </c>
      <c r="Q16" s="20">
        <f t="shared" si="2"/>
        <v>286.03728369813439</v>
      </c>
      <c r="R16" s="59">
        <f t="shared" si="0"/>
        <v>485.5782839497532</v>
      </c>
      <c r="S16" s="59">
        <f ca="1">AVERAGE(OFFSET($R$3,0,0,'Données projet'!$E$9+1,1))-AVERAGE(OFFSET($H$3,0,0,'Données projet'!$E$9+1,1))</f>
        <v>114.4650227251685</v>
      </c>
      <c r="T16" s="59">
        <f t="shared" si="34"/>
        <v>386.57315604590599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0.28199999999999997</v>
      </c>
      <c r="X16" s="16">
        <f>IF(ISNA(VLOOKUP(A16,'Données projet'!$A$35:$I$55,6,0)),0%,VLOOKUP(A16,'Données projet'!$A$35:$I$55,6,0)*VLOOKUP('Données projet'!$B$9,Paramètres!$A$1:$I$89,7,0))</f>
        <v>0.126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>
        <f>VLOOKUP(A16,'Données projet'!$A$61:$I$81,2,0)</f>
        <v>256</v>
      </c>
      <c r="AG16" s="12">
        <f>VLOOKUP(A16,'Données projet'!$A$61:$I$81,9,0)</f>
        <v>42</v>
      </c>
      <c r="AH16" s="12">
        <f t="array" ref="AH16">INDEX(AG:AG,MIN(IF(ISNUMBER(AG16:AG212),ROW(AG16:AG212),"")))</f>
        <v>42</v>
      </c>
      <c r="AI16" s="13">
        <f>IF('Données projet'!$A$62&gt;35,AI15+AH16-AQ15,IF(A16&lt;'Données projet'!$A$62,$AF$205^A16,IF(A16='Données projet'!$A$62,'Données projet'!$B$62,AI15+AH16-AQ15)))</f>
        <v>256</v>
      </c>
      <c r="AJ16" s="13">
        <f>AI16*VLOOKUP('Données projet'!$B$10,Paramètres!$A$1:$I$89,3,0)*VLOOKUP('Données projet'!$B$10,Paramètres!$A$1:$I$89,5,0)</f>
        <v>130.19136</v>
      </c>
      <c r="AK16" s="13">
        <f t="shared" si="35"/>
        <v>34.040573223809218</v>
      </c>
      <c r="AL16" s="20">
        <f t="shared" si="4"/>
        <v>286.03728369813439</v>
      </c>
      <c r="AM16" s="59">
        <f t="shared" si="5"/>
        <v>485.5782839497532</v>
      </c>
      <c r="AN16" s="59">
        <f ca="1">AVERAGE(OFFSET($AM$3,0,0,'Données projet'!$E$10+1,1))-AVERAGE(OFFSET($H$3,0,0,'Données projet'!$E$10+1,1))</f>
        <v>114.4650227251685</v>
      </c>
      <c r="AO16" s="59">
        <f t="shared" si="36"/>
        <v>386.57315604590599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0.28199999999999997</v>
      </c>
      <c r="AS16" s="16">
        <f>IF(ISNA(VLOOKUP(A16,'Données projet'!$A$61:$I$81,6,0)),0%,VLOOKUP(A16,'Données projet'!$A$61:$I$81,6,0)*VLOOKUP('Données projet'!$B$10,Paramètres!$A$1:$I$89,7,0))</f>
        <v>0.126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>
        <f>VLOOKUP(A16,'Données projet'!$A$87:$I$107,2,0)</f>
        <v>165</v>
      </c>
      <c r="BB16" s="12">
        <f>VLOOKUP(A16,'Données projet'!$A$87:$I$107,9,0)</f>
        <v>37</v>
      </c>
      <c r="BC16" s="12">
        <f t="array" ref="BC16">INDEX(BB:BB,MIN(IF(ISNUMBER(BB16:BB212),ROW(BB16:BB212),"")))</f>
        <v>37</v>
      </c>
      <c r="BD16" s="12">
        <f>IF('Données projet'!$A$88&gt;35,BD15+BC16-BL15,IF(A16&lt;'Données projet'!$A$88,$BA$205^A16,IF(A16='Données projet'!$A$88,'Données projet'!$B$88,BD15+BC16-BL15)))</f>
        <v>165</v>
      </c>
      <c r="BE16" s="13">
        <f>BD16*VLOOKUP('Données projet'!$B$11,Paramètres!$A$1:$I$89,3,0)*VLOOKUP('Données projet'!$B$11,Paramètres!$A$1:$I$89,5,0)</f>
        <v>83.912400000000005</v>
      </c>
      <c r="BF16" s="13">
        <f t="shared" si="37"/>
        <v>23.091111826563623</v>
      </c>
      <c r="BG16" s="20">
        <f t="shared" si="7"/>
        <v>186.36444976459833</v>
      </c>
      <c r="BH16" s="59">
        <f t="shared" si="8"/>
        <v>385.90545001621717</v>
      </c>
      <c r="BI16" s="59">
        <f ca="1">AVERAGE(OFFSET($BH$3,0,0,'Données projet'!$E$11+1,1))-AVERAGE(OFFSET($H$3,0,0,'Données projet'!$E$11+1,1))</f>
        <v>68.944412338382023</v>
      </c>
      <c r="BJ16" s="59">
        <f t="shared" si="38"/>
        <v>281.00389700159246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0.28199999999999997</v>
      </c>
      <c r="BN16" s="16">
        <f>IF(ISNA(VLOOKUP(A16,'Données projet'!$A$87:$I$107,6,0)),0%,VLOOKUP(A16,'Données projet'!$A$87:$I$107,6,0)*VLOOKUP('Données projet'!$B$11,Paramètres!$A$1:$I$89,7,0))</f>
        <v>0.126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>
        <f>VLOOKUP(A16,'Données projet'!$A$113:$I$133,2,0)</f>
        <v>238</v>
      </c>
      <c r="BW16" s="12">
        <f>VLOOKUP(A16,'Données projet'!$A$113:$I$133,9,0)</f>
        <v>26</v>
      </c>
      <c r="BX16" s="12">
        <f t="array" ref="BX16">INDEX(BW:BW,MIN(IF(ISNUMBER(BW16:BW212),ROW(BW16:BW212),"")))</f>
        <v>26</v>
      </c>
      <c r="BY16" s="12">
        <f>IF('Données projet'!$A$114&gt;35,BY15+BX16-CG15,IF(A16&lt;'Données projet'!$A$114,$BV$205^A16,IF(A16='Données projet'!$A$114,'Données projet'!$B$114,BY15+BX16-CG15)))</f>
        <v>238</v>
      </c>
      <c r="BZ16" s="13">
        <f>BY16*VLOOKUP('Données projet'!$B$12,Paramètres!$A$1:$I$89,3,0)*VLOOKUP('Données projet'!$B$12,Paramètres!$A$1:$I$89,5,0)</f>
        <v>124.75008000000001</v>
      </c>
      <c r="CA16" s="13">
        <f t="shared" si="39"/>
        <v>32.780361960132396</v>
      </c>
      <c r="CB16" s="20">
        <f t="shared" si="10"/>
        <v>274.36551974723062</v>
      </c>
      <c r="CC16" s="59">
        <f t="shared" si="11"/>
        <v>473.90651999884943</v>
      </c>
      <c r="CD16" s="59">
        <f ca="1">AVERAGE(OFFSET($CC$3,0,0,'Données projet'!$E$12+1,1))-AVERAGE(OFFSET($H$3,0,0,'Données projet'!$E$12+1,1))</f>
        <v>120.26681323682763</v>
      </c>
      <c r="CE16" s="59">
        <f t="shared" si="40"/>
        <v>344.92933166159389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0.28199999999999997</v>
      </c>
      <c r="CI16" s="16">
        <f>IF(ISNA(VLOOKUP(A16,'Données projet'!$A$113:$I$133,6,0)),0%,VLOOKUP(A16,'Données projet'!$A$113:$I$133,6,0)*VLOOKUP('Données projet'!$B$12,Paramètres!$A$1:$I$89,7,0))</f>
        <v>0.126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>
        <f>VLOOKUP(A16,'Données projet'!$A$139:$I$159,2,0)</f>
        <v>238</v>
      </c>
      <c r="CR16" s="12">
        <f>VLOOKUP(A16,'Données projet'!$A$139:$I$159,9,0)</f>
        <v>26</v>
      </c>
      <c r="CS16" s="12">
        <f t="array" ref="CS16">INDEX(CR:CR,MIN(IF(ISNUMBER(CR16:CR212),ROW(CR16:CR212),"")))</f>
        <v>26</v>
      </c>
      <c r="CT16" s="12">
        <f>IF('Données projet'!$A$140&gt;35,CT15+CS16-DB15,IF(A16&lt;'Données projet'!$A$140,$CQ$205^A16,IF(A16='Données projet'!$A$140,'Données projet'!$B$140,CT15+CS16-DB15)))</f>
        <v>238</v>
      </c>
      <c r="CU16" s="17">
        <f>CT16*VLOOKUP('Données projet'!$B$13,Paramètres!$A$1:$I$89,3,0)*VLOOKUP('Données projet'!$B$13,Paramètres!$A$1:$I$89,5,0)</f>
        <v>124.75008000000001</v>
      </c>
      <c r="CV16" s="13">
        <f t="shared" si="41"/>
        <v>32.780361960132396</v>
      </c>
      <c r="CW16" s="20">
        <f t="shared" si="13"/>
        <v>274.36551974723062</v>
      </c>
      <c r="CX16" s="59">
        <f t="shared" si="14"/>
        <v>473.90651999884943</v>
      </c>
      <c r="CY16" s="59">
        <f ca="1">AVERAGE(OFFSET($CX$3,0,0,'Données projet'!$E$13+1,1))-AVERAGE(OFFSET($H$3,0,0,'Données projet'!$E$13+1,1))</f>
        <v>120.26681323682763</v>
      </c>
      <c r="CZ16" s="59">
        <f t="shared" si="42"/>
        <v>344.92933166159389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0.28199999999999997</v>
      </c>
      <c r="DD16" s="16">
        <f>IF(ISNA(VLOOKUP(A16,'Données projet'!$A$139:$I$159,6,0)),0%,VLOOKUP(A16,'Données projet'!$A$139:$I$159,6,0)*VLOOKUP('Données projet'!$B$13,Paramètres!$A$1:$I$89,7,0))</f>
        <v>0.126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>
        <f>VLOOKUP(A17,'Données projet'!$A$35:$I$55,2,0)</f>
        <v>292</v>
      </c>
      <c r="L17" s="12">
        <f>VLOOKUP(A17,'Données projet'!$A$35:$I$55,9,0)</f>
        <v>36</v>
      </c>
      <c r="M17" s="12">
        <f t="array" ref="M17">INDEX(L:L,MIN(IF(ISNUMBER(L17:L213),ROW(L17:L213),"")))</f>
        <v>36</v>
      </c>
      <c r="N17" s="13">
        <f>IF('Données projet'!$A$36&gt;35,N16+M17-V16,IF(A17&lt;'Données projet'!$A$36,$K$205^A17,IF(A17='Données projet'!$A$36,'Données projet'!$B$36,N16+M17-V16)))</f>
        <v>292</v>
      </c>
      <c r="O17" s="13">
        <f>N17*VLOOKUP('Données projet'!$B$9,Paramètres!$A$1:$I$89,3,0)*VLOOKUP('Données projet'!$B$9,Paramètres!$A$1:$I$89,5,0)</f>
        <v>148.49952000000002</v>
      </c>
      <c r="P17" s="13">
        <f t="shared" si="33"/>
        <v>38.237396894282334</v>
      </c>
      <c r="Q17" s="20">
        <f t="shared" si="2"/>
        <v>325.23346359087509</v>
      </c>
      <c r="R17" s="59">
        <f t="shared" si="0"/>
        <v>527.26332536314828</v>
      </c>
      <c r="S17" s="59">
        <f ca="1">AVERAGE(OFFSET($R$3,0,0,'Données projet'!$E$9+1,1))-AVERAGE(OFFSET($H$3,0,0,'Données projet'!$E$9+1,1))</f>
        <v>114.4650227251685</v>
      </c>
      <c r="T17" s="59">
        <f t="shared" si="34"/>
        <v>386.57315604590599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0.28199999999999997</v>
      </c>
      <c r="X17" s="16">
        <f>IF(ISNA(VLOOKUP(A17,'Données projet'!$A$35:$I$55,6,0)),0%,VLOOKUP(A17,'Données projet'!$A$35:$I$55,6,0)*VLOOKUP('Données projet'!$B$9,Paramètres!$A$1:$I$89,7,0))</f>
        <v>0.126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>
        <f>VLOOKUP(A17,'Données projet'!$A$61:$I$81,2,0)</f>
        <v>292</v>
      </c>
      <c r="AG17" s="12">
        <f>VLOOKUP(A17,'Données projet'!$A$61:$I$81,9,0)</f>
        <v>36</v>
      </c>
      <c r="AH17" s="12">
        <f t="array" ref="AH17">INDEX(AG:AG,MIN(IF(ISNUMBER(AG17:AG213),ROW(AG17:AG213),"")))</f>
        <v>36</v>
      </c>
      <c r="AI17" s="13">
        <f>IF('Données projet'!$A$62&gt;35,AI16+AH17-AQ16,IF(A17&lt;'Données projet'!$A$62,$AF$205^A17,IF(A17='Données projet'!$A$62,'Données projet'!$B$62,AI16+AH17-AQ16)))</f>
        <v>292</v>
      </c>
      <c r="AJ17" s="13">
        <f>AI17*VLOOKUP('Données projet'!$B$10,Paramètres!$A$1:$I$89,3,0)*VLOOKUP('Données projet'!$B$10,Paramètres!$A$1:$I$89,5,0)</f>
        <v>148.49952000000002</v>
      </c>
      <c r="AK17" s="13">
        <f t="shared" si="35"/>
        <v>38.237396894282334</v>
      </c>
      <c r="AL17" s="20">
        <f t="shared" si="4"/>
        <v>325.23346359087509</v>
      </c>
      <c r="AM17" s="59">
        <f t="shared" si="5"/>
        <v>527.26332536314828</v>
      </c>
      <c r="AN17" s="59">
        <f ca="1">AVERAGE(OFFSET($AM$3,0,0,'Données projet'!$E$10+1,1))-AVERAGE(OFFSET($H$3,0,0,'Données projet'!$E$10+1,1))</f>
        <v>114.4650227251685</v>
      </c>
      <c r="AO17" s="59">
        <f t="shared" si="36"/>
        <v>386.57315604590599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0.28199999999999997</v>
      </c>
      <c r="AS17" s="16">
        <f>IF(ISNA(VLOOKUP(A17,'Données projet'!$A$61:$I$81,6,0)),0%,VLOOKUP(A17,'Données projet'!$A$61:$I$81,6,0)*VLOOKUP('Données projet'!$B$10,Paramètres!$A$1:$I$89,7,0))</f>
        <v>0.126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>
        <f>VLOOKUP(A17,'Données projet'!$A$87:$I$107,2,0)</f>
        <v>198</v>
      </c>
      <c r="BB17" s="12">
        <f>VLOOKUP(A17,'Données projet'!$A$87:$I$107,9,0)</f>
        <v>33</v>
      </c>
      <c r="BC17" s="12">
        <f t="array" ref="BC17">INDEX(BB:BB,MIN(IF(ISNUMBER(BB17:BB213),ROW(BB17:BB213),"")))</f>
        <v>33</v>
      </c>
      <c r="BD17" s="12">
        <f>IF('Données projet'!$A$88&gt;35,BD16+BC17-BL16,IF(A17&lt;'Données projet'!$A$88,$BA$205^A17,IF(A17='Données projet'!$A$88,'Données projet'!$B$88,BD16+BC17-BL16)))</f>
        <v>198</v>
      </c>
      <c r="BE17" s="13">
        <f>BD17*VLOOKUP('Données projet'!$B$11,Paramètres!$A$1:$I$89,3,0)*VLOOKUP('Données projet'!$B$11,Paramètres!$A$1:$I$89,5,0)</f>
        <v>100.69488000000001</v>
      </c>
      <c r="BF17" s="13">
        <f t="shared" si="37"/>
        <v>27.127476348711873</v>
      </c>
      <c r="BG17" s="20">
        <f t="shared" si="7"/>
        <v>222.62393730733984</v>
      </c>
      <c r="BH17" s="59">
        <f t="shared" si="8"/>
        <v>424.65379907961301</v>
      </c>
      <c r="BI17" s="59">
        <f ca="1">AVERAGE(OFFSET($BH$3,0,0,'Données projet'!$E$11+1,1))-AVERAGE(OFFSET($H$3,0,0,'Données projet'!$E$11+1,1))</f>
        <v>68.944412338382023</v>
      </c>
      <c r="BJ17" s="59">
        <f t="shared" si="38"/>
        <v>281.00389700159246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0.28199999999999997</v>
      </c>
      <c r="BN17" s="16">
        <f>IF(ISNA(VLOOKUP(A17,'Données projet'!$A$87:$I$107,6,0)),0%,VLOOKUP(A17,'Données projet'!$A$87:$I$107,6,0)*VLOOKUP('Données projet'!$B$11,Paramètres!$A$1:$I$89,7,0))</f>
        <v>0.126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>
        <f>VLOOKUP(A17,'Données projet'!$A$113:$I$133,2,0)</f>
        <v>261</v>
      </c>
      <c r="BW17" s="12">
        <f>VLOOKUP(A17,'Données projet'!$A$113:$I$133,9,0)</f>
        <v>23</v>
      </c>
      <c r="BX17" s="12">
        <f t="array" ref="BX17">INDEX(BW:BW,MIN(IF(ISNUMBER(BW17:BW213),ROW(BW17:BW213),"")))</f>
        <v>23</v>
      </c>
      <c r="BY17" s="12">
        <f>IF('Données projet'!$A$114&gt;35,BY16+BX17-CG16,IF(A17&lt;'Données projet'!$A$114,$BV$205^A17,IF(A17='Données projet'!$A$114,'Données projet'!$B$114,BY16+BX17-CG16)))</f>
        <v>261</v>
      </c>
      <c r="BZ17" s="13">
        <f>BY17*VLOOKUP('Données projet'!$B$12,Paramètres!$A$1:$I$89,3,0)*VLOOKUP('Données projet'!$B$12,Paramètres!$A$1:$I$89,5,0)</f>
        <v>136.80576000000002</v>
      </c>
      <c r="CA17" s="13">
        <f t="shared" si="39"/>
        <v>35.564269922997305</v>
      </c>
      <c r="CB17" s="20">
        <f t="shared" si="10"/>
        <v>300.21113544922036</v>
      </c>
      <c r="CC17" s="59">
        <f t="shared" si="11"/>
        <v>502.24099722149356</v>
      </c>
      <c r="CD17" s="59">
        <f ca="1">AVERAGE(OFFSET($CC$3,0,0,'Données projet'!$E$12+1,1))-AVERAGE(OFFSET($H$3,0,0,'Données projet'!$E$12+1,1))</f>
        <v>120.26681323682763</v>
      </c>
      <c r="CE17" s="59">
        <f t="shared" si="40"/>
        <v>344.92933166159389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0.28199999999999997</v>
      </c>
      <c r="CI17" s="16">
        <f>IF(ISNA(VLOOKUP(A17,'Données projet'!$A$113:$I$133,6,0)),0%,VLOOKUP(A17,'Données projet'!$A$113:$I$133,6,0)*VLOOKUP('Données projet'!$B$12,Paramètres!$A$1:$I$89,7,0))</f>
        <v>0.126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>
        <f>VLOOKUP(A17,'Données projet'!$A$139:$I$159,2,0)</f>
        <v>261</v>
      </c>
      <c r="CR17" s="12">
        <f>VLOOKUP(A17,'Données projet'!$A$139:$I$159,9,0)</f>
        <v>23</v>
      </c>
      <c r="CS17" s="12">
        <f t="array" ref="CS17">INDEX(CR:CR,MIN(IF(ISNUMBER(CR17:CR213),ROW(CR17:CR213),"")))</f>
        <v>23</v>
      </c>
      <c r="CT17" s="12">
        <f>IF('Données projet'!$A$140&gt;35,CT16+CS17-DB16,IF(A17&lt;'Données projet'!$A$140,$CQ$205^A17,IF(A17='Données projet'!$A$140,'Données projet'!$B$140,CT16+CS17-DB16)))</f>
        <v>261</v>
      </c>
      <c r="CU17" s="17">
        <f>CT17*VLOOKUP('Données projet'!$B$13,Paramètres!$A$1:$I$89,3,0)*VLOOKUP('Données projet'!$B$13,Paramètres!$A$1:$I$89,5,0)</f>
        <v>136.80576000000002</v>
      </c>
      <c r="CV17" s="13">
        <f t="shared" si="41"/>
        <v>35.564269922997305</v>
      </c>
      <c r="CW17" s="20">
        <f t="shared" si="13"/>
        <v>300.21113544922036</v>
      </c>
      <c r="CX17" s="59">
        <f t="shared" si="14"/>
        <v>502.24099722149356</v>
      </c>
      <c r="CY17" s="59">
        <f ca="1">AVERAGE(OFFSET($CX$3,0,0,'Données projet'!$E$13+1,1))-AVERAGE(OFFSET($H$3,0,0,'Données projet'!$E$13+1,1))</f>
        <v>120.26681323682763</v>
      </c>
      <c r="CZ17" s="59">
        <f t="shared" si="42"/>
        <v>344.92933166159389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0.28199999999999997</v>
      </c>
      <c r="DD17" s="16">
        <f>IF(ISNA(VLOOKUP(A17,'Données projet'!$A$139:$I$159,6,0)),0%,VLOOKUP(A17,'Données projet'!$A$139:$I$159,6,0)*VLOOKUP('Données projet'!$B$13,Paramètres!$A$1:$I$89,7,0))</f>
        <v>0.126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329</v>
      </c>
      <c r="L18" s="12">
        <f>VLOOKUP(A18,'Données projet'!$A$35:$I$55,9,0)</f>
        <v>37</v>
      </c>
      <c r="M18" s="12">
        <f t="array" ref="M18">INDEX(L:L,MIN(IF(ISNUMBER(L18:L214),ROW(L18:L214),"")))</f>
        <v>37</v>
      </c>
      <c r="N18" s="13">
        <f>IF('Données projet'!$A$36&gt;35,N17+M18-V17,IF(A18&lt;'Données projet'!$A$36,$K$205^A18,IF(A18='Données projet'!$A$36,'Données projet'!$B$36,N17+M18-V17)))</f>
        <v>329</v>
      </c>
      <c r="O18" s="13">
        <f>N18*VLOOKUP('Données projet'!$B$9,Paramètres!$A$1:$I$89,3,0)*VLOOKUP('Données projet'!$B$9,Paramètres!$A$1:$I$89,5,0)</f>
        <v>167.31624000000002</v>
      </c>
      <c r="P18" s="13">
        <f t="shared" si="33"/>
        <v>42.488395088818137</v>
      </c>
      <c r="Q18" s="20">
        <f t="shared" si="2"/>
        <v>365.40973944635829</v>
      </c>
      <c r="R18" s="59">
        <f t="shared" si="0"/>
        <v>569.90648937923936</v>
      </c>
      <c r="S18" s="59">
        <f ca="1">AVERAGE(OFFSET($R$3,0,0,'Données projet'!$E$9+1,1))-AVERAGE(OFFSET($H$3,0,0,'Données projet'!$E$9+1,1))</f>
        <v>114.4650227251685</v>
      </c>
      <c r="T18" s="59">
        <f t="shared" si="34"/>
        <v>386.57315604590599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329</v>
      </c>
      <c r="W18" s="16">
        <f>IF(ISNA(VLOOKUP(A18,'Données projet'!$A$35:$I$55,5,0)),0%,VLOOKUP(A18,'Données projet'!$A$35:$I$55,5,0)*VLOOKUP('Données projet'!$B$9,Paramètres!$A$1:$I$89,7,0))</f>
        <v>0.28199999999999997</v>
      </c>
      <c r="X18" s="16">
        <f>IF(ISNA(VLOOKUP(A18,'Données projet'!$A$35:$I$55,6,0)),0%,VLOOKUP(A18,'Données projet'!$A$35:$I$55,6,0)*VLOOKUP('Données projet'!$B$9,Paramètres!$A$1:$I$89,7,0))</f>
        <v>0.126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52.159607548420979</v>
      </c>
      <c r="AA18" s="21">
        <f>EXP(-LN(2)/25)*AA17+(1-EXP(-LN(2)/25))/(LN(2)/25)*Calculateur!V18*Calculateur!X18*VLOOKUP('Données projet'!$B$9,Paramètres!$A$1:$I$89,3,0)*0.475*44/12</f>
        <v>23.213594495357857</v>
      </c>
      <c r="AB18" s="21">
        <f>EXP(-LN(2)/2)*AB17+(1-EXP(-LN(2)/2))/(LN(2)/2)*V18*Y18*VLOOKUP('Données projet'!$B$9,Paramètres!$A$1:$I$89,3,0)*0.475*44/12</f>
        <v>0</v>
      </c>
      <c r="AC18" s="22">
        <f t="shared" si="3"/>
        <v>75.373202043778832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329</v>
      </c>
      <c r="AG18" s="12">
        <f>VLOOKUP(A18,'Données projet'!$A$61:$I$81,9,0)</f>
        <v>37</v>
      </c>
      <c r="AH18" s="12">
        <f t="array" ref="AH18">INDEX(AG:AG,MIN(IF(ISNUMBER(AG18:AG214),ROW(AG18:AG214),"")))</f>
        <v>37</v>
      </c>
      <c r="AI18" s="13">
        <f>IF('Données projet'!$A$62&gt;35,AI17+AH18-AQ17,IF(A18&lt;'Données projet'!$A$62,$AF$205^A18,IF(A18='Données projet'!$A$62,'Données projet'!$B$62,AI17+AH18-AQ17)))</f>
        <v>329</v>
      </c>
      <c r="AJ18" s="13">
        <f>AI18*VLOOKUP('Données projet'!$B$10,Paramètres!$A$1:$I$89,3,0)*VLOOKUP('Données projet'!$B$10,Paramètres!$A$1:$I$89,5,0)</f>
        <v>167.31624000000002</v>
      </c>
      <c r="AK18" s="13">
        <f t="shared" si="35"/>
        <v>42.488395088818137</v>
      </c>
      <c r="AL18" s="20">
        <f t="shared" si="4"/>
        <v>365.40973944635829</v>
      </c>
      <c r="AM18" s="59">
        <f t="shared" si="5"/>
        <v>569.90648937923936</v>
      </c>
      <c r="AN18" s="59">
        <f ca="1">AVERAGE(OFFSET($AM$3,0,0,'Données projet'!$E$10+1,1))-AVERAGE(OFFSET($H$3,0,0,'Données projet'!$E$10+1,1))</f>
        <v>114.4650227251685</v>
      </c>
      <c r="AO18" s="59">
        <f t="shared" si="36"/>
        <v>386.57315604590599</v>
      </c>
      <c r="AP18" s="15">
        <f>IF(ISNA(VLOOKUP(A18,'Données projet'!$A$61:$I$81,3,0)),0,VLOOKUP(A18,'Données projet'!$A$61:$I$81,3,0))</f>
        <v>1</v>
      </c>
      <c r="AQ18" s="15">
        <f>IF(ISNA(VLOOKUP(A18,'Données projet'!$A$61:$I$81,4,0)),0,VLOOKUP(A18,'Données projet'!$A$61:$I$81,4,0))</f>
        <v>329</v>
      </c>
      <c r="AR18" s="16">
        <f>IF(ISNA(VLOOKUP(A18,'Données projet'!$A$61:$I$81,5,0)),0%,VLOOKUP(A18,'Données projet'!$A$61:$I$81,5,0)*VLOOKUP('Données projet'!$B$10,Paramètres!$A$1:$I$89,7,0))</f>
        <v>0.28199999999999997</v>
      </c>
      <c r="AS18" s="16">
        <f>IF(ISNA(VLOOKUP(A18,'Données projet'!$A$61:$I$81,6,0)),0%,VLOOKUP(A18,'Données projet'!$A$61:$I$81,6,0)*VLOOKUP('Données projet'!$B$10,Paramètres!$A$1:$I$89,7,0))</f>
        <v>0.126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52.159607548420979</v>
      </c>
      <c r="AV18" s="21">
        <f>EXP(-LN(2)/25)*AV17+(1-EXP(-LN(2)/25))/(LN(2)/25)*Calculateur!AQ18*Calculateur!AS18*VLOOKUP('Données projet'!$B$10,Paramètres!$A$1:$I$89,3,0)*0.475*44/12</f>
        <v>23.213594495357857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75.373202043778832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232</v>
      </c>
      <c r="BB18" s="12">
        <f>VLOOKUP(A18,'Données projet'!$A$87:$I$107,9,0)</f>
        <v>34</v>
      </c>
      <c r="BC18" s="12">
        <f t="array" ref="BC18">INDEX(BB:BB,MIN(IF(ISNUMBER(BB18:BB214),ROW(BB18:BB214),"")))</f>
        <v>34</v>
      </c>
      <c r="BD18" s="12">
        <f>IF('Données projet'!$A$88&gt;35,BD17+BC18-BL17,IF(A18&lt;'Données projet'!$A$88,$BA$205^A18,IF(A18='Données projet'!$A$88,'Données projet'!$B$88,BD17+BC18-BL17)))</f>
        <v>232</v>
      </c>
      <c r="BE18" s="13">
        <f>BD18*VLOOKUP('Données projet'!$B$11,Paramètres!$A$1:$I$89,3,0)*VLOOKUP('Données projet'!$B$11,Paramètres!$A$1:$I$89,5,0)</f>
        <v>117.98592000000001</v>
      </c>
      <c r="BF18" s="13">
        <f t="shared" si="37"/>
        <v>31.20478645093479</v>
      </c>
      <c r="BG18" s="20">
        <f t="shared" si="7"/>
        <v>259.84048040204476</v>
      </c>
      <c r="BH18" s="59">
        <f t="shared" si="8"/>
        <v>464.33723033492583</v>
      </c>
      <c r="BI18" s="59">
        <f ca="1">AVERAGE(OFFSET($BH$3,0,0,'Données projet'!$E$11+1,1))-AVERAGE(OFFSET($H$3,0,0,'Données projet'!$E$11+1,1))</f>
        <v>68.944412338382023</v>
      </c>
      <c r="BJ18" s="59">
        <f t="shared" si="38"/>
        <v>281.00389700159246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232</v>
      </c>
      <c r="BM18" s="16">
        <f>IF(ISNA(VLOOKUP(A18,'Données projet'!$A$87:$I$107,5,0)),0%,VLOOKUP(A18,'Données projet'!$A$87:$I$107,5,0)*VLOOKUP('Données projet'!$B$11,Paramètres!$A$1:$I$89,7,0))</f>
        <v>0.28199999999999997</v>
      </c>
      <c r="BN18" s="16">
        <f>IF(ISNA(VLOOKUP(A18,'Données projet'!$A$87:$I$107,6,0)),0%,VLOOKUP(A18,'Données projet'!$A$87:$I$107,6,0)*VLOOKUP('Données projet'!$B$11,Paramètres!$A$1:$I$89,7,0))</f>
        <v>0.126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36.781243012868288</v>
      </c>
      <c r="BQ18" s="21">
        <f>EXP(-LN(2)/25)*BQ17+(1-EXP(-LN(2)/25))/(LN(2)/25)*Calculateur!BL18*Calculateur!BN18*VLOOKUP('Données projet'!$B$11,Paramètres!$A$1:$I$89,3,0)*0.475*44/12</f>
        <v>16.369464811316181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53.150707824184465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282</v>
      </c>
      <c r="BW18" s="12">
        <f>VLOOKUP(A18,'Données projet'!$A$113:$I$133,9,0)</f>
        <v>21</v>
      </c>
      <c r="BX18" s="12">
        <f t="array" ref="BX18">INDEX(BW:BW,MIN(IF(ISNUMBER(BW18:BW214),ROW(BW18:BW214),"")))</f>
        <v>21</v>
      </c>
      <c r="BY18" s="12">
        <f>IF('Données projet'!$A$114&gt;35,BY17+BX18-CG17,IF(A18&lt;'Données projet'!$A$114,$BV$205^A18,IF(A18='Données projet'!$A$114,'Données projet'!$B$114,BY17+BX18-CG17)))</f>
        <v>282</v>
      </c>
      <c r="BZ18" s="13">
        <f>BY18*VLOOKUP('Données projet'!$B$12,Paramètres!$A$1:$I$89,3,0)*VLOOKUP('Données projet'!$B$12,Paramètres!$A$1:$I$89,5,0)</f>
        <v>147.81312000000003</v>
      </c>
      <c r="CA18" s="13">
        <f t="shared" si="39"/>
        <v>38.081185298782486</v>
      </c>
      <c r="CB18" s="20">
        <f t="shared" si="10"/>
        <v>323.76591506204619</v>
      </c>
      <c r="CC18" s="59">
        <f t="shared" si="11"/>
        <v>528.26266499492726</v>
      </c>
      <c r="CD18" s="59">
        <f ca="1">AVERAGE(OFFSET($CC$3,0,0,'Données projet'!$E$12+1,1))-AVERAGE(OFFSET($H$3,0,0,'Données projet'!$E$12+1,1))</f>
        <v>120.26681323682763</v>
      </c>
      <c r="CE18" s="59">
        <f t="shared" si="40"/>
        <v>344.92933166159389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282</v>
      </c>
      <c r="CH18" s="16">
        <f>IF(ISNA(VLOOKUP(A18,'Données projet'!$A$113:$I$133,5,0)),0%,VLOOKUP(A18,'Données projet'!$A$113:$I$133,5,0)*VLOOKUP('Données projet'!$B$12,Paramètres!$A$1:$I$89,7,0))</f>
        <v>0.28199999999999997</v>
      </c>
      <c r="CI18" s="16">
        <f>IF(ISNA(VLOOKUP(A18,'Données projet'!$A$113:$I$133,6,0)),0%,VLOOKUP(A18,'Données projet'!$A$113:$I$133,6,0)*VLOOKUP('Données projet'!$B$12,Paramètres!$A$1:$I$89,7,0))</f>
        <v>0.126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46.07965329431056</v>
      </c>
      <c r="CL18" s="21">
        <f>EXP(-LN(2)/25)*CL17+(1-EXP(-LN(2)/25))/(LN(2)/25)*Calculateur!CG18*Calculateur!CI18*VLOOKUP('Données projet'!$B$12,Paramètres!$A$1:$I$89,3,0)*0.475*44/12</f>
        <v>20.507715382402033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66.5873686767126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282</v>
      </c>
      <c r="CR18" s="12">
        <f>VLOOKUP(A18,'Données projet'!$A$139:$I$159,9,0)</f>
        <v>21</v>
      </c>
      <c r="CS18" s="12">
        <f t="array" ref="CS18">INDEX(CR:CR,MIN(IF(ISNUMBER(CR18:CR214),ROW(CR18:CR214),"")))</f>
        <v>21</v>
      </c>
      <c r="CT18" s="12">
        <f>IF('Données projet'!$A$140&gt;35,CT17+CS18-DB17,IF(A18&lt;'Données projet'!$A$140,$CQ$205^A18,IF(A18='Données projet'!$A$140,'Données projet'!$B$140,CT17+CS18-DB17)))</f>
        <v>282</v>
      </c>
      <c r="CU18" s="17">
        <f>CT18*VLOOKUP('Données projet'!$B$13,Paramètres!$A$1:$I$89,3,0)*VLOOKUP('Données projet'!$B$13,Paramètres!$A$1:$I$89,5,0)</f>
        <v>147.81312000000003</v>
      </c>
      <c r="CV18" s="13">
        <f t="shared" si="41"/>
        <v>38.081185298782486</v>
      </c>
      <c r="CW18" s="20">
        <f t="shared" si="13"/>
        <v>323.76591506204619</v>
      </c>
      <c r="CX18" s="59">
        <f t="shared" si="14"/>
        <v>528.26266499492726</v>
      </c>
      <c r="CY18" s="59">
        <f ca="1">AVERAGE(OFFSET($CX$3,0,0,'Données projet'!$E$13+1,1))-AVERAGE(OFFSET($H$3,0,0,'Données projet'!$E$13+1,1))</f>
        <v>120.26681323682763</v>
      </c>
      <c r="CZ18" s="59">
        <f t="shared" si="42"/>
        <v>344.92933166159389</v>
      </c>
      <c r="DA18" s="15">
        <f>IF(ISNA(VLOOKUP(A18,'Données projet'!$A$139:$I$159,3,0)),0,VLOOKUP(A18,'Données projet'!$A$139:$I$159,3,0))</f>
        <v>1</v>
      </c>
      <c r="DB18" s="15">
        <f>IF(ISNA(VLOOKUP(A18,'Données projet'!$A$139:$I$159,4,0)),0,VLOOKUP(A18,'Données projet'!$A$139:$I$159,4,0))</f>
        <v>282</v>
      </c>
      <c r="DC18" s="16">
        <f>IF(ISNA(VLOOKUP(A18,'Données projet'!$A$139:$I$159,5,0)),0%,VLOOKUP(A18,'Données projet'!$A$139:$I$159,5,0)*VLOOKUP('Données projet'!$B$13,Paramètres!$A$1:$I$89,7,0))</f>
        <v>0.28199999999999997</v>
      </c>
      <c r="DD18" s="16">
        <f>IF(ISNA(VLOOKUP(A18,'Données projet'!$A$139:$I$159,6,0)),0%,VLOOKUP(A18,'Données projet'!$A$139:$I$159,6,0)*VLOOKUP('Données projet'!$B$13,Paramètres!$A$1:$I$89,7,0))</f>
        <v>0.126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46.07965329431056</v>
      </c>
      <c r="DG18" s="21">
        <f>EXP(-LN(2)/25)*DG17+(1-EXP(-LN(2)/25))/(LN(2)/25)*Calculateur!DB18*Calculateur!DD18*VLOOKUP('Données projet'!$B$13,Paramètres!$A$1:$I$89,3,0)*0.475*44/12</f>
        <v>20.507715382402033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66.5873686767126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0</v>
      </c>
      <c r="N19" s="13">
        <f>IF('Données projet'!$A$36&gt;35,N18+M19-V18,IF(A19&lt;'Données projet'!$A$36,$K$205^A19,IF(A19='Données projet'!$A$36,'Données projet'!$B$36,N18+M19-V18)))</f>
        <v>0</v>
      </c>
      <c r="O19" s="13">
        <f>N19*VLOOKUP('Données projet'!$B$9,Paramètres!$A$1:$I$89,3,0)*VLOOKUP('Données projet'!$B$9,Paramètres!$A$1:$I$89,5,0)</f>
        <v>0</v>
      </c>
      <c r="P19" s="13" t="e">
        <f t="shared" si="33"/>
        <v>#NUM!</v>
      </c>
      <c r="Q19" s="20" t="e">
        <f t="shared" si="2"/>
        <v>#NUM!</v>
      </c>
      <c r="R19" s="59" t="e">
        <f t="shared" si="0"/>
        <v>#NUM!</v>
      </c>
      <c r="S19" s="59">
        <f ca="1">AVERAGE(OFFSET($R$3,0,0,'Données projet'!$E$9+1,1))-AVERAGE(OFFSET($H$3,0,0,'Données projet'!$E$9+1,1))</f>
        <v>114.4650227251685</v>
      </c>
      <c r="T19" s="59">
        <f t="shared" si="34"/>
        <v>386.57315604590599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51.136789458615652</v>
      </c>
      <c r="AA19" s="21">
        <f>EXP(-LN(2)/25)*AA18+(1-EXP(-LN(2)/25))/(LN(2)/25)*Calculateur!V19*Calculateur!X19*VLOOKUP('Données projet'!$B$9,Paramètres!$A$1:$I$89,3,0)*0.475*44/12</f>
        <v>22.578817533132415</v>
      </c>
      <c r="AB19" s="21">
        <f>EXP(-LN(2)/2)*AB18+(1-EXP(-LN(2)/2))/(LN(2)/2)*V19*Y19*VLOOKUP('Données projet'!$B$9,Paramètres!$A$1:$I$89,3,0)*0.475*44/12</f>
        <v>0</v>
      </c>
      <c r="AC19" s="22">
        <f t="shared" si="3"/>
        <v>73.715606991748075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>
        <f>AI19*VLOOKUP('Données projet'!$B$10,Paramètres!$A$1:$I$89,3,0)*VLOOKUP('Données projet'!$B$10,Paramètres!$A$1:$I$89,5,0)</f>
        <v>0</v>
      </c>
      <c r="AK19" s="13" t="e">
        <f t="shared" si="35"/>
        <v>#NUM!</v>
      </c>
      <c r="AL19" s="20" t="e">
        <f t="shared" si="4"/>
        <v>#NUM!</v>
      </c>
      <c r="AM19" s="59" t="e">
        <f t="shared" si="5"/>
        <v>#NUM!</v>
      </c>
      <c r="AN19" s="59">
        <f ca="1">AVERAGE(OFFSET($AM$3,0,0,'Données projet'!$E$10+1,1))-AVERAGE(OFFSET($H$3,0,0,'Données projet'!$E$10+1,1))</f>
        <v>114.4650227251685</v>
      </c>
      <c r="AO19" s="59">
        <f t="shared" si="36"/>
        <v>386.57315604590599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51.136789458615652</v>
      </c>
      <c r="AV19" s="21">
        <f>EXP(-LN(2)/25)*AV18+(1-EXP(-LN(2)/25))/(LN(2)/25)*Calculateur!AQ19*Calculateur!AS19*VLOOKUP('Données projet'!$B$10,Paramètres!$A$1:$I$89,3,0)*0.475*44/12</f>
        <v>22.578817533132415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73.715606991748075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>
        <f>BD19*VLOOKUP('Données projet'!$B$11,Paramètres!$A$1:$I$89,3,0)*VLOOKUP('Données projet'!$B$11,Paramètres!$A$1:$I$89,5,0)</f>
        <v>0</v>
      </c>
      <c r="BF19" s="13" t="e">
        <f t="shared" si="37"/>
        <v>#NUM!</v>
      </c>
      <c r="BG19" s="20" t="e">
        <f t="shared" si="7"/>
        <v>#NUM!</v>
      </c>
      <c r="BH19" s="59" t="e">
        <f t="shared" si="8"/>
        <v>#NUM!</v>
      </c>
      <c r="BI19" s="59">
        <f ca="1">AVERAGE(OFFSET($BH$3,0,0,'Données projet'!$E$11+1,1))-AVERAGE(OFFSET($H$3,0,0,'Données projet'!$E$11+1,1))</f>
        <v>68.944412338382023</v>
      </c>
      <c r="BJ19" s="59">
        <f t="shared" si="38"/>
        <v>281.00389700159246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36.059985271728969</v>
      </c>
      <c r="BQ19" s="21">
        <f>EXP(-LN(2)/25)*BQ18+(1-EXP(-LN(2)/25))/(LN(2)/25)*Calculateur!BL19*Calculateur!BN19*VLOOKUP('Données projet'!$B$11,Paramètres!$A$1:$I$89,3,0)*0.475*44/12</f>
        <v>15.921840935217999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51.98182620694697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>
        <f>BY19*VLOOKUP('Données projet'!$B$12,Paramètres!$A$1:$I$89,3,0)*VLOOKUP('Données projet'!$B$12,Paramètres!$A$1:$I$89,5,0)</f>
        <v>0</v>
      </c>
      <c r="CA19" s="13" t="e">
        <f t="shared" si="39"/>
        <v>#NUM!</v>
      </c>
      <c r="CB19" s="20" t="e">
        <f t="shared" si="10"/>
        <v>#NUM!</v>
      </c>
      <c r="CC19" s="59" t="e">
        <f t="shared" si="11"/>
        <v>#NUM!</v>
      </c>
      <c r="CD19" s="59">
        <f ca="1">AVERAGE(OFFSET($CC$3,0,0,'Données projet'!$E$12+1,1))-AVERAGE(OFFSET($H$3,0,0,'Données projet'!$E$12+1,1))</f>
        <v>120.26681323682763</v>
      </c>
      <c r="CE19" s="59">
        <f t="shared" si="40"/>
        <v>344.92933166159389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45.176059399022421</v>
      </c>
      <c r="CL19" s="21">
        <f>EXP(-LN(2)/25)*CL18+(1-EXP(-LN(2)/25))/(LN(2)/25)*Calculateur!CG19*Calculateur!CI19*VLOOKUP('Données projet'!$B$12,Paramètres!$A$1:$I$89,3,0)*0.475*44/12</f>
        <v>19.94693082681637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65.122990225838791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>
        <f>CT19*VLOOKUP('Données projet'!$B$13,Paramètres!$A$1:$I$89,3,0)*VLOOKUP('Données projet'!$B$13,Paramètres!$A$1:$I$89,5,0)</f>
        <v>0</v>
      </c>
      <c r="CV19" s="13" t="e">
        <f t="shared" si="41"/>
        <v>#NUM!</v>
      </c>
      <c r="CW19" s="20" t="e">
        <f t="shared" si="13"/>
        <v>#NUM!</v>
      </c>
      <c r="CX19" s="59" t="e">
        <f t="shared" si="14"/>
        <v>#NUM!</v>
      </c>
      <c r="CY19" s="59">
        <f ca="1">AVERAGE(OFFSET($CX$3,0,0,'Données projet'!$E$13+1,1))-AVERAGE(OFFSET($H$3,0,0,'Données projet'!$E$13+1,1))</f>
        <v>120.26681323682763</v>
      </c>
      <c r="CZ19" s="59">
        <f t="shared" si="42"/>
        <v>344.92933166159389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45.176059399022421</v>
      </c>
      <c r="DG19" s="21">
        <f>EXP(-LN(2)/25)*DG18+(1-EXP(-LN(2)/25))/(LN(2)/25)*Calculateur!DB19*Calculateur!DD19*VLOOKUP('Données projet'!$B$13,Paramètres!$A$1:$I$89,3,0)*0.475*44/12</f>
        <v>19.94693082681637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65.122990225838791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0</v>
      </c>
      <c r="N20" s="13">
        <f>IF('Données projet'!$A$36&gt;35,N19+M20-V19,IF(A20&lt;'Données projet'!$A$36,$K$205^A20,IF(A20='Données projet'!$A$36,'Données projet'!$B$36,N19+M20-V19)))</f>
        <v>0</v>
      </c>
      <c r="O20" s="13">
        <f>N20*VLOOKUP('Données projet'!$B$9,Paramètres!$A$1:$I$89,3,0)*VLOOKUP('Données projet'!$B$9,Paramètres!$A$1:$I$89,5,0)</f>
        <v>0</v>
      </c>
      <c r="P20" s="13" t="e">
        <f t="shared" si="33"/>
        <v>#NUM!</v>
      </c>
      <c r="Q20" s="20" t="e">
        <f t="shared" si="2"/>
        <v>#NUM!</v>
      </c>
      <c r="R20" s="59" t="e">
        <f t="shared" si="0"/>
        <v>#NUM!</v>
      </c>
      <c r="S20" s="59">
        <f ca="1">AVERAGE(OFFSET($R$3,0,0,'Données projet'!$E$9+1,1))-AVERAGE(OFFSET($H$3,0,0,'Données projet'!$E$9+1,1))</f>
        <v>114.4650227251685</v>
      </c>
      <c r="T20" s="59">
        <f t="shared" si="34"/>
        <v>386.57315604590599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50.13402820769398</v>
      </c>
      <c r="AA20" s="21">
        <f>EXP(-LN(2)/25)*AA19+(1-EXP(-LN(2)/25))/(LN(2)/25)*Calculateur!V20*Calculateur!X20*VLOOKUP('Données projet'!$B$9,Paramètres!$A$1:$I$89,3,0)*0.475*44/12</f>
        <v>21.961398580320502</v>
      </c>
      <c r="AB20" s="21">
        <f>EXP(-LN(2)/2)*AB19+(1-EXP(-LN(2)/2))/(LN(2)/2)*V20*Y20*VLOOKUP('Données projet'!$B$9,Paramètres!$A$1:$I$89,3,0)*0.475*44/12</f>
        <v>0</v>
      </c>
      <c r="AC20" s="22">
        <f t="shared" si="3"/>
        <v>72.095426788014478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>
        <f>AI20*VLOOKUP('Données projet'!$B$10,Paramètres!$A$1:$I$89,3,0)*VLOOKUP('Données projet'!$B$10,Paramètres!$A$1:$I$89,5,0)</f>
        <v>0</v>
      </c>
      <c r="AK20" s="13" t="e">
        <f t="shared" si="35"/>
        <v>#NUM!</v>
      </c>
      <c r="AL20" s="20" t="e">
        <f t="shared" si="4"/>
        <v>#NUM!</v>
      </c>
      <c r="AM20" s="59" t="e">
        <f t="shared" si="5"/>
        <v>#NUM!</v>
      </c>
      <c r="AN20" s="59">
        <f ca="1">AVERAGE(OFFSET($AM$3,0,0,'Données projet'!$E$10+1,1))-AVERAGE(OFFSET($H$3,0,0,'Données projet'!$E$10+1,1))</f>
        <v>114.4650227251685</v>
      </c>
      <c r="AO20" s="59">
        <f t="shared" si="36"/>
        <v>386.57315604590599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50.13402820769398</v>
      </c>
      <c r="AV20" s="21">
        <f>EXP(-LN(2)/25)*AV19+(1-EXP(-LN(2)/25))/(LN(2)/25)*Calculateur!AQ20*Calculateur!AS20*VLOOKUP('Données projet'!$B$10,Paramètres!$A$1:$I$89,3,0)*0.475*44/12</f>
        <v>21.961398580320502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72.095426788014478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>
        <f>BD20*VLOOKUP('Données projet'!$B$11,Paramètres!$A$1:$I$89,3,0)*VLOOKUP('Données projet'!$B$11,Paramètres!$A$1:$I$89,5,0)</f>
        <v>0</v>
      </c>
      <c r="BF20" s="13" t="e">
        <f t="shared" si="37"/>
        <v>#NUM!</v>
      </c>
      <c r="BG20" s="20" t="e">
        <f t="shared" si="7"/>
        <v>#NUM!</v>
      </c>
      <c r="BH20" s="59" t="e">
        <f t="shared" si="8"/>
        <v>#NUM!</v>
      </c>
      <c r="BI20" s="59">
        <f ca="1">AVERAGE(OFFSET($BH$3,0,0,'Données projet'!$E$11+1,1))-AVERAGE(OFFSET($H$3,0,0,'Données projet'!$E$11+1,1))</f>
        <v>68.944412338382023</v>
      </c>
      <c r="BJ20" s="59">
        <f t="shared" si="38"/>
        <v>281.00389700159246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35.35287095496961</v>
      </c>
      <c r="BQ20" s="21">
        <f>EXP(-LN(2)/25)*BQ19+(1-EXP(-LN(2)/25))/(LN(2)/25)*Calculateur!BL20*Calculateur!BN20*VLOOKUP('Données projet'!$B$11,Paramètres!$A$1:$I$89,3,0)*0.475*44/12</f>
        <v>15.486457357551238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50.839328312520848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>
        <f>BY20*VLOOKUP('Données projet'!$B$12,Paramètres!$A$1:$I$89,3,0)*VLOOKUP('Données projet'!$B$12,Paramètres!$A$1:$I$89,5,0)</f>
        <v>0</v>
      </c>
      <c r="CA20" s="13" t="e">
        <f t="shared" si="39"/>
        <v>#NUM!</v>
      </c>
      <c r="CB20" s="20" t="e">
        <f t="shared" si="10"/>
        <v>#NUM!</v>
      </c>
      <c r="CC20" s="59" t="e">
        <f t="shared" si="11"/>
        <v>#NUM!</v>
      </c>
      <c r="CD20" s="59">
        <f ca="1">AVERAGE(OFFSET($CC$3,0,0,'Données projet'!$E$12+1,1))-AVERAGE(OFFSET($H$3,0,0,'Données projet'!$E$12+1,1))</f>
        <v>120.26681323682763</v>
      </c>
      <c r="CE20" s="59">
        <f t="shared" si="40"/>
        <v>344.92933166159389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44.290184428883023</v>
      </c>
      <c r="CL20" s="21">
        <f>EXP(-LN(2)/25)*CL19+(1-EXP(-LN(2)/25))/(LN(2)/25)*Calculateur!CG20*Calculateur!CI20*VLOOKUP('Données projet'!$B$12,Paramètres!$A$1:$I$89,3,0)*0.475*44/12</f>
        <v>19.401480954393573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63.6916653832766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>
        <f>CT20*VLOOKUP('Données projet'!$B$13,Paramètres!$A$1:$I$89,3,0)*VLOOKUP('Données projet'!$B$13,Paramètres!$A$1:$I$89,5,0)</f>
        <v>0</v>
      </c>
      <c r="CV20" s="13" t="e">
        <f t="shared" si="41"/>
        <v>#NUM!</v>
      </c>
      <c r="CW20" s="20" t="e">
        <f t="shared" si="13"/>
        <v>#NUM!</v>
      </c>
      <c r="CX20" s="59" t="e">
        <f t="shared" si="14"/>
        <v>#NUM!</v>
      </c>
      <c r="CY20" s="59">
        <f ca="1">AVERAGE(OFFSET($CX$3,0,0,'Données projet'!$E$13+1,1))-AVERAGE(OFFSET($H$3,0,0,'Données projet'!$E$13+1,1))</f>
        <v>120.26681323682763</v>
      </c>
      <c r="CZ20" s="59">
        <f t="shared" si="42"/>
        <v>344.92933166159389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44.290184428883023</v>
      </c>
      <c r="DG20" s="21">
        <f>EXP(-LN(2)/25)*DG19+(1-EXP(-LN(2)/25))/(LN(2)/25)*Calculateur!DB20*Calculateur!DD20*VLOOKUP('Données projet'!$B$13,Paramètres!$A$1:$I$89,3,0)*0.475*44/12</f>
        <v>19.401480954393573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63.6916653832766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0</v>
      </c>
      <c r="N21" s="13">
        <f>IF('Données projet'!$A$36&gt;35,N20+M21-V20,IF(A21&lt;'Données projet'!$A$36,$K$205^A21,IF(A21='Données projet'!$A$36,'Données projet'!$B$36,N20+M21-V20)))</f>
        <v>0</v>
      </c>
      <c r="O21" s="13">
        <f>N21*VLOOKUP('Données projet'!$B$9,Paramètres!$A$1:$I$89,3,0)*VLOOKUP('Données projet'!$B$9,Paramètres!$A$1:$I$89,5,0)</f>
        <v>0</v>
      </c>
      <c r="P21" s="13" t="e">
        <f t="shared" si="33"/>
        <v>#NUM!</v>
      </c>
      <c r="Q21" s="20" t="e">
        <f t="shared" si="2"/>
        <v>#NUM!</v>
      </c>
      <c r="R21" s="59" t="e">
        <f t="shared" si="0"/>
        <v>#NUM!</v>
      </c>
      <c r="S21" s="59">
        <f ca="1">AVERAGE(OFFSET($R$3,0,0,'Données projet'!$E$9+1,1))-AVERAGE(OFFSET($H$3,0,0,'Données projet'!$E$9+1,1))</f>
        <v>114.4650227251685</v>
      </c>
      <c r="T21" s="59">
        <f t="shared" si="34"/>
        <v>386.57315604590599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49.150930493278906</v>
      </c>
      <c r="AA21" s="21">
        <f>EXP(-LN(2)/25)*AA20+(1-EXP(-LN(2)/25))/(LN(2)/25)*Calculateur!V21*Calculateur!X21*VLOOKUP('Données projet'!$B$9,Paramètres!$A$1:$I$89,3,0)*0.475*44/12</f>
        <v>21.36086298124188</v>
      </c>
      <c r="AB21" s="21">
        <f>EXP(-LN(2)/2)*AB20+(1-EXP(-LN(2)/2))/(LN(2)/2)*V21*Y21*VLOOKUP('Données projet'!$B$9,Paramètres!$A$1:$I$89,3,0)*0.475*44/12</f>
        <v>0</v>
      </c>
      <c r="AC21" s="22">
        <f t="shared" si="3"/>
        <v>70.511793474520786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>
        <f>AI21*VLOOKUP('Données projet'!$B$10,Paramètres!$A$1:$I$89,3,0)*VLOOKUP('Données projet'!$B$10,Paramètres!$A$1:$I$89,5,0)</f>
        <v>0</v>
      </c>
      <c r="AK21" s="13" t="e">
        <f t="shared" si="35"/>
        <v>#NUM!</v>
      </c>
      <c r="AL21" s="20" t="e">
        <f t="shared" si="4"/>
        <v>#NUM!</v>
      </c>
      <c r="AM21" s="59" t="e">
        <f t="shared" si="5"/>
        <v>#NUM!</v>
      </c>
      <c r="AN21" s="59">
        <f ca="1">AVERAGE(OFFSET($AM$3,0,0,'Données projet'!$E$10+1,1))-AVERAGE(OFFSET($H$3,0,0,'Données projet'!$E$10+1,1))</f>
        <v>114.4650227251685</v>
      </c>
      <c r="AO21" s="59">
        <f t="shared" si="36"/>
        <v>386.57315604590599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49.150930493278906</v>
      </c>
      <c r="AV21" s="21">
        <f>EXP(-LN(2)/25)*AV20+(1-EXP(-LN(2)/25))/(LN(2)/25)*Calculateur!AQ21*Calculateur!AS21*VLOOKUP('Données projet'!$B$10,Paramètres!$A$1:$I$89,3,0)*0.475*44/12</f>
        <v>21.36086298124188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70.511793474520786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>
        <f>BD21*VLOOKUP('Données projet'!$B$11,Paramètres!$A$1:$I$89,3,0)*VLOOKUP('Données projet'!$B$11,Paramètres!$A$1:$I$89,5,0)</f>
        <v>0</v>
      </c>
      <c r="BF21" s="13" t="e">
        <f t="shared" si="37"/>
        <v>#NUM!</v>
      </c>
      <c r="BG21" s="20" t="e">
        <f t="shared" si="7"/>
        <v>#NUM!</v>
      </c>
      <c r="BH21" s="59" t="e">
        <f t="shared" si="8"/>
        <v>#NUM!</v>
      </c>
      <c r="BI21" s="59">
        <f ca="1">AVERAGE(OFFSET($BH$3,0,0,'Données projet'!$E$11+1,1))-AVERAGE(OFFSET($H$3,0,0,'Données projet'!$E$11+1,1))</f>
        <v>68.944412338382023</v>
      </c>
      <c r="BJ21" s="59">
        <f t="shared" si="38"/>
        <v>281.00389700159246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34.659622718664757</v>
      </c>
      <c r="BQ21" s="21">
        <f>EXP(-LN(2)/25)*BQ20+(1-EXP(-LN(2)/25))/(LN(2)/25)*Calculateur!BL21*Calculateur!BN21*VLOOKUP('Données projet'!$B$11,Paramètres!$A$1:$I$89,3,0)*0.475*44/12</f>
        <v>15.062979366711602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49.722602085376359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>
        <f>BY21*VLOOKUP('Données projet'!$B$12,Paramètres!$A$1:$I$89,3,0)*VLOOKUP('Données projet'!$B$12,Paramètres!$A$1:$I$89,5,0)</f>
        <v>0</v>
      </c>
      <c r="CA21" s="13" t="e">
        <f t="shared" si="39"/>
        <v>#NUM!</v>
      </c>
      <c r="CB21" s="20" t="e">
        <f t="shared" si="10"/>
        <v>#NUM!</v>
      </c>
      <c r="CC21" s="59" t="e">
        <f t="shared" si="11"/>
        <v>#NUM!</v>
      </c>
      <c r="CD21" s="59">
        <f ca="1">AVERAGE(OFFSET($CC$3,0,0,'Données projet'!$E$12+1,1))-AVERAGE(OFFSET($H$3,0,0,'Données projet'!$E$12+1,1))</f>
        <v>120.26681323682763</v>
      </c>
      <c r="CE21" s="59">
        <f t="shared" si="40"/>
        <v>344.92933166159389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43.421680926577686</v>
      </c>
      <c r="CL21" s="21">
        <f>EXP(-LN(2)/25)*CL20+(1-EXP(-LN(2)/25))/(LN(2)/25)*Calculateur!CG21*Calculateur!CI21*VLOOKUP('Données projet'!$B$12,Paramètres!$A$1:$I$89,3,0)*0.475*44/12</f>
        <v>18.870946437416141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62.29262736399383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>
        <f>CT21*VLOOKUP('Données projet'!$B$13,Paramètres!$A$1:$I$89,3,0)*VLOOKUP('Données projet'!$B$13,Paramètres!$A$1:$I$89,5,0)</f>
        <v>0</v>
      </c>
      <c r="CV21" s="13" t="e">
        <f t="shared" si="41"/>
        <v>#NUM!</v>
      </c>
      <c r="CW21" s="20" t="e">
        <f t="shared" si="13"/>
        <v>#NUM!</v>
      </c>
      <c r="CX21" s="59" t="e">
        <f t="shared" si="14"/>
        <v>#NUM!</v>
      </c>
      <c r="CY21" s="59">
        <f ca="1">AVERAGE(OFFSET($CX$3,0,0,'Données projet'!$E$13+1,1))-AVERAGE(OFFSET($H$3,0,0,'Données projet'!$E$13+1,1))</f>
        <v>120.26681323682763</v>
      </c>
      <c r="CZ21" s="59">
        <f t="shared" si="42"/>
        <v>344.92933166159389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43.421680926577686</v>
      </c>
      <c r="DG21" s="21">
        <f>EXP(-LN(2)/25)*DG20+(1-EXP(-LN(2)/25))/(LN(2)/25)*Calculateur!DB21*Calculateur!DD21*VLOOKUP('Données projet'!$B$13,Paramètres!$A$1:$I$89,3,0)*0.475*44/12</f>
        <v>18.870946437416141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62.29262736399383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0</v>
      </c>
      <c r="N22" s="13">
        <f>IF('Données projet'!$A$36&gt;35,N21+M22-V21,IF(A22&lt;'Données projet'!$A$36,$K$205^A22,IF(A22='Données projet'!$A$36,'Données projet'!$B$36,N21+M22-V21)))</f>
        <v>0</v>
      </c>
      <c r="O22" s="13">
        <f>N22*VLOOKUP('Données projet'!$B$9,Paramètres!$A$1:$I$89,3,0)*VLOOKUP('Données projet'!$B$9,Paramètres!$A$1:$I$89,5,0)</f>
        <v>0</v>
      </c>
      <c r="P22" s="13" t="e">
        <f t="shared" si="33"/>
        <v>#NUM!</v>
      </c>
      <c r="Q22" s="20" t="e">
        <f t="shared" si="2"/>
        <v>#NUM!</v>
      </c>
      <c r="R22" s="59" t="e">
        <f t="shared" si="0"/>
        <v>#NUM!</v>
      </c>
      <c r="S22" s="59">
        <f ca="1">AVERAGE(OFFSET($R$3,0,0,'Données projet'!$E$9+1,1))-AVERAGE(OFFSET($H$3,0,0,'Données projet'!$E$9+1,1))</f>
        <v>114.4650227251685</v>
      </c>
      <c r="T22" s="59">
        <f t="shared" si="34"/>
        <v>386.57315604590599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48.18711072541312</v>
      </c>
      <c r="AA22" s="21">
        <f>EXP(-LN(2)/25)*AA21+(1-EXP(-LN(2)/25))/(LN(2)/25)*Calculateur!V22*Calculateur!X22*VLOOKUP('Données projet'!$B$9,Paramètres!$A$1:$I$89,3,0)*0.475*44/12</f>
        <v>20.776749059700858</v>
      </c>
      <c r="AB22" s="21">
        <f>EXP(-LN(2)/2)*AB21+(1-EXP(-LN(2)/2))/(LN(2)/2)*V22*Y22*VLOOKUP('Données projet'!$B$9,Paramètres!$A$1:$I$89,3,0)*0.475*44/12</f>
        <v>0</v>
      </c>
      <c r="AC22" s="22">
        <f t="shared" si="3"/>
        <v>68.963859785113982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>
        <f>AI22*VLOOKUP('Données projet'!$B$10,Paramètres!$A$1:$I$89,3,0)*VLOOKUP('Données projet'!$B$10,Paramètres!$A$1:$I$89,5,0)</f>
        <v>0</v>
      </c>
      <c r="AK22" s="13" t="e">
        <f t="shared" si="35"/>
        <v>#NUM!</v>
      </c>
      <c r="AL22" s="20" t="e">
        <f t="shared" si="4"/>
        <v>#NUM!</v>
      </c>
      <c r="AM22" s="59" t="e">
        <f t="shared" si="5"/>
        <v>#NUM!</v>
      </c>
      <c r="AN22" s="59">
        <f ca="1">AVERAGE(OFFSET($AM$3,0,0,'Données projet'!$E$10+1,1))-AVERAGE(OFFSET($H$3,0,0,'Données projet'!$E$10+1,1))</f>
        <v>114.4650227251685</v>
      </c>
      <c r="AO22" s="59">
        <f t="shared" si="36"/>
        <v>386.57315604590599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48.18711072541312</v>
      </c>
      <c r="AV22" s="21">
        <f>EXP(-LN(2)/25)*AV21+(1-EXP(-LN(2)/25))/(LN(2)/25)*Calculateur!AQ22*Calculateur!AS22*VLOOKUP('Données projet'!$B$10,Paramètres!$A$1:$I$89,3,0)*0.475*44/12</f>
        <v>20.776749059700858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68.963859785113982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>
        <f>BD22*VLOOKUP('Données projet'!$B$11,Paramètres!$A$1:$I$89,3,0)*VLOOKUP('Données projet'!$B$11,Paramètres!$A$1:$I$89,5,0)</f>
        <v>0</v>
      </c>
      <c r="BF22" s="13" t="e">
        <f t="shared" si="37"/>
        <v>#NUM!</v>
      </c>
      <c r="BG22" s="20" t="e">
        <f t="shared" si="7"/>
        <v>#NUM!</v>
      </c>
      <c r="BH22" s="59" t="e">
        <f t="shared" si="8"/>
        <v>#NUM!</v>
      </c>
      <c r="BI22" s="59">
        <f ca="1">AVERAGE(OFFSET($BH$3,0,0,'Données projet'!$E$11+1,1))-AVERAGE(OFFSET($H$3,0,0,'Données projet'!$E$11+1,1))</f>
        <v>68.944412338382023</v>
      </c>
      <c r="BJ22" s="59">
        <f t="shared" si="38"/>
        <v>281.00389700159246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33.979968657434171</v>
      </c>
      <c r="BQ22" s="21">
        <f>EXP(-LN(2)/25)*BQ21+(1-EXP(-LN(2)/25))/(LN(2)/25)*Calculateur!BL22*Calculateur!BN22*VLOOKUP('Données projet'!$B$11,Paramètres!$A$1:$I$89,3,0)*0.475*44/12</f>
        <v>14.651081403801214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48.631050061235385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>
        <f>BY22*VLOOKUP('Données projet'!$B$12,Paramètres!$A$1:$I$89,3,0)*VLOOKUP('Données projet'!$B$12,Paramètres!$A$1:$I$89,5,0)</f>
        <v>0</v>
      </c>
      <c r="CA22" s="13" t="e">
        <f t="shared" si="39"/>
        <v>#NUM!</v>
      </c>
      <c r="CB22" s="20" t="e">
        <f t="shared" si="10"/>
        <v>#NUM!</v>
      </c>
      <c r="CC22" s="59" t="e">
        <f t="shared" si="11"/>
        <v>#NUM!</v>
      </c>
      <c r="CD22" s="59">
        <f ca="1">AVERAGE(OFFSET($CC$3,0,0,'Données projet'!$E$12+1,1))-AVERAGE(OFFSET($H$3,0,0,'Données projet'!$E$12+1,1))</f>
        <v>120.26681323682763</v>
      </c>
      <c r="CE22" s="59">
        <f t="shared" si="40"/>
        <v>344.92933166159389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42.570208248217725</v>
      </c>
      <c r="CL22" s="21">
        <f>EXP(-LN(2)/25)*CL21+(1-EXP(-LN(2)/25))/(LN(2)/25)*Calculateur!CG22*Calculateur!CI22*VLOOKUP('Données projet'!$B$12,Paramètres!$A$1:$I$89,3,0)*0.475*44/12</f>
        <v>18.354919414705055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60.925127662922776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>
        <f>CT22*VLOOKUP('Données projet'!$B$13,Paramètres!$A$1:$I$89,3,0)*VLOOKUP('Données projet'!$B$13,Paramètres!$A$1:$I$89,5,0)</f>
        <v>0</v>
      </c>
      <c r="CV22" s="13" t="e">
        <f t="shared" si="41"/>
        <v>#NUM!</v>
      </c>
      <c r="CW22" s="20" t="e">
        <f t="shared" si="13"/>
        <v>#NUM!</v>
      </c>
      <c r="CX22" s="59" t="e">
        <f t="shared" si="14"/>
        <v>#NUM!</v>
      </c>
      <c r="CY22" s="59">
        <f ca="1">AVERAGE(OFFSET($CX$3,0,0,'Données projet'!$E$13+1,1))-AVERAGE(OFFSET($H$3,0,0,'Données projet'!$E$13+1,1))</f>
        <v>120.26681323682763</v>
      </c>
      <c r="CZ22" s="59">
        <f t="shared" si="42"/>
        <v>344.92933166159389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42.570208248217725</v>
      </c>
      <c r="DG22" s="21">
        <f>EXP(-LN(2)/25)*DG21+(1-EXP(-LN(2)/25))/(LN(2)/25)*Calculateur!DB22*Calculateur!DD22*VLOOKUP('Données projet'!$B$13,Paramètres!$A$1:$I$89,3,0)*0.475*44/12</f>
        <v>18.354919414705055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60.925127662922776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0</v>
      </c>
      <c r="N23" s="13">
        <f>IF('Données projet'!$A$36&gt;35,N22+M23-V22,IF(A23&lt;'Données projet'!$A$36,$K$205^A23,IF(A23='Données projet'!$A$36,'Données projet'!$B$36,N22+M23-V22)))</f>
        <v>0</v>
      </c>
      <c r="O23" s="13">
        <f>N23*VLOOKUP('Données projet'!$B$9,Paramètres!$A$1:$I$89,3,0)*VLOOKUP('Données projet'!$B$9,Paramètres!$A$1:$I$89,5,0)</f>
        <v>0</v>
      </c>
      <c r="P23" s="13" t="e">
        <f t="shared" si="33"/>
        <v>#NUM!</v>
      </c>
      <c r="Q23" s="20" t="e">
        <f t="shared" si="2"/>
        <v>#NUM!</v>
      </c>
      <c r="R23" s="59" t="e">
        <f t="shared" si="0"/>
        <v>#NUM!</v>
      </c>
      <c r="S23" s="59">
        <f ca="1">AVERAGE(OFFSET($R$3,0,0,'Données projet'!$E$9+1,1))-AVERAGE(OFFSET($H$3,0,0,'Données projet'!$E$9+1,1))</f>
        <v>114.4650227251685</v>
      </c>
      <c r="T23" s="59">
        <f t="shared" si="34"/>
        <v>386.57315604590599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47.242190875323168</v>
      </c>
      <c r="AA23" s="21">
        <f>EXP(-LN(2)/25)*AA22+(1-EXP(-LN(2)/25))/(LN(2)/25)*Calculateur!V23*Calculateur!X23*VLOOKUP('Données projet'!$B$9,Paramètres!$A$1:$I$89,3,0)*0.475*44/12</f>
        <v>20.20860776406159</v>
      </c>
      <c r="AB23" s="21">
        <f>EXP(-LN(2)/2)*AB22+(1-EXP(-LN(2)/2))/(LN(2)/2)*V23*Y23*VLOOKUP('Données projet'!$B$9,Paramètres!$A$1:$I$89,3,0)*0.475*44/12</f>
        <v>0</v>
      </c>
      <c r="AC23" s="22">
        <f t="shared" si="3"/>
        <v>67.450798639384757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>
        <f>AI23*VLOOKUP('Données projet'!$B$10,Paramètres!$A$1:$I$89,3,0)*VLOOKUP('Données projet'!$B$10,Paramètres!$A$1:$I$89,5,0)</f>
        <v>0</v>
      </c>
      <c r="AK23" s="13" t="e">
        <f t="shared" si="35"/>
        <v>#NUM!</v>
      </c>
      <c r="AL23" s="20" t="e">
        <f t="shared" si="4"/>
        <v>#NUM!</v>
      </c>
      <c r="AM23" s="59" t="e">
        <f t="shared" si="5"/>
        <v>#NUM!</v>
      </c>
      <c r="AN23" s="59">
        <f ca="1">AVERAGE(OFFSET($AM$3,0,0,'Données projet'!$E$10+1,1))-AVERAGE(OFFSET($H$3,0,0,'Données projet'!$E$10+1,1))</f>
        <v>114.4650227251685</v>
      </c>
      <c r="AO23" s="59">
        <f t="shared" si="36"/>
        <v>386.57315604590599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47.242190875323168</v>
      </c>
      <c r="AV23" s="21">
        <f>EXP(-LN(2)/25)*AV22+(1-EXP(-LN(2)/25))/(LN(2)/25)*Calculateur!AQ23*Calculateur!AS23*VLOOKUP('Données projet'!$B$10,Paramètres!$A$1:$I$89,3,0)*0.475*44/12</f>
        <v>20.20860776406159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67.450798639384757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>
        <f>BD23*VLOOKUP('Données projet'!$B$11,Paramètres!$A$1:$I$89,3,0)*VLOOKUP('Données projet'!$B$11,Paramètres!$A$1:$I$89,5,0)</f>
        <v>0</v>
      </c>
      <c r="BF23" s="13" t="e">
        <f t="shared" si="37"/>
        <v>#NUM!</v>
      </c>
      <c r="BG23" s="20" t="e">
        <f t="shared" si="7"/>
        <v>#NUM!</v>
      </c>
      <c r="BH23" s="59" t="e">
        <f t="shared" si="8"/>
        <v>#NUM!</v>
      </c>
      <c r="BI23" s="59">
        <f ca="1">AVERAGE(OFFSET($BH$3,0,0,'Données projet'!$E$11+1,1))-AVERAGE(OFFSET($H$3,0,0,'Données projet'!$E$11+1,1))</f>
        <v>68.944412338382023</v>
      </c>
      <c r="BJ23" s="59">
        <f t="shared" si="38"/>
        <v>281.00389700159246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33.31364219779627</v>
      </c>
      <c r="BQ23" s="21">
        <f>EXP(-LN(2)/25)*BQ22+(1-EXP(-LN(2)/25))/(LN(2)/25)*Calculateur!BL23*Calculateur!BN23*VLOOKUP('Données projet'!$B$11,Paramètres!$A$1:$I$89,3,0)*0.475*44/12</f>
        <v>14.250446812347384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47.564089010143654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>
        <f>BY23*VLOOKUP('Données projet'!$B$12,Paramètres!$A$1:$I$89,3,0)*VLOOKUP('Données projet'!$B$12,Paramètres!$A$1:$I$89,5,0)</f>
        <v>0</v>
      </c>
      <c r="CA23" s="13" t="e">
        <f t="shared" si="39"/>
        <v>#NUM!</v>
      </c>
      <c r="CB23" s="20" t="e">
        <f t="shared" si="10"/>
        <v>#NUM!</v>
      </c>
      <c r="CC23" s="59" t="e">
        <f t="shared" si="11"/>
        <v>#NUM!</v>
      </c>
      <c r="CD23" s="59">
        <f ca="1">AVERAGE(OFFSET($CC$3,0,0,'Données projet'!$E$12+1,1))-AVERAGE(OFFSET($H$3,0,0,'Données projet'!$E$12+1,1))</f>
        <v>120.26681323682763</v>
      </c>
      <c r="CE23" s="59">
        <f t="shared" si="40"/>
        <v>344.92933166159389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41.735432429733351</v>
      </c>
      <c r="CL23" s="21">
        <f>EXP(-LN(2)/25)*CL22+(1-EXP(-LN(2)/25))/(LN(2)/25)*Calculateur!CG23*Calculateur!CI23*VLOOKUP('Données projet'!$B$12,Paramètres!$A$1:$I$89,3,0)*0.475*44/12</f>
        <v>17.853003178066682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59.588435607800037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>
        <f>CT23*VLOOKUP('Données projet'!$B$13,Paramètres!$A$1:$I$89,3,0)*VLOOKUP('Données projet'!$B$13,Paramètres!$A$1:$I$89,5,0)</f>
        <v>0</v>
      </c>
      <c r="CV23" s="13" t="e">
        <f t="shared" si="41"/>
        <v>#NUM!</v>
      </c>
      <c r="CW23" s="20" t="e">
        <f t="shared" si="13"/>
        <v>#NUM!</v>
      </c>
      <c r="CX23" s="59" t="e">
        <f t="shared" si="14"/>
        <v>#NUM!</v>
      </c>
      <c r="CY23" s="59">
        <f ca="1">AVERAGE(OFFSET($CX$3,0,0,'Données projet'!$E$13+1,1))-AVERAGE(OFFSET($H$3,0,0,'Données projet'!$E$13+1,1))</f>
        <v>120.26681323682763</v>
      </c>
      <c r="CZ23" s="59">
        <f t="shared" si="42"/>
        <v>344.92933166159389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41.735432429733351</v>
      </c>
      <c r="DG23" s="21">
        <f>EXP(-LN(2)/25)*DG22+(1-EXP(-LN(2)/25))/(LN(2)/25)*Calculateur!DB23*Calculateur!DD23*VLOOKUP('Données projet'!$B$13,Paramètres!$A$1:$I$89,3,0)*0.475*44/12</f>
        <v>17.853003178066682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59.588435607800037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0</v>
      </c>
      <c r="N24" s="13">
        <f>IF('Données projet'!$A$36&gt;35,N23+M24-V23,IF(A24&lt;'Données projet'!$A$36,$K$205^A24,IF(A24='Données projet'!$A$36,'Données projet'!$B$36,N23+M24-V23)))</f>
        <v>0</v>
      </c>
      <c r="O24" s="13">
        <f>N24*VLOOKUP('Données projet'!$B$9,Paramètres!$A$1:$I$89,3,0)*VLOOKUP('Données projet'!$B$9,Paramètres!$A$1:$I$89,5,0)</f>
        <v>0</v>
      </c>
      <c r="P24" s="13" t="e">
        <f t="shared" si="33"/>
        <v>#NUM!</v>
      </c>
      <c r="Q24" s="20" t="e">
        <f t="shared" si="2"/>
        <v>#NUM!</v>
      </c>
      <c r="R24" s="59" t="e">
        <f t="shared" si="0"/>
        <v>#NUM!</v>
      </c>
      <c r="S24" s="59">
        <f ca="1">AVERAGE(OFFSET($R$3,0,0,'Données projet'!$E$9+1,1))-AVERAGE(OFFSET($H$3,0,0,'Données projet'!$E$9+1,1))</f>
        <v>114.4650227251685</v>
      </c>
      <c r="T24" s="59">
        <f t="shared" si="34"/>
        <v>386.57315604590599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46.315800327149283</v>
      </c>
      <c r="AA24" s="21">
        <f>EXP(-LN(2)/25)*AA23+(1-EXP(-LN(2)/25))/(LN(2)/25)*Calculateur!V24*Calculateur!X24*VLOOKUP('Données projet'!$B$9,Paramètres!$A$1:$I$89,3,0)*0.475*44/12</f>
        <v>19.656002322028829</v>
      </c>
      <c r="AB24" s="21">
        <f>EXP(-LN(2)/2)*AB23+(1-EXP(-LN(2)/2))/(LN(2)/2)*V24*Y24*VLOOKUP('Données projet'!$B$9,Paramètres!$A$1:$I$89,3,0)*0.475*44/12</f>
        <v>0</v>
      </c>
      <c r="AC24" s="22">
        <f t="shared" si="3"/>
        <v>65.971802649178116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>
        <f>AI24*VLOOKUP('Données projet'!$B$10,Paramètres!$A$1:$I$89,3,0)*VLOOKUP('Données projet'!$B$10,Paramètres!$A$1:$I$89,5,0)</f>
        <v>0</v>
      </c>
      <c r="AK24" s="13" t="e">
        <f t="shared" si="35"/>
        <v>#NUM!</v>
      </c>
      <c r="AL24" s="20" t="e">
        <f t="shared" si="4"/>
        <v>#NUM!</v>
      </c>
      <c r="AM24" s="59" t="e">
        <f t="shared" si="5"/>
        <v>#NUM!</v>
      </c>
      <c r="AN24" s="59">
        <f ca="1">AVERAGE(OFFSET($AM$3,0,0,'Données projet'!$E$10+1,1))-AVERAGE(OFFSET($H$3,0,0,'Données projet'!$E$10+1,1))</f>
        <v>114.4650227251685</v>
      </c>
      <c r="AO24" s="59">
        <f t="shared" si="36"/>
        <v>386.57315604590599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46.315800327149283</v>
      </c>
      <c r="AV24" s="21">
        <f>EXP(-LN(2)/25)*AV23+(1-EXP(-LN(2)/25))/(LN(2)/25)*Calculateur!AQ24*Calculateur!AS24*VLOOKUP('Données projet'!$B$10,Paramètres!$A$1:$I$89,3,0)*0.475*44/12</f>
        <v>19.656002322028829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65.971802649178116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>
        <f>BD24*VLOOKUP('Données projet'!$B$11,Paramètres!$A$1:$I$89,3,0)*VLOOKUP('Données projet'!$B$11,Paramètres!$A$1:$I$89,5,0)</f>
        <v>0</v>
      </c>
      <c r="BF24" s="13" t="e">
        <f t="shared" si="37"/>
        <v>#NUM!</v>
      </c>
      <c r="BG24" s="20" t="e">
        <f t="shared" si="7"/>
        <v>#NUM!</v>
      </c>
      <c r="BH24" s="59" t="e">
        <f t="shared" si="8"/>
        <v>#NUM!</v>
      </c>
      <c r="BI24" s="59">
        <f ca="1">AVERAGE(OFFSET($BH$3,0,0,'Données projet'!$E$11+1,1))-AVERAGE(OFFSET($H$3,0,0,'Données projet'!$E$11+1,1))</f>
        <v>68.944412338382023</v>
      </c>
      <c r="BJ24" s="59">
        <f t="shared" si="38"/>
        <v>281.00389700159246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32.660381993612859</v>
      </c>
      <c r="BQ24" s="21">
        <f>EXP(-LN(2)/25)*BQ23+(1-EXP(-LN(2)/25))/(LN(2)/25)*Calculateur!BL24*Calculateur!BN24*VLOOKUP('Données projet'!$B$11,Paramètres!$A$1:$I$89,3,0)*0.475*44/12</f>
        <v>13.860767594865317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46.521149588478174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>
        <f>BY24*VLOOKUP('Données projet'!$B$12,Paramètres!$A$1:$I$89,3,0)*VLOOKUP('Données projet'!$B$12,Paramètres!$A$1:$I$89,5,0)</f>
        <v>0</v>
      </c>
      <c r="CA24" s="13" t="e">
        <f t="shared" si="39"/>
        <v>#NUM!</v>
      </c>
      <c r="CB24" s="20" t="e">
        <f t="shared" si="10"/>
        <v>#NUM!</v>
      </c>
      <c r="CC24" s="59" t="e">
        <f t="shared" si="11"/>
        <v>#NUM!</v>
      </c>
      <c r="CD24" s="59">
        <f ca="1">AVERAGE(OFFSET($CC$3,0,0,'Données projet'!$E$12+1,1))-AVERAGE(OFFSET($H$3,0,0,'Données projet'!$E$12+1,1))</f>
        <v>120.26681323682763</v>
      </c>
      <c r="CE24" s="59">
        <f t="shared" si="40"/>
        <v>344.92933166159389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40.917026055886481</v>
      </c>
      <c r="CL24" s="21">
        <f>EXP(-LN(2)/25)*CL23+(1-EXP(-LN(2)/25))/(LN(2)/25)*Calculateur!CG24*Calculateur!CI24*VLOOKUP('Données projet'!$B$12,Paramètres!$A$1:$I$89,3,0)*0.475*44/12</f>
        <v>17.364811867313815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58.2818379232003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>
        <f>CT24*VLOOKUP('Données projet'!$B$13,Paramètres!$A$1:$I$89,3,0)*VLOOKUP('Données projet'!$B$13,Paramètres!$A$1:$I$89,5,0)</f>
        <v>0</v>
      </c>
      <c r="CV24" s="13" t="e">
        <f t="shared" si="41"/>
        <v>#NUM!</v>
      </c>
      <c r="CW24" s="20" t="e">
        <f t="shared" si="13"/>
        <v>#NUM!</v>
      </c>
      <c r="CX24" s="59" t="e">
        <f t="shared" si="14"/>
        <v>#NUM!</v>
      </c>
      <c r="CY24" s="59">
        <f ca="1">AVERAGE(OFFSET($CX$3,0,0,'Données projet'!$E$13+1,1))-AVERAGE(OFFSET($H$3,0,0,'Données projet'!$E$13+1,1))</f>
        <v>120.26681323682763</v>
      </c>
      <c r="CZ24" s="59">
        <f t="shared" si="42"/>
        <v>344.92933166159389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40.917026055886481</v>
      </c>
      <c r="DG24" s="21">
        <f>EXP(-LN(2)/25)*DG23+(1-EXP(-LN(2)/25))/(LN(2)/25)*Calculateur!DB24*Calculateur!DD24*VLOOKUP('Données projet'!$B$13,Paramètres!$A$1:$I$89,3,0)*0.475*44/12</f>
        <v>17.364811867313815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58.2818379232003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0</v>
      </c>
      <c r="N25" s="13">
        <f>IF('Données projet'!$A$36&gt;35,N24+M25-V24,IF(A25&lt;'Données projet'!$A$36,$K$205^A25,IF(A25='Données projet'!$A$36,'Données projet'!$B$36,N24+M25-V24)))</f>
        <v>0</v>
      </c>
      <c r="O25" s="13">
        <f>N25*VLOOKUP('Données projet'!$B$9,Paramètres!$A$1:$I$89,3,0)*VLOOKUP('Données projet'!$B$9,Paramètres!$A$1:$I$89,5,0)</f>
        <v>0</v>
      </c>
      <c r="P25" s="13" t="e">
        <f t="shared" si="33"/>
        <v>#NUM!</v>
      </c>
      <c r="Q25" s="20" t="e">
        <f t="shared" si="2"/>
        <v>#NUM!</v>
      </c>
      <c r="R25" s="59" t="e">
        <f t="shared" si="0"/>
        <v>#NUM!</v>
      </c>
      <c r="S25" s="59">
        <f ca="1">AVERAGE(OFFSET($R$3,0,0,'Données projet'!$E$9+1,1))-AVERAGE(OFFSET($H$3,0,0,'Données projet'!$E$9+1,1))</f>
        <v>114.4650227251685</v>
      </c>
      <c r="T25" s="59">
        <f t="shared" si="34"/>
        <v>386.57315604590599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45.407575732582643</v>
      </c>
      <c r="AA25" s="21">
        <f>EXP(-LN(2)/25)*AA24+(1-EXP(-LN(2)/25))/(LN(2)/25)*Calculateur!V25*Calculateur!X25*VLOOKUP('Données projet'!$B$9,Paramètres!$A$1:$I$89,3,0)*0.475*44/12</f>
        <v>19.118507904868714</v>
      </c>
      <c r="AB25" s="21">
        <f>EXP(-LN(2)/2)*AB24+(1-EXP(-LN(2)/2))/(LN(2)/2)*V25*Y25*VLOOKUP('Données projet'!$B$9,Paramètres!$A$1:$I$89,3,0)*0.475*44/12</f>
        <v>0</v>
      </c>
      <c r="AC25" s="22">
        <f t="shared" si="3"/>
        <v>64.526083637451364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>
        <f>AI25*VLOOKUP('Données projet'!$B$10,Paramètres!$A$1:$I$89,3,0)*VLOOKUP('Données projet'!$B$10,Paramètres!$A$1:$I$89,5,0)</f>
        <v>0</v>
      </c>
      <c r="AK25" s="13" t="e">
        <f t="shared" si="35"/>
        <v>#NUM!</v>
      </c>
      <c r="AL25" s="20" t="e">
        <f t="shared" si="4"/>
        <v>#NUM!</v>
      </c>
      <c r="AM25" s="59" t="e">
        <f t="shared" si="5"/>
        <v>#NUM!</v>
      </c>
      <c r="AN25" s="59">
        <f ca="1">AVERAGE(OFFSET($AM$3,0,0,'Données projet'!$E$10+1,1))-AVERAGE(OFFSET($H$3,0,0,'Données projet'!$E$10+1,1))</f>
        <v>114.4650227251685</v>
      </c>
      <c r="AO25" s="59">
        <f t="shared" si="36"/>
        <v>386.57315604590599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45.407575732582643</v>
      </c>
      <c r="AV25" s="21">
        <f>EXP(-LN(2)/25)*AV24+(1-EXP(-LN(2)/25))/(LN(2)/25)*Calculateur!AQ25*Calculateur!AS25*VLOOKUP('Données projet'!$B$10,Paramètres!$A$1:$I$89,3,0)*0.475*44/12</f>
        <v>19.118507904868714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64.526083637451364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>
        <f>BD25*VLOOKUP('Données projet'!$B$11,Paramètres!$A$1:$I$89,3,0)*VLOOKUP('Données projet'!$B$11,Paramètres!$A$1:$I$89,5,0)</f>
        <v>0</v>
      </c>
      <c r="BF25" s="13" t="e">
        <f t="shared" si="37"/>
        <v>#NUM!</v>
      </c>
      <c r="BG25" s="20" t="e">
        <f t="shared" si="7"/>
        <v>#NUM!</v>
      </c>
      <c r="BH25" s="59" t="e">
        <f t="shared" si="8"/>
        <v>#NUM!</v>
      </c>
      <c r="BI25" s="59">
        <f ca="1">AVERAGE(OFFSET($BH$3,0,0,'Données projet'!$E$11+1,1))-AVERAGE(OFFSET($H$3,0,0,'Données projet'!$E$11+1,1))</f>
        <v>68.944412338382023</v>
      </c>
      <c r="BJ25" s="59">
        <f t="shared" si="38"/>
        <v>281.00389700159246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32.019931823584102</v>
      </c>
      <c r="BQ25" s="21">
        <f>EXP(-LN(2)/25)*BQ24+(1-EXP(-LN(2)/25))/(LN(2)/25)*Calculateur!BL25*Calculateur!BN25*VLOOKUP('Données projet'!$B$11,Paramètres!$A$1:$I$89,3,0)*0.475*44/12</f>
        <v>13.481744176077637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45.501675999661742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>
        <f>BY25*VLOOKUP('Données projet'!$B$12,Paramètres!$A$1:$I$89,3,0)*VLOOKUP('Données projet'!$B$12,Paramètres!$A$1:$I$89,5,0)</f>
        <v>0</v>
      </c>
      <c r="CA25" s="13" t="e">
        <f t="shared" si="39"/>
        <v>#NUM!</v>
      </c>
      <c r="CB25" s="20" t="e">
        <f t="shared" si="10"/>
        <v>#NUM!</v>
      </c>
      <c r="CC25" s="59" t="e">
        <f t="shared" si="11"/>
        <v>#NUM!</v>
      </c>
      <c r="CD25" s="59">
        <f ca="1">AVERAGE(OFFSET($CC$3,0,0,'Données projet'!$E$12+1,1))-AVERAGE(OFFSET($H$3,0,0,'Données projet'!$E$12+1,1))</f>
        <v>120.26681323682763</v>
      </c>
      <c r="CE25" s="59">
        <f t="shared" si="40"/>
        <v>344.92933166159389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40.114668131852149</v>
      </c>
      <c r="CL25" s="21">
        <f>EXP(-LN(2)/25)*CL24+(1-EXP(-LN(2)/25))/(LN(2)/25)*Calculateur!CG25*Calculateur!CI25*VLOOKUP('Données projet'!$B$12,Paramètres!$A$1:$I$89,3,0)*0.475*44/12</f>
        <v>16.889970173626349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57.004638305478494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>
        <f>CT25*VLOOKUP('Données projet'!$B$13,Paramètres!$A$1:$I$89,3,0)*VLOOKUP('Données projet'!$B$13,Paramètres!$A$1:$I$89,5,0)</f>
        <v>0</v>
      </c>
      <c r="CV25" s="13" t="e">
        <f t="shared" si="41"/>
        <v>#NUM!</v>
      </c>
      <c r="CW25" s="20" t="e">
        <f t="shared" si="13"/>
        <v>#NUM!</v>
      </c>
      <c r="CX25" s="59" t="e">
        <f t="shared" si="14"/>
        <v>#NUM!</v>
      </c>
      <c r="CY25" s="59">
        <f ca="1">AVERAGE(OFFSET($CX$3,0,0,'Données projet'!$E$13+1,1))-AVERAGE(OFFSET($H$3,0,0,'Données projet'!$E$13+1,1))</f>
        <v>120.26681323682763</v>
      </c>
      <c r="CZ25" s="59">
        <f t="shared" si="42"/>
        <v>344.92933166159389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40.114668131852149</v>
      </c>
      <c r="DG25" s="21">
        <f>EXP(-LN(2)/25)*DG24+(1-EXP(-LN(2)/25))/(LN(2)/25)*Calculateur!DB25*Calculateur!DD25*VLOOKUP('Données projet'!$B$13,Paramètres!$A$1:$I$89,3,0)*0.475*44/12</f>
        <v>16.889970173626349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57.004638305478494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0</v>
      </c>
      <c r="N26" s="13">
        <f>IF('Données projet'!$A$36&gt;35,N25+M26-V25,IF(A26&lt;'Données projet'!$A$36,$K$205^A26,IF(A26='Données projet'!$A$36,'Données projet'!$B$36,N25+M26-V25)))</f>
        <v>0</v>
      </c>
      <c r="O26" s="13">
        <f>N26*VLOOKUP('Données projet'!$B$9,Paramètres!$A$1:$I$89,3,0)*VLOOKUP('Données projet'!$B$9,Paramètres!$A$1:$I$89,5,0)</f>
        <v>0</v>
      </c>
      <c r="P26" s="13" t="e">
        <f t="shared" si="33"/>
        <v>#NUM!</v>
      </c>
      <c r="Q26" s="20" t="e">
        <f t="shared" si="2"/>
        <v>#NUM!</v>
      </c>
      <c r="R26" s="59" t="e">
        <f t="shared" si="0"/>
        <v>#NUM!</v>
      </c>
      <c r="S26" s="59">
        <f ca="1">AVERAGE(OFFSET($R$3,0,0,'Données projet'!$E$9+1,1))-AVERAGE(OFFSET($H$3,0,0,'Données projet'!$E$9+1,1))</f>
        <v>114.4650227251685</v>
      </c>
      <c r="T26" s="59">
        <f t="shared" si="34"/>
        <v>386.57315604590599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44.517160868353152</v>
      </c>
      <c r="AA26" s="21">
        <f>EXP(-LN(2)/25)*AA25+(1-EXP(-LN(2)/25))/(LN(2)/25)*Calculateur!V26*Calculateur!X26*VLOOKUP('Données projet'!$B$9,Paramètres!$A$1:$I$89,3,0)*0.475*44/12</f>
        <v>18.595711300811445</v>
      </c>
      <c r="AB26" s="21">
        <f>EXP(-LN(2)/2)*AB25+(1-EXP(-LN(2)/2))/(LN(2)/2)*V26*Y26*VLOOKUP('Données projet'!$B$9,Paramètres!$A$1:$I$89,3,0)*0.475*44/12</f>
        <v>0</v>
      </c>
      <c r="AC26" s="22">
        <f t="shared" si="3"/>
        <v>63.112872169164596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>
        <f>AI26*VLOOKUP('Données projet'!$B$10,Paramètres!$A$1:$I$89,3,0)*VLOOKUP('Données projet'!$B$10,Paramètres!$A$1:$I$89,5,0)</f>
        <v>0</v>
      </c>
      <c r="AK26" s="13" t="e">
        <f t="shared" si="35"/>
        <v>#NUM!</v>
      </c>
      <c r="AL26" s="20" t="e">
        <f t="shared" si="4"/>
        <v>#NUM!</v>
      </c>
      <c r="AM26" s="59" t="e">
        <f t="shared" si="5"/>
        <v>#NUM!</v>
      </c>
      <c r="AN26" s="59">
        <f ca="1">AVERAGE(OFFSET($AM$3,0,0,'Données projet'!$E$10+1,1))-AVERAGE(OFFSET($H$3,0,0,'Données projet'!$E$10+1,1))</f>
        <v>114.4650227251685</v>
      </c>
      <c r="AO26" s="59">
        <f t="shared" si="36"/>
        <v>386.57315604590599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44.517160868353152</v>
      </c>
      <c r="AV26" s="21">
        <f>EXP(-LN(2)/25)*AV25+(1-EXP(-LN(2)/25))/(LN(2)/25)*Calculateur!AQ26*Calculateur!AS26*VLOOKUP('Données projet'!$B$10,Paramètres!$A$1:$I$89,3,0)*0.475*44/12</f>
        <v>18.595711300811445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63.112872169164596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>
        <f>BD26*VLOOKUP('Données projet'!$B$11,Paramètres!$A$1:$I$89,3,0)*VLOOKUP('Données projet'!$B$11,Paramètres!$A$1:$I$89,5,0)</f>
        <v>0</v>
      </c>
      <c r="BF26" s="13" t="e">
        <f t="shared" si="37"/>
        <v>#NUM!</v>
      </c>
      <c r="BG26" s="20" t="e">
        <f t="shared" si="7"/>
        <v>#NUM!</v>
      </c>
      <c r="BH26" s="59" t="e">
        <f t="shared" si="8"/>
        <v>#NUM!</v>
      </c>
      <c r="BI26" s="59">
        <f ca="1">AVERAGE(OFFSET($BH$3,0,0,'Données projet'!$E$11+1,1))-AVERAGE(OFFSET($H$3,0,0,'Données projet'!$E$11+1,1))</f>
        <v>68.944412338382023</v>
      </c>
      <c r="BJ26" s="59">
        <f t="shared" si="38"/>
        <v>281.00389700159246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31.39204049075358</v>
      </c>
      <c r="BQ26" s="21">
        <f>EXP(-LN(2)/25)*BQ25+(1-EXP(-LN(2)/25))/(LN(2)/25)*Calculateur!BL26*Calculateur!BN26*VLOOKUP('Données projet'!$B$11,Paramètres!$A$1:$I$89,3,0)*0.475*44/12</f>
        <v>13.113085172608681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44.505125663362264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>
        <f>BY26*VLOOKUP('Données projet'!$B$12,Paramètres!$A$1:$I$89,3,0)*VLOOKUP('Données projet'!$B$12,Paramètres!$A$1:$I$89,5,0)</f>
        <v>0</v>
      </c>
      <c r="CA26" s="13" t="e">
        <f t="shared" si="39"/>
        <v>#NUM!</v>
      </c>
      <c r="CB26" s="20" t="e">
        <f t="shared" si="10"/>
        <v>#NUM!</v>
      </c>
      <c r="CC26" s="59" t="e">
        <f t="shared" si="11"/>
        <v>#NUM!</v>
      </c>
      <c r="CD26" s="59">
        <f ca="1">AVERAGE(OFFSET($CC$3,0,0,'Données projet'!$E$12+1,1))-AVERAGE(OFFSET($H$3,0,0,'Données projet'!$E$12+1,1))</f>
        <v>120.26681323682763</v>
      </c>
      <c r="CE26" s="59">
        <f t="shared" si="40"/>
        <v>344.92933166159389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39.328043957318123</v>
      </c>
      <c r="CL26" s="21">
        <f>EXP(-LN(2)/25)*CL25+(1-EXP(-LN(2)/25))/(LN(2)/25)*Calculateur!CG26*Calculateur!CI26*VLOOKUP('Données projet'!$B$12,Paramètres!$A$1:$I$89,3,0)*0.475*44/12</f>
        <v>16.428113051023608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55.756157008341731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>
        <f>CT26*VLOOKUP('Données projet'!$B$13,Paramètres!$A$1:$I$89,3,0)*VLOOKUP('Données projet'!$B$13,Paramètres!$A$1:$I$89,5,0)</f>
        <v>0</v>
      </c>
      <c r="CV26" s="13" t="e">
        <f t="shared" si="41"/>
        <v>#NUM!</v>
      </c>
      <c r="CW26" s="20" t="e">
        <f t="shared" si="13"/>
        <v>#NUM!</v>
      </c>
      <c r="CX26" s="59" t="e">
        <f t="shared" si="14"/>
        <v>#NUM!</v>
      </c>
      <c r="CY26" s="59">
        <f ca="1">AVERAGE(OFFSET($CX$3,0,0,'Données projet'!$E$13+1,1))-AVERAGE(OFFSET($H$3,0,0,'Données projet'!$E$13+1,1))</f>
        <v>120.26681323682763</v>
      </c>
      <c r="CZ26" s="59">
        <f t="shared" si="42"/>
        <v>344.92933166159389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39.328043957318123</v>
      </c>
      <c r="DG26" s="21">
        <f>EXP(-LN(2)/25)*DG25+(1-EXP(-LN(2)/25))/(LN(2)/25)*Calculateur!DB26*Calculateur!DD26*VLOOKUP('Données projet'!$B$13,Paramètres!$A$1:$I$89,3,0)*0.475*44/12</f>
        <v>16.428113051023608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55.756157008341731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0</v>
      </c>
      <c r="N27" s="13">
        <f>IF('Données projet'!$A$36&gt;35,N26+M27-V26,IF(A27&lt;'Données projet'!$A$36,$K$205^A27,IF(A27='Données projet'!$A$36,'Données projet'!$B$36,N26+M27-V26)))</f>
        <v>0</v>
      </c>
      <c r="O27" s="13">
        <f>N27*VLOOKUP('Données projet'!$B$9,Paramètres!$A$1:$I$89,3,0)*VLOOKUP('Données projet'!$B$9,Paramètres!$A$1:$I$89,5,0)</f>
        <v>0</v>
      </c>
      <c r="P27" s="13" t="e">
        <f t="shared" si="33"/>
        <v>#NUM!</v>
      </c>
      <c r="Q27" s="20" t="e">
        <f t="shared" si="2"/>
        <v>#NUM!</v>
      </c>
      <c r="R27" s="59" t="e">
        <f t="shared" si="0"/>
        <v>#NUM!</v>
      </c>
      <c r="S27" s="59">
        <f ca="1">AVERAGE(OFFSET($R$3,0,0,'Données projet'!$E$9+1,1))-AVERAGE(OFFSET($H$3,0,0,'Données projet'!$E$9+1,1))</f>
        <v>114.4650227251685</v>
      </c>
      <c r="T27" s="59">
        <f t="shared" si="34"/>
        <v>386.57315604590599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43.644206496511764</v>
      </c>
      <c r="AA27" s="21">
        <f>EXP(-LN(2)/25)*AA26+(1-EXP(-LN(2)/25))/(LN(2)/25)*Calculateur!V27*Calculateur!X27*VLOOKUP('Données projet'!$B$9,Paramètres!$A$1:$I$89,3,0)*0.475*44/12</f>
        <v>18.0872105973848</v>
      </c>
      <c r="AB27" s="21">
        <f>EXP(-LN(2)/2)*AB26+(1-EXP(-LN(2)/2))/(LN(2)/2)*V27*Y27*VLOOKUP('Données projet'!$B$9,Paramètres!$A$1:$I$89,3,0)*0.475*44/12</f>
        <v>0</v>
      </c>
      <c r="AC27" s="22">
        <f t="shared" si="3"/>
        <v>61.731417093896567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>
        <f>AI27*VLOOKUP('Données projet'!$B$10,Paramètres!$A$1:$I$89,3,0)*VLOOKUP('Données projet'!$B$10,Paramètres!$A$1:$I$89,5,0)</f>
        <v>0</v>
      </c>
      <c r="AK27" s="13" t="e">
        <f t="shared" si="35"/>
        <v>#NUM!</v>
      </c>
      <c r="AL27" s="20" t="e">
        <f t="shared" si="4"/>
        <v>#NUM!</v>
      </c>
      <c r="AM27" s="59" t="e">
        <f t="shared" si="5"/>
        <v>#NUM!</v>
      </c>
      <c r="AN27" s="59">
        <f ca="1">AVERAGE(OFFSET($AM$3,0,0,'Données projet'!$E$10+1,1))-AVERAGE(OFFSET($H$3,0,0,'Données projet'!$E$10+1,1))</f>
        <v>114.4650227251685</v>
      </c>
      <c r="AO27" s="59">
        <f t="shared" si="36"/>
        <v>386.57315604590599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43.644206496511764</v>
      </c>
      <c r="AV27" s="21">
        <f>EXP(-LN(2)/25)*AV26+(1-EXP(-LN(2)/25))/(LN(2)/25)*Calculateur!AQ27*Calculateur!AS27*VLOOKUP('Données projet'!$B$10,Paramètres!$A$1:$I$89,3,0)*0.475*44/12</f>
        <v>18.0872105973848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61.731417093896567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>
        <f>BD27*VLOOKUP('Données projet'!$B$11,Paramètres!$A$1:$I$89,3,0)*VLOOKUP('Données projet'!$B$11,Paramètres!$A$1:$I$89,5,0)</f>
        <v>0</v>
      </c>
      <c r="BF27" s="13" t="e">
        <f t="shared" si="37"/>
        <v>#NUM!</v>
      </c>
      <c r="BG27" s="20" t="e">
        <f t="shared" si="7"/>
        <v>#NUM!</v>
      </c>
      <c r="BH27" s="59" t="e">
        <f t="shared" si="8"/>
        <v>#NUM!</v>
      </c>
      <c r="BI27" s="59">
        <f ca="1">AVERAGE(OFFSET($BH$3,0,0,'Données projet'!$E$11+1,1))-AVERAGE(OFFSET($H$3,0,0,'Données projet'!$E$11+1,1))</f>
        <v>68.944412338382023</v>
      </c>
      <c r="BJ27" s="59">
        <f t="shared" si="38"/>
        <v>281.00389700159246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30.776461723983967</v>
      </c>
      <c r="BQ27" s="21">
        <f>EXP(-LN(2)/25)*BQ26+(1-EXP(-LN(2)/25))/(LN(2)/25)*Calculateur!BL27*Calculateur!BN27*VLOOKUP('Données projet'!$B$11,Paramètres!$A$1:$I$89,3,0)*0.475*44/12</f>
        <v>12.754507168976518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43.530968892960487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>
        <f>BY27*VLOOKUP('Données projet'!$B$12,Paramètres!$A$1:$I$89,3,0)*VLOOKUP('Données projet'!$B$12,Paramètres!$A$1:$I$89,5,0)</f>
        <v>0</v>
      </c>
      <c r="CA27" s="13" t="e">
        <f t="shared" si="39"/>
        <v>#NUM!</v>
      </c>
      <c r="CB27" s="20" t="e">
        <f t="shared" si="10"/>
        <v>#NUM!</v>
      </c>
      <c r="CC27" s="59" t="e">
        <f t="shared" si="11"/>
        <v>#NUM!</v>
      </c>
      <c r="CD27" s="59">
        <f ca="1">AVERAGE(OFFSET($CC$3,0,0,'Données projet'!$E$12+1,1))-AVERAGE(OFFSET($H$3,0,0,'Données projet'!$E$12+1,1))</f>
        <v>120.26681323682763</v>
      </c>
      <c r="CE27" s="59">
        <f t="shared" si="40"/>
        <v>344.92933166159389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38.556845003053333</v>
      </c>
      <c r="CL27" s="21">
        <f>EXP(-LN(2)/25)*CL26+(1-EXP(-LN(2)/25))/(LN(2)/25)*Calculateur!CG27*Calculateur!CI27*VLOOKUP('Données projet'!$B$12,Paramètres!$A$1:$I$89,3,0)*0.475*44/12</f>
        <v>15.978885435726449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54.53573043877978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>
        <f>CT27*VLOOKUP('Données projet'!$B$13,Paramètres!$A$1:$I$89,3,0)*VLOOKUP('Données projet'!$B$13,Paramètres!$A$1:$I$89,5,0)</f>
        <v>0</v>
      </c>
      <c r="CV27" s="13" t="e">
        <f t="shared" si="41"/>
        <v>#NUM!</v>
      </c>
      <c r="CW27" s="20" t="e">
        <f t="shared" si="13"/>
        <v>#NUM!</v>
      </c>
      <c r="CX27" s="59" t="e">
        <f t="shared" si="14"/>
        <v>#NUM!</v>
      </c>
      <c r="CY27" s="59">
        <f ca="1">AVERAGE(OFFSET($CX$3,0,0,'Données projet'!$E$13+1,1))-AVERAGE(OFFSET($H$3,0,0,'Données projet'!$E$13+1,1))</f>
        <v>120.26681323682763</v>
      </c>
      <c r="CZ27" s="59">
        <f t="shared" si="42"/>
        <v>344.92933166159389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38.556845003053333</v>
      </c>
      <c r="DG27" s="21">
        <f>EXP(-LN(2)/25)*DG26+(1-EXP(-LN(2)/25))/(LN(2)/25)*Calculateur!DB27*Calculateur!DD27*VLOOKUP('Données projet'!$B$13,Paramètres!$A$1:$I$89,3,0)*0.475*44/12</f>
        <v>15.978885435726449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54.53573043877978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0</v>
      </c>
      <c r="N28" s="13">
        <f>IF('Données projet'!$A$36&gt;35,N27+M28-V27,IF(A28&lt;'Données projet'!$A$36,$K$205^A28,IF(A28='Données projet'!$A$36,'Données projet'!$B$36,N27+M28-V27)))</f>
        <v>0</v>
      </c>
      <c r="O28" s="13">
        <f>N28*VLOOKUP('Données projet'!$B$9,Paramètres!$A$1:$I$89,3,0)*VLOOKUP('Données projet'!$B$9,Paramètres!$A$1:$I$89,5,0)</f>
        <v>0</v>
      </c>
      <c r="P28" s="13" t="e">
        <f t="shared" si="33"/>
        <v>#NUM!</v>
      </c>
      <c r="Q28" s="20" t="e">
        <f t="shared" si="2"/>
        <v>#NUM!</v>
      </c>
      <c r="R28" s="59" t="e">
        <f t="shared" si="0"/>
        <v>#NUM!</v>
      </c>
      <c r="S28" s="59">
        <f ca="1">AVERAGE(OFFSET($R$3,0,0,'Données projet'!$E$9+1,1))-AVERAGE(OFFSET($H$3,0,0,'Données projet'!$E$9+1,1))</f>
        <v>114.4650227251685</v>
      </c>
      <c r="T28" s="59">
        <f t="shared" si="34"/>
        <v>386.57315604590599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42.788370227452589</v>
      </c>
      <c r="AA28" s="21">
        <f>EXP(-LN(2)/25)*AA27+(1-EXP(-LN(2)/25))/(LN(2)/25)*Calculateur!V28*Calculateur!X28*VLOOKUP('Données projet'!$B$9,Paramètres!$A$1:$I$89,3,0)*0.475*44/12</f>
        <v>17.592614872434247</v>
      </c>
      <c r="AB28" s="21">
        <f>EXP(-LN(2)/2)*AB27+(1-EXP(-LN(2)/2))/(LN(2)/2)*V28*Y28*VLOOKUP('Données projet'!$B$9,Paramètres!$A$1:$I$89,3,0)*0.475*44/12</f>
        <v>0</v>
      </c>
      <c r="AC28" s="22">
        <f t="shared" si="3"/>
        <v>60.380985099886836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>
        <f>AI28*VLOOKUP('Données projet'!$B$10,Paramètres!$A$1:$I$89,3,0)*VLOOKUP('Données projet'!$B$10,Paramètres!$A$1:$I$89,5,0)</f>
        <v>0</v>
      </c>
      <c r="AK28" s="13" t="e">
        <f t="shared" si="35"/>
        <v>#NUM!</v>
      </c>
      <c r="AL28" s="20" t="e">
        <f t="shared" si="4"/>
        <v>#NUM!</v>
      </c>
      <c r="AM28" s="59" t="e">
        <f t="shared" si="5"/>
        <v>#NUM!</v>
      </c>
      <c r="AN28" s="59">
        <f ca="1">AVERAGE(OFFSET($AM$3,0,0,'Données projet'!$E$10+1,1))-AVERAGE(OFFSET($H$3,0,0,'Données projet'!$E$10+1,1))</f>
        <v>114.4650227251685</v>
      </c>
      <c r="AO28" s="59">
        <f t="shared" si="36"/>
        <v>386.57315604590599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42.788370227452589</v>
      </c>
      <c r="AV28" s="21">
        <f>EXP(-LN(2)/25)*AV27+(1-EXP(-LN(2)/25))/(LN(2)/25)*Calculateur!AQ28*Calculateur!AS28*VLOOKUP('Données projet'!$B$10,Paramètres!$A$1:$I$89,3,0)*0.475*44/12</f>
        <v>17.592614872434247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60.380985099886836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>
        <f>BD28*VLOOKUP('Données projet'!$B$11,Paramètres!$A$1:$I$89,3,0)*VLOOKUP('Données projet'!$B$11,Paramètres!$A$1:$I$89,5,0)</f>
        <v>0</v>
      </c>
      <c r="BF28" s="13" t="e">
        <f t="shared" si="37"/>
        <v>#NUM!</v>
      </c>
      <c r="BG28" s="20" t="e">
        <f t="shared" si="7"/>
        <v>#NUM!</v>
      </c>
      <c r="BH28" s="59" t="e">
        <f t="shared" si="8"/>
        <v>#NUM!</v>
      </c>
      <c r="BI28" s="59">
        <f ca="1">AVERAGE(OFFSET($BH$3,0,0,'Données projet'!$E$11+1,1))-AVERAGE(OFFSET($H$3,0,0,'Données projet'!$E$11+1,1))</f>
        <v>68.944412338382023</v>
      </c>
      <c r="BJ28" s="59">
        <f t="shared" si="38"/>
        <v>281.00389700159246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30.172954081364733</v>
      </c>
      <c r="BQ28" s="21">
        <f>EXP(-LN(2)/25)*BQ27+(1-EXP(-LN(2)/25))/(LN(2)/25)*Calculateur!BL28*Calculateur!BN28*VLOOKUP('Données projet'!$B$11,Paramètres!$A$1:$I$89,3,0)*0.475*44/12</f>
        <v>12.405734499710475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42.578688581075205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>
        <f>BY28*VLOOKUP('Données projet'!$B$12,Paramètres!$A$1:$I$89,3,0)*VLOOKUP('Données projet'!$B$12,Paramètres!$A$1:$I$89,5,0)</f>
        <v>0</v>
      </c>
      <c r="CA28" s="13" t="e">
        <f t="shared" si="39"/>
        <v>#NUM!</v>
      </c>
      <c r="CB28" s="20" t="e">
        <f t="shared" si="10"/>
        <v>#NUM!</v>
      </c>
      <c r="CC28" s="59" t="e">
        <f t="shared" si="11"/>
        <v>#NUM!</v>
      </c>
      <c r="CD28" s="59">
        <f ca="1">AVERAGE(OFFSET($CC$3,0,0,'Données projet'!$E$12+1,1))-AVERAGE(OFFSET($H$3,0,0,'Données projet'!$E$12+1,1))</f>
        <v>120.26681323682763</v>
      </c>
      <c r="CE28" s="59">
        <f t="shared" si="40"/>
        <v>344.92933166159389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37.800768789896765</v>
      </c>
      <c r="CL28" s="21">
        <f>EXP(-LN(2)/25)*CL27+(1-EXP(-LN(2)/25))/(LN(2)/25)*Calculateur!CG28*Calculateur!CI28*VLOOKUP('Données projet'!$B$12,Paramètres!$A$1:$I$89,3,0)*0.475*44/12</f>
        <v>15.541941973193444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53.34271076309021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>
        <f>CT28*VLOOKUP('Données projet'!$B$13,Paramètres!$A$1:$I$89,3,0)*VLOOKUP('Données projet'!$B$13,Paramètres!$A$1:$I$89,5,0)</f>
        <v>0</v>
      </c>
      <c r="CV28" s="13" t="e">
        <f t="shared" si="41"/>
        <v>#NUM!</v>
      </c>
      <c r="CW28" s="20" t="e">
        <f t="shared" si="13"/>
        <v>#NUM!</v>
      </c>
      <c r="CX28" s="59" t="e">
        <f t="shared" si="14"/>
        <v>#NUM!</v>
      </c>
      <c r="CY28" s="59">
        <f ca="1">AVERAGE(OFFSET($CX$3,0,0,'Données projet'!$E$13+1,1))-AVERAGE(OFFSET($H$3,0,0,'Données projet'!$E$13+1,1))</f>
        <v>120.26681323682763</v>
      </c>
      <c r="CZ28" s="59">
        <f t="shared" si="42"/>
        <v>344.92933166159389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37.800768789896765</v>
      </c>
      <c r="DG28" s="21">
        <f>EXP(-LN(2)/25)*DG27+(1-EXP(-LN(2)/25))/(LN(2)/25)*Calculateur!DB28*Calculateur!DD28*VLOOKUP('Données projet'!$B$13,Paramètres!$A$1:$I$89,3,0)*0.475*44/12</f>
        <v>15.541941973193444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53.34271076309021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0</v>
      </c>
      <c r="N29" s="13">
        <f>IF('Données projet'!$A$36&gt;35,N28+M29-V28,IF(A29&lt;'Données projet'!$A$36,$K$205^A29,IF(A29='Données projet'!$A$36,'Données projet'!$B$36,N28+M29-V28)))</f>
        <v>0</v>
      </c>
      <c r="O29" s="13">
        <f>N29*VLOOKUP('Données projet'!$B$9,Paramètres!$A$1:$I$89,3,0)*VLOOKUP('Données projet'!$B$9,Paramètres!$A$1:$I$89,5,0)</f>
        <v>0</v>
      </c>
      <c r="P29" s="13" t="e">
        <f t="shared" si="33"/>
        <v>#NUM!</v>
      </c>
      <c r="Q29" s="20" t="e">
        <f t="shared" si="2"/>
        <v>#NUM!</v>
      </c>
      <c r="R29" s="59" t="e">
        <f t="shared" si="0"/>
        <v>#NUM!</v>
      </c>
      <c r="S29" s="59">
        <f ca="1">AVERAGE(OFFSET($R$3,0,0,'Données projet'!$E$9+1,1))-AVERAGE(OFFSET($H$3,0,0,'Données projet'!$E$9+1,1))</f>
        <v>114.4650227251685</v>
      </c>
      <c r="T29" s="59">
        <f t="shared" si="34"/>
        <v>386.57315604590599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41.949316385621088</v>
      </c>
      <c r="AA29" s="21">
        <f>EXP(-LN(2)/25)*AA28+(1-EXP(-LN(2)/25))/(LN(2)/25)*Calculateur!V29*Calculateur!X29*VLOOKUP('Données projet'!$B$9,Paramètres!$A$1:$I$89,3,0)*0.475*44/12</f>
        <v>17.111543893592124</v>
      </c>
      <c r="AB29" s="21">
        <f>EXP(-LN(2)/2)*AB28+(1-EXP(-LN(2)/2))/(LN(2)/2)*V29*Y29*VLOOKUP('Données projet'!$B$9,Paramètres!$A$1:$I$89,3,0)*0.475*44/12</f>
        <v>0</v>
      </c>
      <c r="AC29" s="22">
        <f t="shared" si="3"/>
        <v>59.060860279213216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>
        <f>AI29*VLOOKUP('Données projet'!$B$10,Paramètres!$A$1:$I$89,3,0)*VLOOKUP('Données projet'!$B$10,Paramètres!$A$1:$I$89,5,0)</f>
        <v>0</v>
      </c>
      <c r="AK29" s="13" t="e">
        <f t="shared" si="35"/>
        <v>#NUM!</v>
      </c>
      <c r="AL29" s="20" t="e">
        <f t="shared" si="4"/>
        <v>#NUM!</v>
      </c>
      <c r="AM29" s="59" t="e">
        <f t="shared" si="5"/>
        <v>#NUM!</v>
      </c>
      <c r="AN29" s="59">
        <f ca="1">AVERAGE(OFFSET($AM$3,0,0,'Données projet'!$E$10+1,1))-AVERAGE(OFFSET($H$3,0,0,'Données projet'!$E$10+1,1))</f>
        <v>114.4650227251685</v>
      </c>
      <c r="AO29" s="59">
        <f t="shared" si="36"/>
        <v>386.57315604590599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41.949316385621088</v>
      </c>
      <c r="AV29" s="21">
        <f>EXP(-LN(2)/25)*AV28+(1-EXP(-LN(2)/25))/(LN(2)/25)*Calculateur!AQ29*Calculateur!AS29*VLOOKUP('Données projet'!$B$10,Paramètres!$A$1:$I$89,3,0)*0.475*44/12</f>
        <v>17.111543893592124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59.060860279213216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>
        <f>BD29*VLOOKUP('Données projet'!$B$11,Paramètres!$A$1:$I$89,3,0)*VLOOKUP('Données projet'!$B$11,Paramètres!$A$1:$I$89,5,0)</f>
        <v>0</v>
      </c>
      <c r="BF29" s="13" t="e">
        <f t="shared" si="37"/>
        <v>#NUM!</v>
      </c>
      <c r="BG29" s="20" t="e">
        <f t="shared" si="7"/>
        <v>#NUM!</v>
      </c>
      <c r="BH29" s="59" t="e">
        <f t="shared" si="8"/>
        <v>#NUM!</v>
      </c>
      <c r="BI29" s="59">
        <f ca="1">AVERAGE(OFFSET($BH$3,0,0,'Données projet'!$E$11+1,1))-AVERAGE(OFFSET($H$3,0,0,'Données projet'!$E$11+1,1))</f>
        <v>68.944412338382023</v>
      </c>
      <c r="BJ29" s="59">
        <f t="shared" si="38"/>
        <v>281.00389700159246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29.581280855513945</v>
      </c>
      <c r="BQ29" s="21">
        <f>EXP(-LN(2)/25)*BQ28+(1-EXP(-LN(2)/25))/(LN(2)/25)*Calculateur!BL29*Calculateur!BN29*VLOOKUP('Données projet'!$B$11,Paramètres!$A$1:$I$89,3,0)*0.475*44/12</f>
        <v>12.066499037426668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41.647779892940612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>
        <f>BY29*VLOOKUP('Données projet'!$B$12,Paramètres!$A$1:$I$89,3,0)*VLOOKUP('Données projet'!$B$12,Paramètres!$A$1:$I$89,5,0)</f>
        <v>0</v>
      </c>
      <c r="CA29" s="13" t="e">
        <f t="shared" si="39"/>
        <v>#NUM!</v>
      </c>
      <c r="CB29" s="20" t="e">
        <f t="shared" si="10"/>
        <v>#NUM!</v>
      </c>
      <c r="CC29" s="59" t="e">
        <f t="shared" si="11"/>
        <v>#NUM!</v>
      </c>
      <c r="CD29" s="59">
        <f ca="1">AVERAGE(OFFSET($CC$3,0,0,'Données projet'!$E$12+1,1))-AVERAGE(OFFSET($H$3,0,0,'Données projet'!$E$12+1,1))</f>
        <v>120.26681323682763</v>
      </c>
      <c r="CE29" s="59">
        <f t="shared" si="40"/>
        <v>344.92933166159389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37.05951877011924</v>
      </c>
      <c r="CL29" s="21">
        <f>EXP(-LN(2)/25)*CL28+(1-EXP(-LN(2)/25))/(LN(2)/25)*Calculateur!CG29*Calculateur!CI29*VLOOKUP('Données projet'!$B$12,Paramètres!$A$1:$I$89,3,0)*0.475*44/12</f>
        <v>15.116946752621262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52.1764655227405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>
        <f>CT29*VLOOKUP('Données projet'!$B$13,Paramètres!$A$1:$I$89,3,0)*VLOOKUP('Données projet'!$B$13,Paramètres!$A$1:$I$89,5,0)</f>
        <v>0</v>
      </c>
      <c r="CV29" s="13" t="e">
        <f t="shared" si="41"/>
        <v>#NUM!</v>
      </c>
      <c r="CW29" s="20" t="e">
        <f t="shared" si="13"/>
        <v>#NUM!</v>
      </c>
      <c r="CX29" s="59" t="e">
        <f t="shared" si="14"/>
        <v>#NUM!</v>
      </c>
      <c r="CY29" s="59">
        <f ca="1">AVERAGE(OFFSET($CX$3,0,0,'Données projet'!$E$13+1,1))-AVERAGE(OFFSET($H$3,0,0,'Données projet'!$E$13+1,1))</f>
        <v>120.26681323682763</v>
      </c>
      <c r="CZ29" s="59">
        <f t="shared" si="42"/>
        <v>344.92933166159389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37.05951877011924</v>
      </c>
      <c r="DG29" s="21">
        <f>EXP(-LN(2)/25)*DG28+(1-EXP(-LN(2)/25))/(LN(2)/25)*Calculateur!DB29*Calculateur!DD29*VLOOKUP('Données projet'!$B$13,Paramètres!$A$1:$I$89,3,0)*0.475*44/12</f>
        <v>15.116946752621262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52.1764655227405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</v>
      </c>
      <c r="N30" s="13">
        <f>IF('Données projet'!$A$36&gt;35,N29+M30-V29,IF(A30&lt;'Données projet'!$A$36,$K$205^A30,IF(A30='Données projet'!$A$36,'Données projet'!$B$36,N29+M30-V29)))</f>
        <v>0</v>
      </c>
      <c r="O30" s="13">
        <f>N30*VLOOKUP('Données projet'!$B$9,Paramètres!$A$1:$I$89,3,0)*VLOOKUP('Données projet'!$B$9,Paramètres!$A$1:$I$89,5,0)</f>
        <v>0</v>
      </c>
      <c r="P30" s="13" t="e">
        <f t="shared" si="33"/>
        <v>#NUM!</v>
      </c>
      <c r="Q30" s="20" t="e">
        <f t="shared" si="2"/>
        <v>#NUM!</v>
      </c>
      <c r="R30" s="59" t="e">
        <f t="shared" si="0"/>
        <v>#NUM!</v>
      </c>
      <c r="S30" s="59">
        <f ca="1">AVERAGE(OFFSET($R$3,0,0,'Données projet'!$E$9+1,1))-AVERAGE(OFFSET($H$3,0,0,'Données projet'!$E$9+1,1))</f>
        <v>114.4650227251685</v>
      </c>
      <c r="T30" s="59">
        <f t="shared" si="34"/>
        <v>386.57315604590599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41.126715877855588</v>
      </c>
      <c r="AA30" s="21">
        <f>EXP(-LN(2)/25)*AA29+(1-EXP(-LN(2)/25))/(LN(2)/25)*Calculateur!V30*Calculateur!X30*VLOOKUP('Données projet'!$B$9,Paramètres!$A$1:$I$89,3,0)*0.475*44/12</f>
        <v>16.643627825964863</v>
      </c>
      <c r="AB30" s="21">
        <f>EXP(-LN(2)/2)*AB29+(1-EXP(-LN(2)/2))/(LN(2)/2)*V30*Y30*VLOOKUP('Données projet'!$B$9,Paramètres!$A$1:$I$89,3,0)*0.475*44/12</f>
        <v>0</v>
      </c>
      <c r="AC30" s="22">
        <f t="shared" si="3"/>
        <v>57.770343703820451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>
        <f>AI30*VLOOKUP('Données projet'!$B$10,Paramètres!$A$1:$I$89,3,0)*VLOOKUP('Données projet'!$B$10,Paramètres!$A$1:$I$89,5,0)</f>
        <v>0</v>
      </c>
      <c r="AK30" s="13" t="e">
        <f t="shared" si="35"/>
        <v>#NUM!</v>
      </c>
      <c r="AL30" s="20" t="e">
        <f t="shared" si="4"/>
        <v>#NUM!</v>
      </c>
      <c r="AM30" s="59" t="e">
        <f t="shared" si="5"/>
        <v>#NUM!</v>
      </c>
      <c r="AN30" s="59">
        <f ca="1">AVERAGE(OFFSET($AM$3,0,0,'Données projet'!$E$10+1,1))-AVERAGE(OFFSET($H$3,0,0,'Données projet'!$E$10+1,1))</f>
        <v>114.4650227251685</v>
      </c>
      <c r="AO30" s="59">
        <f t="shared" si="36"/>
        <v>386.57315604590599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41.126715877855588</v>
      </c>
      <c r="AV30" s="21">
        <f>EXP(-LN(2)/25)*AV29+(1-EXP(-LN(2)/25))/(LN(2)/25)*Calculateur!AQ30*Calculateur!AS30*VLOOKUP('Données projet'!$B$10,Paramètres!$A$1:$I$89,3,0)*0.475*44/12</f>
        <v>16.643627825964863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57.770343703820451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>
        <f>BD30*VLOOKUP('Données projet'!$B$11,Paramètres!$A$1:$I$89,3,0)*VLOOKUP('Données projet'!$B$11,Paramètres!$A$1:$I$89,5,0)</f>
        <v>0</v>
      </c>
      <c r="BF30" s="13" t="e">
        <f t="shared" si="37"/>
        <v>#NUM!</v>
      </c>
      <c r="BG30" s="20" t="e">
        <f t="shared" si="7"/>
        <v>#NUM!</v>
      </c>
      <c r="BH30" s="59" t="e">
        <f t="shared" si="8"/>
        <v>#NUM!</v>
      </c>
      <c r="BI30" s="59">
        <f ca="1">AVERAGE(OFFSET($BH$3,0,0,'Données projet'!$E$11+1,1))-AVERAGE(OFFSET($H$3,0,0,'Données projet'!$E$11+1,1))</f>
        <v>68.944412338382023</v>
      </c>
      <c r="BJ30" s="59">
        <f t="shared" si="38"/>
        <v>281.00389700159246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29.001209980737059</v>
      </c>
      <c r="BQ30" s="21">
        <f>EXP(-LN(2)/25)*BQ29+(1-EXP(-LN(2)/25))/(LN(2)/25)*Calculateur!BL30*Calculateur!BN30*VLOOKUP('Données projet'!$B$11,Paramètres!$A$1:$I$89,3,0)*0.475*44/12</f>
        <v>11.736539986698631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40.73774996743569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>
        <f>BY30*VLOOKUP('Données projet'!$B$12,Paramètres!$A$1:$I$89,3,0)*VLOOKUP('Données projet'!$B$12,Paramètres!$A$1:$I$89,5,0)</f>
        <v>0</v>
      </c>
      <c r="CA30" s="13" t="e">
        <f t="shared" si="39"/>
        <v>#NUM!</v>
      </c>
      <c r="CB30" s="20" t="e">
        <f t="shared" si="10"/>
        <v>#NUM!</v>
      </c>
      <c r="CC30" s="59" t="e">
        <f t="shared" si="11"/>
        <v>#NUM!</v>
      </c>
      <c r="CD30" s="59">
        <f ca="1">AVERAGE(OFFSET($CC$3,0,0,'Données projet'!$E$12+1,1))-AVERAGE(OFFSET($H$3,0,0,'Données projet'!$E$12+1,1))</f>
        <v>120.26681323682763</v>
      </c>
      <c r="CE30" s="59">
        <f t="shared" si="40"/>
        <v>344.92933166159389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36.332804211111686</v>
      </c>
      <c r="CL30" s="21">
        <f>EXP(-LN(2)/25)*CL29+(1-EXP(-LN(2)/25))/(LN(2)/25)*Calculateur!CG30*Calculateur!CI30*VLOOKUP('Données projet'!$B$12,Paramètres!$A$1:$I$89,3,0)*0.475*44/12</f>
        <v>14.703573048705154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51.036377259816838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>
        <f>CT30*VLOOKUP('Données projet'!$B$13,Paramètres!$A$1:$I$89,3,0)*VLOOKUP('Données projet'!$B$13,Paramètres!$A$1:$I$89,5,0)</f>
        <v>0</v>
      </c>
      <c r="CV30" s="13" t="e">
        <f t="shared" si="41"/>
        <v>#NUM!</v>
      </c>
      <c r="CW30" s="20" t="e">
        <f t="shared" si="13"/>
        <v>#NUM!</v>
      </c>
      <c r="CX30" s="59" t="e">
        <f t="shared" si="14"/>
        <v>#NUM!</v>
      </c>
      <c r="CY30" s="59">
        <f ca="1">AVERAGE(OFFSET($CX$3,0,0,'Données projet'!$E$13+1,1))-AVERAGE(OFFSET($H$3,0,0,'Données projet'!$E$13+1,1))</f>
        <v>120.26681323682763</v>
      </c>
      <c r="CZ30" s="59">
        <f t="shared" si="42"/>
        <v>344.92933166159389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36.332804211111686</v>
      </c>
      <c r="DG30" s="21">
        <f>EXP(-LN(2)/25)*DG29+(1-EXP(-LN(2)/25))/(LN(2)/25)*Calculateur!DB30*Calculateur!DD30*VLOOKUP('Données projet'!$B$13,Paramètres!$A$1:$I$89,3,0)*0.475*44/12</f>
        <v>14.703573048705154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51.036377259816838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</v>
      </c>
      <c r="N31" s="13">
        <f>IF('Données projet'!$A$36&gt;35,N30+M31-V30,IF(A31&lt;'Données projet'!$A$36,$K$205^A31,IF(A31='Données projet'!$A$36,'Données projet'!$B$36,N30+M31-V30)))</f>
        <v>0</v>
      </c>
      <c r="O31" s="13">
        <f>N31*VLOOKUP('Données projet'!$B$9,Paramètres!$A$1:$I$89,3,0)*VLOOKUP('Données projet'!$B$9,Paramètres!$A$1:$I$89,5,0)</f>
        <v>0</v>
      </c>
      <c r="P31" s="13" t="e">
        <f t="shared" si="33"/>
        <v>#NUM!</v>
      </c>
      <c r="Q31" s="20" t="e">
        <f t="shared" si="2"/>
        <v>#NUM!</v>
      </c>
      <c r="R31" s="59" t="e">
        <f t="shared" si="0"/>
        <v>#NUM!</v>
      </c>
      <c r="S31" s="59">
        <f ca="1">AVERAGE(OFFSET($R$3,0,0,'Données projet'!$E$9+1,1))-AVERAGE(OFFSET($H$3,0,0,'Données projet'!$E$9+1,1))</f>
        <v>114.4650227251685</v>
      </c>
      <c r="T31" s="59">
        <f t="shared" si="34"/>
        <v>386.57315604590599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40.320246064310602</v>
      </c>
      <c r="AA31" s="21">
        <f>EXP(-LN(2)/25)*AA30+(1-EXP(-LN(2)/25))/(LN(2)/25)*Calculateur!V31*Calculateur!X31*VLOOKUP('Données projet'!$B$9,Paramètres!$A$1:$I$89,3,0)*0.475*44/12</f>
        <v>16.188506947813504</v>
      </c>
      <c r="AB31" s="21">
        <f>EXP(-LN(2)/2)*AB30+(1-EXP(-LN(2)/2))/(LN(2)/2)*V31*Y31*VLOOKUP('Données projet'!$B$9,Paramètres!$A$1:$I$89,3,0)*0.475*44/12</f>
        <v>0</v>
      </c>
      <c r="AC31" s="22">
        <f t="shared" si="3"/>
        <v>56.508753012124103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>
        <f>AI31*VLOOKUP('Données projet'!$B$10,Paramètres!$A$1:$I$89,3,0)*VLOOKUP('Données projet'!$B$10,Paramètres!$A$1:$I$89,5,0)</f>
        <v>0</v>
      </c>
      <c r="AK31" s="13" t="e">
        <f t="shared" si="35"/>
        <v>#NUM!</v>
      </c>
      <c r="AL31" s="20" t="e">
        <f t="shared" si="4"/>
        <v>#NUM!</v>
      </c>
      <c r="AM31" s="59" t="e">
        <f t="shared" si="5"/>
        <v>#NUM!</v>
      </c>
      <c r="AN31" s="59">
        <f ca="1">AVERAGE(OFFSET($AM$3,0,0,'Données projet'!$E$10+1,1))-AVERAGE(OFFSET($H$3,0,0,'Données projet'!$E$10+1,1))</f>
        <v>114.4650227251685</v>
      </c>
      <c r="AO31" s="59">
        <f t="shared" si="36"/>
        <v>386.57315604590599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40.320246064310602</v>
      </c>
      <c r="AV31" s="21">
        <f>EXP(-LN(2)/25)*AV30+(1-EXP(-LN(2)/25))/(LN(2)/25)*Calculateur!AQ31*Calculateur!AS31*VLOOKUP('Données projet'!$B$10,Paramètres!$A$1:$I$89,3,0)*0.475*44/12</f>
        <v>16.188506947813504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56.508753012124103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>
        <f>BD31*VLOOKUP('Données projet'!$B$11,Paramètres!$A$1:$I$89,3,0)*VLOOKUP('Données projet'!$B$11,Paramètres!$A$1:$I$89,5,0)</f>
        <v>0</v>
      </c>
      <c r="BF31" s="13" t="e">
        <f t="shared" si="37"/>
        <v>#NUM!</v>
      </c>
      <c r="BG31" s="20" t="e">
        <f t="shared" si="7"/>
        <v>#NUM!</v>
      </c>
      <c r="BH31" s="59" t="e">
        <f t="shared" si="8"/>
        <v>#NUM!</v>
      </c>
      <c r="BI31" s="59">
        <f ca="1">AVERAGE(OFFSET($BH$3,0,0,'Données projet'!$E$11+1,1))-AVERAGE(OFFSET($H$3,0,0,'Données projet'!$E$11+1,1))</f>
        <v>68.944412338382023</v>
      </c>
      <c r="BJ31" s="59">
        <f t="shared" si="38"/>
        <v>281.00389700159246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28.432513942006249</v>
      </c>
      <c r="BQ31" s="21">
        <f>EXP(-LN(2)/25)*BQ30+(1-EXP(-LN(2)/25))/(LN(2)/25)*Calculateur!BL31*Calculateur!BN31*VLOOKUP('Données projet'!$B$11,Paramètres!$A$1:$I$89,3,0)*0.475*44/12</f>
        <v>11.415603683564543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39.848117625570794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>
        <f>BY31*VLOOKUP('Données projet'!$B$12,Paramètres!$A$1:$I$89,3,0)*VLOOKUP('Données projet'!$B$12,Paramètres!$A$1:$I$89,5,0)</f>
        <v>0</v>
      </c>
      <c r="CA31" s="13" t="e">
        <f t="shared" si="39"/>
        <v>#NUM!</v>
      </c>
      <c r="CB31" s="20" t="e">
        <f t="shared" si="10"/>
        <v>#NUM!</v>
      </c>
      <c r="CC31" s="59" t="e">
        <f t="shared" si="11"/>
        <v>#NUM!</v>
      </c>
      <c r="CD31" s="59">
        <f ca="1">AVERAGE(OFFSET($CC$3,0,0,'Données projet'!$E$12+1,1))-AVERAGE(OFFSET($H$3,0,0,'Données projet'!$E$12+1,1))</f>
        <v>120.26681323682763</v>
      </c>
      <c r="CE31" s="59">
        <f t="shared" si="40"/>
        <v>344.92933166159389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35.620340081354158</v>
      </c>
      <c r="CL31" s="21">
        <f>EXP(-LN(2)/25)*CL30+(1-EXP(-LN(2)/25))/(LN(2)/25)*Calculateur!CG31*Calculateur!CI31*VLOOKUP('Données projet'!$B$12,Paramètres!$A$1:$I$89,3,0)*0.475*44/12</f>
        <v>14.30150307046101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49.921843151815168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>
        <f>CT31*VLOOKUP('Données projet'!$B$13,Paramètres!$A$1:$I$89,3,0)*VLOOKUP('Données projet'!$B$13,Paramètres!$A$1:$I$89,5,0)</f>
        <v>0</v>
      </c>
      <c r="CV31" s="13" t="e">
        <f t="shared" si="41"/>
        <v>#NUM!</v>
      </c>
      <c r="CW31" s="20" t="e">
        <f t="shared" si="13"/>
        <v>#NUM!</v>
      </c>
      <c r="CX31" s="59" t="e">
        <f t="shared" si="14"/>
        <v>#NUM!</v>
      </c>
      <c r="CY31" s="59">
        <f ca="1">AVERAGE(OFFSET($CX$3,0,0,'Données projet'!$E$13+1,1))-AVERAGE(OFFSET($H$3,0,0,'Données projet'!$E$13+1,1))</f>
        <v>120.26681323682763</v>
      </c>
      <c r="CZ31" s="59">
        <f t="shared" si="42"/>
        <v>344.92933166159389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35.620340081354158</v>
      </c>
      <c r="DG31" s="21">
        <f>EXP(-LN(2)/25)*DG30+(1-EXP(-LN(2)/25))/(LN(2)/25)*Calculateur!DB31*Calculateur!DD31*VLOOKUP('Données projet'!$B$13,Paramètres!$A$1:$I$89,3,0)*0.475*44/12</f>
        <v>14.30150307046101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49.921843151815168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</v>
      </c>
      <c r="N32" s="13">
        <f>IF('Données projet'!$A$36&gt;35,N31+M32-V31,IF(A32&lt;'Données projet'!$A$36,$K$205^A32,IF(A32='Données projet'!$A$36,'Données projet'!$B$36,N31+M32-V31)))</f>
        <v>0</v>
      </c>
      <c r="O32" s="13">
        <f>N32*VLOOKUP('Données projet'!$B$9,Paramètres!$A$1:$I$89,3,0)*VLOOKUP('Données projet'!$B$9,Paramètres!$A$1:$I$89,5,0)</f>
        <v>0</v>
      </c>
      <c r="P32" s="13" t="e">
        <f t="shared" si="33"/>
        <v>#NUM!</v>
      </c>
      <c r="Q32" s="20" t="e">
        <f t="shared" si="2"/>
        <v>#NUM!</v>
      </c>
      <c r="R32" s="59" t="e">
        <f t="shared" si="0"/>
        <v>#NUM!</v>
      </c>
      <c r="S32" s="59">
        <f ca="1">AVERAGE(OFFSET($R$3,0,0,'Données projet'!$E$9+1,1))-AVERAGE(OFFSET($H$3,0,0,'Données projet'!$E$9+1,1))</f>
        <v>114.4650227251685</v>
      </c>
      <c r="T32" s="59">
        <f t="shared" si="34"/>
        <v>386.57315604590599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39.529590631911219</v>
      </c>
      <c r="AA32" s="21">
        <f>EXP(-LN(2)/25)*AA31+(1-EXP(-LN(2)/25))/(LN(2)/25)*Calculateur!V32*Calculateur!X32*VLOOKUP('Données projet'!$B$9,Paramètres!$A$1:$I$89,3,0)*0.475*44/12</f>
        <v>15.745831374008963</v>
      </c>
      <c r="AB32" s="21">
        <f>EXP(-LN(2)/2)*AB31+(1-EXP(-LN(2)/2))/(LN(2)/2)*V32*Y32*VLOOKUP('Données projet'!$B$9,Paramètres!$A$1:$I$89,3,0)*0.475*44/12</f>
        <v>0</v>
      </c>
      <c r="AC32" s="22">
        <f t="shared" si="3"/>
        <v>55.275422005920184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>
        <f>AI32*VLOOKUP('Données projet'!$B$10,Paramètres!$A$1:$I$89,3,0)*VLOOKUP('Données projet'!$B$10,Paramètres!$A$1:$I$89,5,0)</f>
        <v>0</v>
      </c>
      <c r="AK32" s="13" t="e">
        <f t="shared" si="35"/>
        <v>#NUM!</v>
      </c>
      <c r="AL32" s="20" t="e">
        <f t="shared" si="4"/>
        <v>#NUM!</v>
      </c>
      <c r="AM32" s="59" t="e">
        <f t="shared" si="5"/>
        <v>#NUM!</v>
      </c>
      <c r="AN32" s="59">
        <f ca="1">AVERAGE(OFFSET($AM$3,0,0,'Données projet'!$E$10+1,1))-AVERAGE(OFFSET($H$3,0,0,'Données projet'!$E$10+1,1))</f>
        <v>114.4650227251685</v>
      </c>
      <c r="AO32" s="59">
        <f t="shared" si="36"/>
        <v>386.57315604590599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39.529590631911219</v>
      </c>
      <c r="AV32" s="21">
        <f>EXP(-LN(2)/25)*AV31+(1-EXP(-LN(2)/25))/(LN(2)/25)*Calculateur!AQ32*Calculateur!AS32*VLOOKUP('Données projet'!$B$10,Paramètres!$A$1:$I$89,3,0)*0.475*44/12</f>
        <v>15.745831374008963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55.275422005920184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>
        <f>BD32*VLOOKUP('Données projet'!$B$11,Paramètres!$A$1:$I$89,3,0)*VLOOKUP('Données projet'!$B$11,Paramètres!$A$1:$I$89,5,0)</f>
        <v>0</v>
      </c>
      <c r="BF32" s="13" t="e">
        <f t="shared" si="37"/>
        <v>#NUM!</v>
      </c>
      <c r="BG32" s="20" t="e">
        <f t="shared" si="7"/>
        <v>#NUM!</v>
      </c>
      <c r="BH32" s="59" t="e">
        <f t="shared" si="8"/>
        <v>#NUM!</v>
      </c>
      <c r="BI32" s="59">
        <f ca="1">AVERAGE(OFFSET($BH$3,0,0,'Données projet'!$E$11+1,1))-AVERAGE(OFFSET($H$3,0,0,'Données projet'!$E$11+1,1))</f>
        <v>68.944412338382023</v>
      </c>
      <c r="BJ32" s="59">
        <f t="shared" si="38"/>
        <v>281.00389700159246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27.874969685724619</v>
      </c>
      <c r="BQ32" s="21">
        <f>EXP(-LN(2)/25)*BQ31+(1-EXP(-LN(2)/25))/(LN(2)/25)*Calculateur!BL32*Calculateur!BN32*VLOOKUP('Données projet'!$B$11,Paramètres!$A$1:$I$89,3,0)*0.475*44/12</f>
        <v>11.103443400516964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38.978413086241581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>
        <f>BY32*VLOOKUP('Données projet'!$B$12,Paramètres!$A$1:$I$89,3,0)*VLOOKUP('Données projet'!$B$12,Paramètres!$A$1:$I$89,5,0)</f>
        <v>0</v>
      </c>
      <c r="CA32" s="13" t="e">
        <f t="shared" si="39"/>
        <v>#NUM!</v>
      </c>
      <c r="CB32" s="20" t="e">
        <f t="shared" si="10"/>
        <v>#NUM!</v>
      </c>
      <c r="CC32" s="59" t="e">
        <f t="shared" si="11"/>
        <v>#NUM!</v>
      </c>
      <c r="CD32" s="59">
        <f ca="1">AVERAGE(OFFSET($CC$3,0,0,'Données projet'!$E$12+1,1))-AVERAGE(OFFSET($H$3,0,0,'Données projet'!$E$12+1,1))</f>
        <v>120.26681323682763</v>
      </c>
      <c r="CE32" s="59">
        <f t="shared" si="40"/>
        <v>344.92933166159389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34.921846938620959</v>
      </c>
      <c r="CL32" s="21">
        <f>EXP(-LN(2)/25)*CL31+(1-EXP(-LN(2)/25))/(LN(2)/25)*Calculateur!CG32*Calculateur!CI32*VLOOKUP('Données projet'!$B$12,Paramètres!$A$1:$I$89,3,0)*0.475*44/12</f>
        <v>13.910427716915894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48.83227465553685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>
        <f>CT32*VLOOKUP('Données projet'!$B$13,Paramètres!$A$1:$I$89,3,0)*VLOOKUP('Données projet'!$B$13,Paramètres!$A$1:$I$89,5,0)</f>
        <v>0</v>
      </c>
      <c r="CV32" s="13" t="e">
        <f t="shared" si="41"/>
        <v>#NUM!</v>
      </c>
      <c r="CW32" s="20" t="e">
        <f t="shared" si="13"/>
        <v>#NUM!</v>
      </c>
      <c r="CX32" s="59" t="e">
        <f t="shared" si="14"/>
        <v>#NUM!</v>
      </c>
      <c r="CY32" s="59">
        <f ca="1">AVERAGE(OFFSET($CX$3,0,0,'Données projet'!$E$13+1,1))-AVERAGE(OFFSET($H$3,0,0,'Données projet'!$E$13+1,1))</f>
        <v>120.26681323682763</v>
      </c>
      <c r="CZ32" s="59">
        <f t="shared" si="42"/>
        <v>344.92933166159389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34.921846938620959</v>
      </c>
      <c r="DG32" s="21">
        <f>EXP(-LN(2)/25)*DG31+(1-EXP(-LN(2)/25))/(LN(2)/25)*Calculateur!DB32*Calculateur!DD32*VLOOKUP('Données projet'!$B$13,Paramètres!$A$1:$I$89,3,0)*0.475*44/12</f>
        <v>13.910427716915894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48.83227465553685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0</v>
      </c>
      <c r="N33" s="13">
        <f>IF('Données projet'!$A$36&gt;35,N32+M33-V32,IF(A33&lt;'Données projet'!$A$36,$K$205^A33,IF(A33='Données projet'!$A$36,'Données projet'!$B$36,N32+M33-V32)))</f>
        <v>0</v>
      </c>
      <c r="O33" s="13">
        <f>N33*VLOOKUP('Données projet'!$B$9,Paramètres!$A$1:$I$89,3,0)*VLOOKUP('Données projet'!$B$9,Paramètres!$A$1:$I$89,5,0)</f>
        <v>0</v>
      </c>
      <c r="P33" s="13" t="e">
        <f t="shared" si="33"/>
        <v>#NUM!</v>
      </c>
      <c r="Q33" s="20" t="e">
        <f t="shared" si="2"/>
        <v>#NUM!</v>
      </c>
      <c r="R33" s="59" t="e">
        <f t="shared" si="0"/>
        <v>#NUM!</v>
      </c>
      <c r="S33" s="59">
        <f ca="1">AVERAGE(OFFSET($R$3,0,0,'Données projet'!$E$9+1,1))-AVERAGE(OFFSET($H$3,0,0,'Données projet'!$E$9+1,1))</f>
        <v>114.4650227251685</v>
      </c>
      <c r="T33" s="59">
        <f t="shared" si="34"/>
        <v>386.57315604590599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38.754439470288993</v>
      </c>
      <c r="AA33" s="21">
        <f>EXP(-LN(2)/25)*AA32+(1-EXP(-LN(2)/25))/(LN(2)/25)*Calculateur!V33*Calculateur!X33*VLOOKUP('Données projet'!$B$9,Paramètres!$A$1:$I$89,3,0)*0.475*44/12</f>
        <v>15.315260787049404</v>
      </c>
      <c r="AB33" s="21">
        <f>EXP(-LN(2)/2)*AB32+(1-EXP(-LN(2)/2))/(LN(2)/2)*V33*Y33*VLOOKUP('Données projet'!$B$9,Paramètres!$A$1:$I$89,3,0)*0.475*44/12</f>
        <v>0</v>
      </c>
      <c r="AC33" s="22">
        <f t="shared" si="3"/>
        <v>54.069700257338397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>
        <f>AI33*VLOOKUP('Données projet'!$B$10,Paramètres!$A$1:$I$89,3,0)*VLOOKUP('Données projet'!$B$10,Paramètres!$A$1:$I$89,5,0)</f>
        <v>0</v>
      </c>
      <c r="AK33" s="13" t="e">
        <f t="shared" si="35"/>
        <v>#NUM!</v>
      </c>
      <c r="AL33" s="20" t="e">
        <f t="shared" si="4"/>
        <v>#NUM!</v>
      </c>
      <c r="AM33" s="59" t="e">
        <f t="shared" si="5"/>
        <v>#NUM!</v>
      </c>
      <c r="AN33" s="59">
        <f ca="1">AVERAGE(OFFSET($AM$3,0,0,'Données projet'!$E$10+1,1))-AVERAGE(OFFSET($H$3,0,0,'Données projet'!$E$10+1,1))</f>
        <v>114.4650227251685</v>
      </c>
      <c r="AO33" s="59">
        <f t="shared" si="36"/>
        <v>386.57315604590599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38.754439470288993</v>
      </c>
      <c r="AV33" s="21">
        <f>EXP(-LN(2)/25)*AV32+(1-EXP(-LN(2)/25))/(LN(2)/25)*Calculateur!AQ33*Calculateur!AS33*VLOOKUP('Données projet'!$B$10,Paramètres!$A$1:$I$89,3,0)*0.475*44/12</f>
        <v>15.315260787049404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54.069700257338397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>
        <f>BD33*VLOOKUP('Données projet'!$B$11,Paramètres!$A$1:$I$89,3,0)*VLOOKUP('Données projet'!$B$11,Paramètres!$A$1:$I$89,5,0)</f>
        <v>0</v>
      </c>
      <c r="BF33" s="13" t="e">
        <f t="shared" si="37"/>
        <v>#NUM!</v>
      </c>
      <c r="BG33" s="20" t="e">
        <f t="shared" si="7"/>
        <v>#NUM!</v>
      </c>
      <c r="BH33" s="59" t="e">
        <f t="shared" si="8"/>
        <v>#NUM!</v>
      </c>
      <c r="BI33" s="59">
        <f ca="1">AVERAGE(OFFSET($BH$3,0,0,'Données projet'!$E$11+1,1))-AVERAGE(OFFSET($H$3,0,0,'Données projet'!$E$11+1,1))</f>
        <v>68.944412338382023</v>
      </c>
      <c r="BJ33" s="59">
        <f t="shared" si="38"/>
        <v>281.00389700159246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27.328358532240255</v>
      </c>
      <c r="BQ33" s="21">
        <f>EXP(-LN(2)/25)*BQ32+(1-EXP(-LN(2)/25))/(LN(2)/25)*Calculateur!BL33*Calculateur!BN33*VLOOKUP('Données projet'!$B$11,Paramètres!$A$1:$I$89,3,0)*0.475*44/12</f>
        <v>10.799819156825116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38.128177689065367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>
        <f>BY33*VLOOKUP('Données projet'!$B$12,Paramètres!$A$1:$I$89,3,0)*VLOOKUP('Données projet'!$B$12,Paramètres!$A$1:$I$89,5,0)</f>
        <v>0</v>
      </c>
      <c r="CA33" s="13" t="e">
        <f t="shared" si="39"/>
        <v>#NUM!</v>
      </c>
      <c r="CB33" s="20" t="e">
        <f t="shared" si="10"/>
        <v>#NUM!</v>
      </c>
      <c r="CC33" s="59" t="e">
        <f t="shared" si="11"/>
        <v>#NUM!</v>
      </c>
      <c r="CD33" s="59">
        <f ca="1">AVERAGE(OFFSET($CC$3,0,0,'Données projet'!$E$12+1,1))-AVERAGE(OFFSET($H$3,0,0,'Données projet'!$E$12+1,1))</f>
        <v>120.26681323682763</v>
      </c>
      <c r="CE33" s="59">
        <f t="shared" si="40"/>
        <v>344.92933166159389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34.237050820378009</v>
      </c>
      <c r="CL33" s="21">
        <f>EXP(-LN(2)/25)*CL32+(1-EXP(-LN(2)/25))/(LN(2)/25)*Calculateur!CG33*Calculateur!CI33*VLOOKUP('Données projet'!$B$12,Paramètres!$A$1:$I$89,3,0)*0.475*44/12</f>
        <v>13.530046339479227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47.767097159857236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>
        <f>CT33*VLOOKUP('Données projet'!$B$13,Paramètres!$A$1:$I$89,3,0)*VLOOKUP('Données projet'!$B$13,Paramètres!$A$1:$I$89,5,0)</f>
        <v>0</v>
      </c>
      <c r="CV33" s="13" t="e">
        <f t="shared" si="41"/>
        <v>#NUM!</v>
      </c>
      <c r="CW33" s="20" t="e">
        <f t="shared" si="13"/>
        <v>#NUM!</v>
      </c>
      <c r="CX33" s="59" t="e">
        <f t="shared" si="14"/>
        <v>#NUM!</v>
      </c>
      <c r="CY33" s="59">
        <f ca="1">AVERAGE(OFFSET($CX$3,0,0,'Données projet'!$E$13+1,1))-AVERAGE(OFFSET($H$3,0,0,'Données projet'!$E$13+1,1))</f>
        <v>120.26681323682763</v>
      </c>
      <c r="CZ33" s="59">
        <f t="shared" si="42"/>
        <v>344.92933166159389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34.237050820378009</v>
      </c>
      <c r="DG33" s="21">
        <f>EXP(-LN(2)/25)*DG32+(1-EXP(-LN(2)/25))/(LN(2)/25)*Calculateur!DB33*Calculateur!DD33*VLOOKUP('Données projet'!$B$13,Paramètres!$A$1:$I$89,3,0)*0.475*44/12</f>
        <v>13.530046339479227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47.767097159857236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114.4650227251685</v>
      </c>
      <c r="T34" s="59">
        <f t="shared" si="34"/>
        <v>386.57315604590599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37.994488550150656</v>
      </c>
      <c r="AA34" s="21">
        <f>EXP(-LN(2)/25)*AA33+(1-EXP(-LN(2)/25))/(LN(2)/25)*Calculateur!V34*Calculateur!X34*VLOOKUP('Données projet'!$B$9,Paramètres!$A$1:$I$89,3,0)*0.475*44/12</f>
        <v>14.896464175432977</v>
      </c>
      <c r="AB34" s="21">
        <f>EXP(-LN(2)/2)*AB33+(1-EXP(-LN(2)/2))/(LN(2)/2)*V34*Y34*VLOOKUP('Données projet'!$B$9,Paramètres!$A$1:$I$89,3,0)*0.475*44/12</f>
        <v>0</v>
      </c>
      <c r="AC34" s="22">
        <f t="shared" si="3"/>
        <v>52.890952725583631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>
        <f>AI34*VLOOKUP('Données projet'!$B$10,Paramètres!$A$1:$I$89,3,0)*VLOOKUP('Données projet'!$B$10,Paramètres!$A$1:$I$89,5,0)</f>
        <v>0</v>
      </c>
      <c r="AK34" s="13" t="e">
        <f t="shared" si="35"/>
        <v>#NUM!</v>
      </c>
      <c r="AL34" s="20" t="e">
        <f t="shared" si="4"/>
        <v>#NUM!</v>
      </c>
      <c r="AM34" s="59" t="e">
        <f t="shared" si="5"/>
        <v>#NUM!</v>
      </c>
      <c r="AN34" s="59">
        <f ca="1">AVERAGE(OFFSET($AM$3,0,0,'Données projet'!$E$10+1,1))-AVERAGE(OFFSET($H$3,0,0,'Données projet'!$E$10+1,1))</f>
        <v>114.4650227251685</v>
      </c>
      <c r="AO34" s="59">
        <f t="shared" si="36"/>
        <v>386.57315604590599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37.994488550150656</v>
      </c>
      <c r="AV34" s="21">
        <f>EXP(-LN(2)/25)*AV33+(1-EXP(-LN(2)/25))/(LN(2)/25)*Calculateur!AQ34*Calculateur!AS34*VLOOKUP('Données projet'!$B$10,Paramètres!$A$1:$I$89,3,0)*0.475*44/12</f>
        <v>14.896464175432977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52.890952725583631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>
        <f>BD34*VLOOKUP('Données projet'!$B$11,Paramètres!$A$1:$I$89,3,0)*VLOOKUP('Données projet'!$B$11,Paramètres!$A$1:$I$89,5,0)</f>
        <v>0</v>
      </c>
      <c r="BF34" s="13" t="e">
        <f t="shared" si="37"/>
        <v>#NUM!</v>
      </c>
      <c r="BG34" s="20" t="e">
        <f t="shared" si="7"/>
        <v>#NUM!</v>
      </c>
      <c r="BH34" s="59" t="e">
        <f t="shared" si="8"/>
        <v>#NUM!</v>
      </c>
      <c r="BI34" s="59">
        <f ca="1">AVERAGE(OFFSET($BH$3,0,0,'Données projet'!$E$11+1,1))-AVERAGE(OFFSET($H$3,0,0,'Données projet'!$E$11+1,1))</f>
        <v>68.944412338382023</v>
      </c>
      <c r="BJ34" s="59">
        <f t="shared" si="38"/>
        <v>281.00389700159246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26.792466090075834</v>
      </c>
      <c r="BQ34" s="21">
        <f>EXP(-LN(2)/25)*BQ33+(1-EXP(-LN(2)/25))/(LN(2)/25)*Calculateur!BL34*Calculateur!BN34*VLOOKUP('Données projet'!$B$11,Paramètres!$A$1:$I$89,3,0)*0.475*44/12</f>
        <v>10.504497534043926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37.296963624119762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>
        <f>BY34*VLOOKUP('Données projet'!$B$12,Paramètres!$A$1:$I$89,3,0)*VLOOKUP('Données projet'!$B$12,Paramètres!$A$1:$I$89,5,0)</f>
        <v>0</v>
      </c>
      <c r="CA34" s="13" t="e">
        <f t="shared" si="39"/>
        <v>#NUM!</v>
      </c>
      <c r="CB34" s="20" t="e">
        <f t="shared" si="10"/>
        <v>#NUM!</v>
      </c>
      <c r="CC34" s="59" t="e">
        <f t="shared" si="11"/>
        <v>#NUM!</v>
      </c>
      <c r="CD34" s="59">
        <f ca="1">AVERAGE(OFFSET($CC$3,0,0,'Données projet'!$E$12+1,1))-AVERAGE(OFFSET($H$3,0,0,'Données projet'!$E$12+1,1))</f>
        <v>120.26681323682763</v>
      </c>
      <c r="CE34" s="59">
        <f t="shared" si="40"/>
        <v>344.92933166159389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33.565683136329419</v>
      </c>
      <c r="CL34" s="21">
        <f>EXP(-LN(2)/25)*CL33+(1-EXP(-LN(2)/25))/(LN(2)/25)*Calculateur!CG34*Calculateur!CI34*VLOOKUP('Données projet'!$B$12,Paramètres!$A$1:$I$89,3,0)*0.475*44/12</f>
        <v>13.160066510811955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46.72574964714137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>
        <f>CT34*VLOOKUP('Données projet'!$B$13,Paramètres!$A$1:$I$89,3,0)*VLOOKUP('Données projet'!$B$13,Paramètres!$A$1:$I$89,5,0)</f>
        <v>0</v>
      </c>
      <c r="CV34" s="13" t="e">
        <f t="shared" si="41"/>
        <v>#NUM!</v>
      </c>
      <c r="CW34" s="20" t="e">
        <f t="shared" si="13"/>
        <v>#NUM!</v>
      </c>
      <c r="CX34" s="59" t="e">
        <f t="shared" si="14"/>
        <v>#NUM!</v>
      </c>
      <c r="CY34" s="59">
        <f ca="1">AVERAGE(OFFSET($CX$3,0,0,'Données projet'!$E$13+1,1))-AVERAGE(OFFSET($H$3,0,0,'Données projet'!$E$13+1,1))</f>
        <v>120.26681323682763</v>
      </c>
      <c r="CZ34" s="59">
        <f t="shared" si="42"/>
        <v>344.92933166159389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33.565683136329419</v>
      </c>
      <c r="DG34" s="21">
        <f>EXP(-LN(2)/25)*DG33+(1-EXP(-LN(2)/25))/(LN(2)/25)*Calculateur!DB34*Calculateur!DD34*VLOOKUP('Données projet'!$B$13,Paramètres!$A$1:$I$89,3,0)*0.475*44/12</f>
        <v>13.160066510811955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46.72574964714137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114.4650227251685</v>
      </c>
      <c r="T35" s="59">
        <f t="shared" si="34"/>
        <v>386.57315604590599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37.249439804031944</v>
      </c>
      <c r="AA35" s="21">
        <f>EXP(-LN(2)/25)*AA34+(1-EXP(-LN(2)/25))/(LN(2)/25)*Calculateur!V35*Calculateur!X35*VLOOKUP('Données projet'!$B$9,Paramètres!$A$1:$I$89,3,0)*0.475*44/12</f>
        <v>14.489119579184758</v>
      </c>
      <c r="AB35" s="21">
        <f>EXP(-LN(2)/2)*AB34+(1-EXP(-LN(2)/2))/(LN(2)/2)*V35*Y35*VLOOKUP('Données projet'!$B$9,Paramètres!$A$1:$I$89,3,0)*0.475*44/12</f>
        <v>0</v>
      </c>
      <c r="AC35" s="22">
        <f t="shared" si="3"/>
        <v>51.738559383216703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>
        <f>AI35*VLOOKUP('Données projet'!$B$10,Paramètres!$A$1:$I$89,3,0)*VLOOKUP('Données projet'!$B$10,Paramètres!$A$1:$I$89,5,0)</f>
        <v>0</v>
      </c>
      <c r="AK35" s="13" t="e">
        <f t="shared" si="35"/>
        <v>#NUM!</v>
      </c>
      <c r="AL35" s="20" t="e">
        <f t="shared" si="4"/>
        <v>#NUM!</v>
      </c>
      <c r="AM35" s="59" t="e">
        <f t="shared" si="5"/>
        <v>#NUM!</v>
      </c>
      <c r="AN35" s="59">
        <f ca="1">AVERAGE(OFFSET($AM$3,0,0,'Données projet'!$E$10+1,1))-AVERAGE(OFFSET($H$3,0,0,'Données projet'!$E$10+1,1))</f>
        <v>114.4650227251685</v>
      </c>
      <c r="AO35" s="59">
        <f t="shared" si="36"/>
        <v>386.57315604590599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37.249439804031944</v>
      </c>
      <c r="AV35" s="21">
        <f>EXP(-LN(2)/25)*AV34+(1-EXP(-LN(2)/25))/(LN(2)/25)*Calculateur!AQ35*Calculateur!AS35*VLOOKUP('Données projet'!$B$10,Paramètres!$A$1:$I$89,3,0)*0.475*44/12</f>
        <v>14.489119579184758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51.738559383216703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>
        <f>BD35*VLOOKUP('Données projet'!$B$11,Paramètres!$A$1:$I$89,3,0)*VLOOKUP('Données projet'!$B$11,Paramètres!$A$1:$I$89,5,0)</f>
        <v>0</v>
      </c>
      <c r="BF35" s="13" t="e">
        <f t="shared" si="37"/>
        <v>#NUM!</v>
      </c>
      <c r="BG35" s="20" t="e">
        <f t="shared" si="7"/>
        <v>#NUM!</v>
      </c>
      <c r="BH35" s="59" t="e">
        <f t="shared" si="8"/>
        <v>#NUM!</v>
      </c>
      <c r="BI35" s="59">
        <f ca="1">AVERAGE(OFFSET($BH$3,0,0,'Données projet'!$E$11+1,1))-AVERAGE(OFFSET($H$3,0,0,'Données projet'!$E$11+1,1))</f>
        <v>68.944412338382023</v>
      </c>
      <c r="BJ35" s="59">
        <f t="shared" si="38"/>
        <v>281.00389700159246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26.267082171840144</v>
      </c>
      <c r="BQ35" s="21">
        <f>EXP(-LN(2)/25)*BQ34+(1-EXP(-LN(2)/25))/(LN(2)/25)*Calculateur!BL35*Calculateur!BN35*VLOOKUP('Données projet'!$B$11,Paramètres!$A$1:$I$89,3,0)*0.475*44/12</f>
        <v>10.217251496567979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36.484333668408127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>
        <f>BY35*VLOOKUP('Données projet'!$B$12,Paramètres!$A$1:$I$89,3,0)*VLOOKUP('Données projet'!$B$12,Paramètres!$A$1:$I$89,5,0)</f>
        <v>0</v>
      </c>
      <c r="CA35" s="13" t="e">
        <f t="shared" si="39"/>
        <v>#NUM!</v>
      </c>
      <c r="CB35" s="20" t="e">
        <f t="shared" si="10"/>
        <v>#NUM!</v>
      </c>
      <c r="CC35" s="59" t="e">
        <f t="shared" si="11"/>
        <v>#NUM!</v>
      </c>
      <c r="CD35" s="59">
        <f ca="1">AVERAGE(OFFSET($CC$3,0,0,'Données projet'!$E$12+1,1))-AVERAGE(OFFSET($H$3,0,0,'Données projet'!$E$12+1,1))</f>
        <v>120.26681323682763</v>
      </c>
      <c r="CE35" s="59">
        <f t="shared" si="40"/>
        <v>344.92933166159389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32.907480563071168</v>
      </c>
      <c r="CL35" s="21">
        <f>EXP(-LN(2)/25)*CL34+(1-EXP(-LN(2)/25))/(LN(2)/25)*Calculateur!CG35*Calculateur!CI35*VLOOKUP('Données projet'!$B$12,Paramètres!$A$1:$I$89,3,0)*0.475*44/12</f>
        <v>12.800203800015982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45.707684363087154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>
        <f>CT35*VLOOKUP('Données projet'!$B$13,Paramètres!$A$1:$I$89,3,0)*VLOOKUP('Données projet'!$B$13,Paramètres!$A$1:$I$89,5,0)</f>
        <v>0</v>
      </c>
      <c r="CV35" s="13" t="e">
        <f t="shared" si="41"/>
        <v>#NUM!</v>
      </c>
      <c r="CW35" s="20" t="e">
        <f t="shared" si="13"/>
        <v>#NUM!</v>
      </c>
      <c r="CX35" s="59" t="e">
        <f t="shared" si="14"/>
        <v>#NUM!</v>
      </c>
      <c r="CY35" s="59">
        <f ca="1">AVERAGE(OFFSET($CX$3,0,0,'Données projet'!$E$13+1,1))-AVERAGE(OFFSET($H$3,0,0,'Données projet'!$E$13+1,1))</f>
        <v>120.26681323682763</v>
      </c>
      <c r="CZ35" s="59">
        <f t="shared" si="42"/>
        <v>344.92933166159389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32.907480563071168</v>
      </c>
      <c r="DG35" s="21">
        <f>EXP(-LN(2)/25)*DG34+(1-EXP(-LN(2)/25))/(LN(2)/25)*Calculateur!DB35*Calculateur!DD35*VLOOKUP('Données projet'!$B$13,Paramètres!$A$1:$I$89,3,0)*0.475*44/12</f>
        <v>12.800203800015982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45.707684363087154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114.4650227251685</v>
      </c>
      <c r="T36" s="59">
        <f t="shared" si="34"/>
        <v>386.57315604590599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36.519001009389754</v>
      </c>
      <c r="AA36" s="21">
        <f>EXP(-LN(2)/25)*AA35+(1-EXP(-LN(2)/25))/(LN(2)/25)*Calculateur!V36*Calculateur!X36*VLOOKUP('Données projet'!$B$9,Paramètres!$A$1:$I$89,3,0)*0.475*44/12</f>
        <v>14.092913842342266</v>
      </c>
      <c r="AB36" s="21">
        <f>EXP(-LN(2)/2)*AB35+(1-EXP(-LN(2)/2))/(LN(2)/2)*V36*Y36*VLOOKUP('Données projet'!$B$9,Paramètres!$A$1:$I$89,3,0)*0.475*44/12</f>
        <v>0</v>
      </c>
      <c r="AC36" s="22">
        <f t="shared" si="3"/>
        <v>50.611914851732024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>
        <f>AI36*VLOOKUP('Données projet'!$B$10,Paramètres!$A$1:$I$89,3,0)*VLOOKUP('Données projet'!$B$10,Paramètres!$A$1:$I$89,5,0)</f>
        <v>0</v>
      </c>
      <c r="AK36" s="13" t="e">
        <f t="shared" si="35"/>
        <v>#NUM!</v>
      </c>
      <c r="AL36" s="20" t="e">
        <f t="shared" si="4"/>
        <v>#NUM!</v>
      </c>
      <c r="AM36" s="59" t="e">
        <f t="shared" si="5"/>
        <v>#NUM!</v>
      </c>
      <c r="AN36" s="59">
        <f ca="1">AVERAGE(OFFSET($AM$3,0,0,'Données projet'!$E$10+1,1))-AVERAGE(OFFSET($H$3,0,0,'Données projet'!$E$10+1,1))</f>
        <v>114.4650227251685</v>
      </c>
      <c r="AO36" s="59">
        <f t="shared" si="36"/>
        <v>386.57315604590599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36.519001009389754</v>
      </c>
      <c r="AV36" s="21">
        <f>EXP(-LN(2)/25)*AV35+(1-EXP(-LN(2)/25))/(LN(2)/25)*Calculateur!AQ36*Calculateur!AS36*VLOOKUP('Données projet'!$B$10,Paramètres!$A$1:$I$89,3,0)*0.475*44/12</f>
        <v>14.092913842342266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50.611914851732024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>
        <f>BD36*VLOOKUP('Données projet'!$B$11,Paramètres!$A$1:$I$89,3,0)*VLOOKUP('Données projet'!$B$11,Paramètres!$A$1:$I$89,5,0)</f>
        <v>0</v>
      </c>
      <c r="BF36" s="13" t="e">
        <f t="shared" si="37"/>
        <v>#NUM!</v>
      </c>
      <c r="BG36" s="20" t="e">
        <f t="shared" si="7"/>
        <v>#NUM!</v>
      </c>
      <c r="BH36" s="59" t="e">
        <f t="shared" si="8"/>
        <v>#NUM!</v>
      </c>
      <c r="BI36" s="59">
        <f ca="1">AVERAGE(OFFSET($BH$3,0,0,'Données projet'!$E$11+1,1))-AVERAGE(OFFSET($H$3,0,0,'Données projet'!$E$11+1,1))</f>
        <v>68.944412338382023</v>
      </c>
      <c r="BJ36" s="59">
        <f t="shared" si="38"/>
        <v>281.00389700159246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25.752000711788508</v>
      </c>
      <c r="BQ36" s="21">
        <f>EXP(-LN(2)/25)*BQ35+(1-EXP(-LN(2)/25))/(LN(2)/25)*Calculateur!BL36*Calculateur!BN36*VLOOKUP('Données projet'!$B$11,Paramètres!$A$1:$I$89,3,0)*0.475*44/12</f>
        <v>9.9378602170924228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35.689860928880933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>
        <f>BY36*VLOOKUP('Données projet'!$B$12,Paramètres!$A$1:$I$89,3,0)*VLOOKUP('Données projet'!$B$12,Paramètres!$A$1:$I$89,5,0)</f>
        <v>0</v>
      </c>
      <c r="CA36" s="13" t="e">
        <f t="shared" si="39"/>
        <v>#NUM!</v>
      </c>
      <c r="CB36" s="20" t="e">
        <f t="shared" si="10"/>
        <v>#NUM!</v>
      </c>
      <c r="CC36" s="59" t="e">
        <f t="shared" si="11"/>
        <v>#NUM!</v>
      </c>
      <c r="CD36" s="59">
        <f ca="1">AVERAGE(OFFSET($CC$3,0,0,'Données projet'!$E$12+1,1))-AVERAGE(OFFSET($H$3,0,0,'Données projet'!$E$12+1,1))</f>
        <v>120.26681323682763</v>
      </c>
      <c r="CE36" s="59">
        <f t="shared" si="40"/>
        <v>344.92933166159389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32.262184940810585</v>
      </c>
      <c r="CL36" s="21">
        <f>EXP(-LN(2)/25)*CL35+(1-EXP(-LN(2)/25))/(LN(2)/25)*Calculateur!CG36*Calculateur!CI36*VLOOKUP('Données projet'!$B$12,Paramètres!$A$1:$I$89,3,0)*0.475*44/12</f>
        <v>12.450181553971083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44.712366494781669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>
        <f>CT36*VLOOKUP('Données projet'!$B$13,Paramètres!$A$1:$I$89,3,0)*VLOOKUP('Données projet'!$B$13,Paramètres!$A$1:$I$89,5,0)</f>
        <v>0</v>
      </c>
      <c r="CV36" s="13" t="e">
        <f t="shared" si="41"/>
        <v>#NUM!</v>
      </c>
      <c r="CW36" s="20" t="e">
        <f t="shared" si="13"/>
        <v>#NUM!</v>
      </c>
      <c r="CX36" s="59" t="e">
        <f t="shared" si="14"/>
        <v>#NUM!</v>
      </c>
      <c r="CY36" s="59">
        <f ca="1">AVERAGE(OFFSET($CX$3,0,0,'Données projet'!$E$13+1,1))-AVERAGE(OFFSET($H$3,0,0,'Données projet'!$E$13+1,1))</f>
        <v>120.26681323682763</v>
      </c>
      <c r="CZ36" s="59">
        <f t="shared" si="42"/>
        <v>344.92933166159389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32.262184940810585</v>
      </c>
      <c r="DG36" s="21">
        <f>EXP(-LN(2)/25)*DG35+(1-EXP(-LN(2)/25))/(LN(2)/25)*Calculateur!DB36*Calculateur!DD36*VLOOKUP('Données projet'!$B$13,Paramètres!$A$1:$I$89,3,0)*0.475*44/12</f>
        <v>12.450181553971083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44.712366494781669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114.4650227251685</v>
      </c>
      <c r="T37" s="59">
        <f t="shared" si="34"/>
        <v>386.57315604590599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35.802885673986822</v>
      </c>
      <c r="AA37" s="21">
        <f>EXP(-LN(2)/25)*AA36+(1-EXP(-LN(2)/25))/(LN(2)/25)*Calculateur!V37*Calculateur!X37*VLOOKUP('Données projet'!$B$9,Paramètres!$A$1:$I$89,3,0)*0.475*44/12</f>
        <v>13.707542372209288</v>
      </c>
      <c r="AB37" s="21">
        <f>EXP(-LN(2)/2)*AB36+(1-EXP(-LN(2)/2))/(LN(2)/2)*V37*Y37*VLOOKUP('Données projet'!$B$9,Paramètres!$A$1:$I$89,3,0)*0.475*44/12</f>
        <v>0</v>
      </c>
      <c r="AC37" s="22">
        <f t="shared" si="3"/>
        <v>49.510428046196111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>
        <f>AI37*VLOOKUP('Données projet'!$B$10,Paramètres!$A$1:$I$89,3,0)*VLOOKUP('Données projet'!$B$10,Paramètres!$A$1:$I$89,5,0)</f>
        <v>0</v>
      </c>
      <c r="AK37" s="13" t="e">
        <f t="shared" si="35"/>
        <v>#NUM!</v>
      </c>
      <c r="AL37" s="20" t="e">
        <f t="shared" si="4"/>
        <v>#NUM!</v>
      </c>
      <c r="AM37" s="59" t="e">
        <f t="shared" si="5"/>
        <v>#NUM!</v>
      </c>
      <c r="AN37" s="59">
        <f ca="1">AVERAGE(OFFSET($AM$3,0,0,'Données projet'!$E$10+1,1))-AVERAGE(OFFSET($H$3,0,0,'Données projet'!$E$10+1,1))</f>
        <v>114.4650227251685</v>
      </c>
      <c r="AO37" s="59">
        <f t="shared" si="36"/>
        <v>386.57315604590599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35.802885673986822</v>
      </c>
      <c r="AV37" s="21">
        <f>EXP(-LN(2)/25)*AV36+(1-EXP(-LN(2)/25))/(LN(2)/25)*Calculateur!AQ37*Calculateur!AS37*VLOOKUP('Données projet'!$B$10,Paramètres!$A$1:$I$89,3,0)*0.475*44/12</f>
        <v>13.707542372209288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49.510428046196111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>
        <f>BD37*VLOOKUP('Données projet'!$B$11,Paramètres!$A$1:$I$89,3,0)*VLOOKUP('Données projet'!$B$11,Paramètres!$A$1:$I$89,5,0)</f>
        <v>0</v>
      </c>
      <c r="BF37" s="13" t="e">
        <f t="shared" si="37"/>
        <v>#NUM!</v>
      </c>
      <c r="BG37" s="20" t="e">
        <f t="shared" si="7"/>
        <v>#NUM!</v>
      </c>
      <c r="BH37" s="59" t="e">
        <f t="shared" si="8"/>
        <v>#NUM!</v>
      </c>
      <c r="BI37" s="59">
        <f ca="1">AVERAGE(OFFSET($BH$3,0,0,'Données projet'!$E$11+1,1))-AVERAGE(OFFSET($H$3,0,0,'Données projet'!$E$11+1,1))</f>
        <v>68.944412338382023</v>
      </c>
      <c r="BJ37" s="59">
        <f t="shared" si="38"/>
        <v>281.00389700159246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25.247019684999817</v>
      </c>
      <c r="BQ37" s="21">
        <f>EXP(-LN(2)/25)*BQ36+(1-EXP(-LN(2)/25))/(LN(2)/25)*Calculateur!BL37*Calculateur!BN37*VLOOKUP('Données projet'!$B$11,Paramètres!$A$1:$I$89,3,0)*0.475*44/12</f>
        <v>9.6661089068466755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34.913128591846494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>
        <f>BY37*VLOOKUP('Données projet'!$B$12,Paramètres!$A$1:$I$89,3,0)*VLOOKUP('Données projet'!$B$12,Paramètres!$A$1:$I$89,5,0)</f>
        <v>0</v>
      </c>
      <c r="CA37" s="13" t="e">
        <f t="shared" si="39"/>
        <v>#NUM!</v>
      </c>
      <c r="CB37" s="20" t="e">
        <f t="shared" si="10"/>
        <v>#NUM!</v>
      </c>
      <c r="CC37" s="59" t="e">
        <f t="shared" si="11"/>
        <v>#NUM!</v>
      </c>
      <c r="CD37" s="59">
        <f ca="1">AVERAGE(OFFSET($CC$3,0,0,'Données projet'!$E$12+1,1))-AVERAGE(OFFSET($H$3,0,0,'Données projet'!$E$12+1,1))</f>
        <v>120.26681323682763</v>
      </c>
      <c r="CE37" s="59">
        <f t="shared" si="40"/>
        <v>344.92933166159389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31.629543172111063</v>
      </c>
      <c r="CL37" s="21">
        <f>EXP(-LN(2)/25)*CL36+(1-EXP(-LN(2)/25))/(LN(2)/25)*Calculateur!CG37*Calculateur!CI37*VLOOKUP('Données projet'!$B$12,Paramètres!$A$1:$I$89,3,0)*0.475*44/12</f>
        <v>12.109730684651151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43.73927385676221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>
        <f>CT37*VLOOKUP('Données projet'!$B$13,Paramètres!$A$1:$I$89,3,0)*VLOOKUP('Données projet'!$B$13,Paramètres!$A$1:$I$89,5,0)</f>
        <v>0</v>
      </c>
      <c r="CV37" s="13" t="e">
        <f t="shared" si="41"/>
        <v>#NUM!</v>
      </c>
      <c r="CW37" s="20" t="e">
        <f t="shared" si="13"/>
        <v>#NUM!</v>
      </c>
      <c r="CX37" s="59" t="e">
        <f t="shared" si="14"/>
        <v>#NUM!</v>
      </c>
      <c r="CY37" s="59">
        <f ca="1">AVERAGE(OFFSET($CX$3,0,0,'Données projet'!$E$13+1,1))-AVERAGE(OFFSET($H$3,0,0,'Données projet'!$E$13+1,1))</f>
        <v>120.26681323682763</v>
      </c>
      <c r="CZ37" s="59">
        <f t="shared" si="42"/>
        <v>344.92933166159389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31.629543172111063</v>
      </c>
      <c r="DG37" s="21">
        <f>EXP(-LN(2)/25)*DG36+(1-EXP(-LN(2)/25))/(LN(2)/25)*Calculateur!DB37*Calculateur!DD37*VLOOKUP('Données projet'!$B$13,Paramètres!$A$1:$I$89,3,0)*0.475*44/12</f>
        <v>12.109730684651151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43.73927385676221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114.4650227251685</v>
      </c>
      <c r="T38" s="59">
        <f t="shared" si="34"/>
        <v>386.57315604590599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35.100812923523918</v>
      </c>
      <c r="AA38" s="21">
        <f>EXP(-LN(2)/25)*AA37+(1-EXP(-LN(2)/25))/(LN(2)/25)*Calculateur!V38*Calculateur!X38*VLOOKUP('Données projet'!$B$9,Paramètres!$A$1:$I$89,3,0)*0.475*44/12</f>
        <v>13.3327089051929</v>
      </c>
      <c r="AB38" s="21">
        <f>EXP(-LN(2)/2)*AB37+(1-EXP(-LN(2)/2))/(LN(2)/2)*V38*Y38*VLOOKUP('Données projet'!$B$9,Paramètres!$A$1:$I$89,3,0)*0.475*44/12</f>
        <v>0</v>
      </c>
      <c r="AC38" s="22">
        <f t="shared" si="3"/>
        <v>48.43352182871682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>
        <f>AI38*VLOOKUP('Données projet'!$B$10,Paramètres!$A$1:$I$89,3,0)*VLOOKUP('Données projet'!$B$10,Paramètres!$A$1:$I$89,5,0)</f>
        <v>0</v>
      </c>
      <c r="AK38" s="13" t="e">
        <f t="shared" si="35"/>
        <v>#NUM!</v>
      </c>
      <c r="AL38" s="20" t="e">
        <f t="shared" si="4"/>
        <v>#NUM!</v>
      </c>
      <c r="AM38" s="59" t="e">
        <f t="shared" si="5"/>
        <v>#NUM!</v>
      </c>
      <c r="AN38" s="59">
        <f ca="1">AVERAGE(OFFSET($AM$3,0,0,'Données projet'!$E$10+1,1))-AVERAGE(OFFSET($H$3,0,0,'Données projet'!$E$10+1,1))</f>
        <v>114.4650227251685</v>
      </c>
      <c r="AO38" s="59">
        <f t="shared" si="36"/>
        <v>386.57315604590599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35.100812923523918</v>
      </c>
      <c r="AV38" s="21">
        <f>EXP(-LN(2)/25)*AV37+(1-EXP(-LN(2)/25))/(LN(2)/25)*Calculateur!AQ38*Calculateur!AS38*VLOOKUP('Données projet'!$B$10,Paramètres!$A$1:$I$89,3,0)*0.475*44/12</f>
        <v>13.3327089051929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48.43352182871682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>
        <f>BD38*VLOOKUP('Données projet'!$B$11,Paramètres!$A$1:$I$89,3,0)*VLOOKUP('Données projet'!$B$11,Paramètres!$A$1:$I$89,5,0)</f>
        <v>0</v>
      </c>
      <c r="BF38" s="13" t="e">
        <f t="shared" si="37"/>
        <v>#NUM!</v>
      </c>
      <c r="BG38" s="20" t="e">
        <f t="shared" si="7"/>
        <v>#NUM!</v>
      </c>
      <c r="BH38" s="59" t="e">
        <f t="shared" si="8"/>
        <v>#NUM!</v>
      </c>
      <c r="BI38" s="59">
        <f ca="1">AVERAGE(OFFSET($BH$3,0,0,'Données projet'!$E$11+1,1))-AVERAGE(OFFSET($H$3,0,0,'Données projet'!$E$11+1,1))</f>
        <v>68.944412338382023</v>
      </c>
      <c r="BJ38" s="59">
        <f t="shared" si="38"/>
        <v>281.00389700159246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24.751941028138436</v>
      </c>
      <c r="BQ38" s="21">
        <f>EXP(-LN(2)/25)*BQ37+(1-EXP(-LN(2)/25))/(LN(2)/25)*Calculateur!BL38*Calculateur!BN38*VLOOKUP('Données projet'!$B$11,Paramètres!$A$1:$I$89,3,0)*0.475*44/12</f>
        <v>9.4017886504703778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34.153729678608812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>
        <f>BY38*VLOOKUP('Données projet'!$B$12,Paramètres!$A$1:$I$89,3,0)*VLOOKUP('Données projet'!$B$12,Paramètres!$A$1:$I$89,5,0)</f>
        <v>0</v>
      </c>
      <c r="CA38" s="13" t="e">
        <f t="shared" si="39"/>
        <v>#NUM!</v>
      </c>
      <c r="CB38" s="20" t="e">
        <f t="shared" si="10"/>
        <v>#NUM!</v>
      </c>
      <c r="CC38" s="59" t="e">
        <f t="shared" si="11"/>
        <v>#NUM!</v>
      </c>
      <c r="CD38" s="59">
        <f ca="1">AVERAGE(OFFSET($CC$3,0,0,'Données projet'!$E$12+1,1))-AVERAGE(OFFSET($H$3,0,0,'Données projet'!$E$12+1,1))</f>
        <v>120.26681323682763</v>
      </c>
      <c r="CE38" s="59">
        <f t="shared" si="40"/>
        <v>344.92933166159389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31.009307122622364</v>
      </c>
      <c r="CL38" s="21">
        <f>EXP(-LN(2)/25)*CL37+(1-EXP(-LN(2)/25))/(LN(2)/25)*Calculateur!CG38*Calculateur!CI38*VLOOKUP('Données projet'!$B$12,Paramètres!$A$1:$I$89,3,0)*0.475*44/12</f>
        <v>11.778589462256306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42.787896584878666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>
        <f>CT38*VLOOKUP('Données projet'!$B$13,Paramètres!$A$1:$I$89,3,0)*VLOOKUP('Données projet'!$B$13,Paramètres!$A$1:$I$89,5,0)</f>
        <v>0</v>
      </c>
      <c r="CV38" s="13" t="e">
        <f t="shared" si="41"/>
        <v>#NUM!</v>
      </c>
      <c r="CW38" s="20" t="e">
        <f t="shared" si="13"/>
        <v>#NUM!</v>
      </c>
      <c r="CX38" s="59" t="e">
        <f t="shared" si="14"/>
        <v>#NUM!</v>
      </c>
      <c r="CY38" s="59">
        <f ca="1">AVERAGE(OFFSET($CX$3,0,0,'Données projet'!$E$13+1,1))-AVERAGE(OFFSET($H$3,0,0,'Données projet'!$E$13+1,1))</f>
        <v>120.26681323682763</v>
      </c>
      <c r="CZ38" s="59">
        <f t="shared" si="42"/>
        <v>344.92933166159389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31.009307122622364</v>
      </c>
      <c r="DG38" s="21">
        <f>EXP(-LN(2)/25)*DG37+(1-EXP(-LN(2)/25))/(LN(2)/25)*Calculateur!DB38*Calculateur!DD38*VLOOKUP('Données projet'!$B$13,Paramètres!$A$1:$I$89,3,0)*0.475*44/12</f>
        <v>11.778589462256306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42.787896584878666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114.4650227251685</v>
      </c>
      <c r="T39" s="59">
        <f t="shared" si="34"/>
        <v>386.57315604590599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34.412507391475494</v>
      </c>
      <c r="AA39" s="21">
        <f>EXP(-LN(2)/25)*AA38+(1-EXP(-LN(2)/25))/(LN(2)/25)*Calculateur!V39*Calculateur!X39*VLOOKUP('Données projet'!$B$9,Paramètres!$A$1:$I$89,3,0)*0.475*44/12</f>
        <v>12.968125279043711</v>
      </c>
      <c r="AB39" s="21">
        <f>EXP(-LN(2)/2)*AB38+(1-EXP(-LN(2)/2))/(LN(2)/2)*V39*Y39*VLOOKUP('Données projet'!$B$9,Paramètres!$A$1:$I$89,3,0)*0.475*44/12</f>
        <v>0</v>
      </c>
      <c r="AC39" s="22">
        <f t="shared" si="3"/>
        <v>47.380632670519205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>
        <f>AI39*VLOOKUP('Données projet'!$B$10,Paramètres!$A$1:$I$89,3,0)*VLOOKUP('Données projet'!$B$10,Paramètres!$A$1:$I$89,5,0)</f>
        <v>0</v>
      </c>
      <c r="AK39" s="13" t="e">
        <f t="shared" si="35"/>
        <v>#NUM!</v>
      </c>
      <c r="AL39" s="20" t="e">
        <f t="shared" si="4"/>
        <v>#NUM!</v>
      </c>
      <c r="AM39" s="59" t="e">
        <f t="shared" si="5"/>
        <v>#NUM!</v>
      </c>
      <c r="AN39" s="59">
        <f ca="1">AVERAGE(OFFSET($AM$3,0,0,'Données projet'!$E$10+1,1))-AVERAGE(OFFSET($H$3,0,0,'Données projet'!$E$10+1,1))</f>
        <v>114.4650227251685</v>
      </c>
      <c r="AO39" s="59">
        <f t="shared" si="36"/>
        <v>386.57315604590599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34.412507391475494</v>
      </c>
      <c r="AV39" s="21">
        <f>EXP(-LN(2)/25)*AV38+(1-EXP(-LN(2)/25))/(LN(2)/25)*Calculateur!AQ39*Calculateur!AS39*VLOOKUP('Données projet'!$B$10,Paramètres!$A$1:$I$89,3,0)*0.475*44/12</f>
        <v>12.968125279043711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47.380632670519205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>
        <f>BD39*VLOOKUP('Données projet'!$B$11,Paramètres!$A$1:$I$89,3,0)*VLOOKUP('Données projet'!$B$11,Paramètres!$A$1:$I$89,5,0)</f>
        <v>0</v>
      </c>
      <c r="BF39" s="13" t="e">
        <f t="shared" si="37"/>
        <v>#NUM!</v>
      </c>
      <c r="BG39" s="20" t="e">
        <f t="shared" si="7"/>
        <v>#NUM!</v>
      </c>
      <c r="BH39" s="59" t="e">
        <f t="shared" si="8"/>
        <v>#NUM!</v>
      </c>
      <c r="BI39" s="59">
        <f ca="1">AVERAGE(OFFSET($BH$3,0,0,'Données projet'!$E$11+1,1))-AVERAGE(OFFSET($H$3,0,0,'Données projet'!$E$11+1,1))</f>
        <v>68.944412338382023</v>
      </c>
      <c r="BJ39" s="59">
        <f t="shared" si="38"/>
        <v>281.00389700159246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24.266570561769946</v>
      </c>
      <c r="BQ39" s="21">
        <f>EXP(-LN(2)/25)*BQ38+(1-EXP(-LN(2)/25))/(LN(2)/25)*Calculateur!BL39*Calculateur!BN39*VLOOKUP('Données projet'!$B$11,Paramètres!$A$1:$I$89,3,0)*0.475*44/12</f>
        <v>9.1446962454046883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33.411266807174634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>
        <f>BY39*VLOOKUP('Données projet'!$B$12,Paramètres!$A$1:$I$89,3,0)*VLOOKUP('Données projet'!$B$12,Paramètres!$A$1:$I$89,5,0)</f>
        <v>0</v>
      </c>
      <c r="CA39" s="13" t="e">
        <f t="shared" si="39"/>
        <v>#NUM!</v>
      </c>
      <c r="CB39" s="20" t="e">
        <f t="shared" si="10"/>
        <v>#NUM!</v>
      </c>
      <c r="CC39" s="59" t="e">
        <f t="shared" si="11"/>
        <v>#NUM!</v>
      </c>
      <c r="CD39" s="59">
        <f ca="1">AVERAGE(OFFSET($CC$3,0,0,'Données projet'!$E$12+1,1))-AVERAGE(OFFSET($H$3,0,0,'Données projet'!$E$12+1,1))</f>
        <v>120.26681323682763</v>
      </c>
      <c r="CE39" s="59">
        <f t="shared" si="40"/>
        <v>344.92933166159389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30.401233523757501</v>
      </c>
      <c r="CL39" s="21">
        <f>EXP(-LN(2)/25)*CL38+(1-EXP(-LN(2)/25))/(LN(2)/25)*Calculateur!CG39*Calculateur!CI39*VLOOKUP('Données projet'!$B$12,Paramètres!$A$1:$I$89,3,0)*0.475*44/12</f>
        <v>11.456503314001807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41.857736837759305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>
        <f>CT39*VLOOKUP('Données projet'!$B$13,Paramètres!$A$1:$I$89,3,0)*VLOOKUP('Données projet'!$B$13,Paramètres!$A$1:$I$89,5,0)</f>
        <v>0</v>
      </c>
      <c r="CV39" s="13" t="e">
        <f t="shared" si="41"/>
        <v>#NUM!</v>
      </c>
      <c r="CW39" s="20" t="e">
        <f t="shared" si="13"/>
        <v>#NUM!</v>
      </c>
      <c r="CX39" s="59" t="e">
        <f t="shared" si="14"/>
        <v>#NUM!</v>
      </c>
      <c r="CY39" s="59">
        <f ca="1">AVERAGE(OFFSET($CX$3,0,0,'Données projet'!$E$13+1,1))-AVERAGE(OFFSET($H$3,0,0,'Données projet'!$E$13+1,1))</f>
        <v>120.26681323682763</v>
      </c>
      <c r="CZ39" s="59">
        <f t="shared" si="42"/>
        <v>344.92933166159389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30.401233523757501</v>
      </c>
      <c r="DG39" s="21">
        <f>EXP(-LN(2)/25)*DG38+(1-EXP(-LN(2)/25))/(LN(2)/25)*Calculateur!DB39*Calculateur!DD39*VLOOKUP('Données projet'!$B$13,Paramètres!$A$1:$I$89,3,0)*0.475*44/12</f>
        <v>11.456503314001807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41.857736837759305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114.4650227251685</v>
      </c>
      <c r="T40" s="59">
        <f t="shared" si="34"/>
        <v>386.57315604590599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33.737699111085618</v>
      </c>
      <c r="AA40" s="21">
        <f>EXP(-LN(2)/25)*AA39+(1-EXP(-LN(2)/25))/(LN(2)/25)*Calculateur!V40*Calculateur!X40*VLOOKUP('Données projet'!$B$9,Paramètres!$A$1:$I$89,3,0)*0.475*44/12</f>
        <v>12.613511211324191</v>
      </c>
      <c r="AB40" s="21">
        <f>EXP(-LN(2)/2)*AB39+(1-EXP(-LN(2)/2))/(LN(2)/2)*V40*Y40*VLOOKUP('Données projet'!$B$9,Paramètres!$A$1:$I$89,3,0)*0.475*44/12</f>
        <v>0</v>
      </c>
      <c r="AC40" s="22">
        <f t="shared" si="3"/>
        <v>46.351210322409813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>
        <f>AI40*VLOOKUP('Données projet'!$B$10,Paramètres!$A$1:$I$89,3,0)*VLOOKUP('Données projet'!$B$10,Paramètres!$A$1:$I$89,5,0)</f>
        <v>0</v>
      </c>
      <c r="AK40" s="13" t="e">
        <f t="shared" si="35"/>
        <v>#NUM!</v>
      </c>
      <c r="AL40" s="20" t="e">
        <f t="shared" si="4"/>
        <v>#NUM!</v>
      </c>
      <c r="AM40" s="59" t="e">
        <f t="shared" si="5"/>
        <v>#NUM!</v>
      </c>
      <c r="AN40" s="59">
        <f ca="1">AVERAGE(OFFSET($AM$3,0,0,'Données projet'!$E$10+1,1))-AVERAGE(OFFSET($H$3,0,0,'Données projet'!$E$10+1,1))</f>
        <v>114.4650227251685</v>
      </c>
      <c r="AO40" s="59">
        <f t="shared" si="36"/>
        <v>386.57315604590599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33.737699111085618</v>
      </c>
      <c r="AV40" s="21">
        <f>EXP(-LN(2)/25)*AV39+(1-EXP(-LN(2)/25))/(LN(2)/25)*Calculateur!AQ40*Calculateur!AS40*VLOOKUP('Données projet'!$B$10,Paramètres!$A$1:$I$89,3,0)*0.475*44/12</f>
        <v>12.613511211324191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46.351210322409813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>
        <f>BD40*VLOOKUP('Données projet'!$B$11,Paramètres!$A$1:$I$89,3,0)*VLOOKUP('Données projet'!$B$11,Paramètres!$A$1:$I$89,5,0)</f>
        <v>0</v>
      </c>
      <c r="BF40" s="13" t="e">
        <f t="shared" si="37"/>
        <v>#NUM!</v>
      </c>
      <c r="BG40" s="20" t="e">
        <f t="shared" si="7"/>
        <v>#NUM!</v>
      </c>
      <c r="BH40" s="59" t="e">
        <f t="shared" si="8"/>
        <v>#NUM!</v>
      </c>
      <c r="BI40" s="59">
        <f ca="1">AVERAGE(OFFSET($BH$3,0,0,'Données projet'!$E$11+1,1))-AVERAGE(OFFSET($H$3,0,0,'Données projet'!$E$11+1,1))</f>
        <v>68.944412338382023</v>
      </c>
      <c r="BJ40" s="59">
        <f t="shared" si="38"/>
        <v>281.00389700159246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23.790717914200187</v>
      </c>
      <c r="BQ40" s="21">
        <f>EXP(-LN(2)/25)*BQ39+(1-EXP(-LN(2)/25))/(LN(2)/25)*Calculateur!BL40*Calculateur!BN40*VLOOKUP('Données projet'!$B$11,Paramètres!$A$1:$I$89,3,0)*0.475*44/12</f>
        <v>8.8946340456754225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32.685351959875611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>
        <f>BY40*VLOOKUP('Données projet'!$B$12,Paramètres!$A$1:$I$89,3,0)*VLOOKUP('Données projet'!$B$12,Paramètres!$A$1:$I$89,5,0)</f>
        <v>0</v>
      </c>
      <c r="CA40" s="13" t="e">
        <f t="shared" si="39"/>
        <v>#NUM!</v>
      </c>
      <c r="CB40" s="20" t="e">
        <f t="shared" si="10"/>
        <v>#NUM!</v>
      </c>
      <c r="CC40" s="59" t="e">
        <f t="shared" si="11"/>
        <v>#NUM!</v>
      </c>
      <c r="CD40" s="59">
        <f ca="1">AVERAGE(OFFSET($CC$3,0,0,'Données projet'!$E$12+1,1))-AVERAGE(OFFSET($H$3,0,0,'Données projet'!$E$12+1,1))</f>
        <v>120.26681323682763</v>
      </c>
      <c r="CE40" s="59">
        <f t="shared" si="40"/>
        <v>344.92933166159389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29.805083877278104</v>
      </c>
      <c r="CL40" s="21">
        <f>EXP(-LN(2)/25)*CL39+(1-EXP(-LN(2)/25))/(LN(2)/25)*Calculateur!CG40*Calculateur!CI40*VLOOKUP('Données projet'!$B$12,Paramètres!$A$1:$I$89,3,0)*0.475*44/12</f>
        <v>11.143224628409103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40.948308505687208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>
        <f>CT40*VLOOKUP('Données projet'!$B$13,Paramètres!$A$1:$I$89,3,0)*VLOOKUP('Données projet'!$B$13,Paramètres!$A$1:$I$89,5,0)</f>
        <v>0</v>
      </c>
      <c r="CV40" s="13" t="e">
        <f t="shared" si="41"/>
        <v>#NUM!</v>
      </c>
      <c r="CW40" s="20" t="e">
        <f t="shared" si="13"/>
        <v>#NUM!</v>
      </c>
      <c r="CX40" s="59" t="e">
        <f t="shared" si="14"/>
        <v>#NUM!</v>
      </c>
      <c r="CY40" s="59">
        <f ca="1">AVERAGE(OFFSET($CX$3,0,0,'Données projet'!$E$13+1,1))-AVERAGE(OFFSET($H$3,0,0,'Données projet'!$E$13+1,1))</f>
        <v>120.26681323682763</v>
      </c>
      <c r="CZ40" s="59">
        <f t="shared" si="42"/>
        <v>344.92933166159389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29.805083877278104</v>
      </c>
      <c r="DG40" s="21">
        <f>EXP(-LN(2)/25)*DG39+(1-EXP(-LN(2)/25))/(LN(2)/25)*Calculateur!DB40*Calculateur!DD40*VLOOKUP('Données projet'!$B$13,Paramètres!$A$1:$I$89,3,0)*0.475*44/12</f>
        <v>11.143224628409103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40.948308505687208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114.4650227251685</v>
      </c>
      <c r="T41" s="59">
        <f t="shared" si="34"/>
        <v>386.57315604590599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33.076123409481781</v>
      </c>
      <c r="AA41" s="21">
        <f>EXP(-LN(2)/25)*AA40+(1-EXP(-LN(2)/25))/(LN(2)/25)*Calculateur!V41*Calculateur!X41*VLOOKUP('Données projet'!$B$9,Paramètres!$A$1:$I$89,3,0)*0.475*44/12</f>
        <v>12.268594083934804</v>
      </c>
      <c r="AB41" s="21">
        <f>EXP(-LN(2)/2)*AB40+(1-EXP(-LN(2)/2))/(LN(2)/2)*V41*Y41*VLOOKUP('Données projet'!$B$9,Paramètres!$A$1:$I$89,3,0)*0.475*44/12</f>
        <v>0</v>
      </c>
      <c r="AC41" s="22">
        <f t="shared" si="3"/>
        <v>45.344717493416582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>
        <f>AI41*VLOOKUP('Données projet'!$B$10,Paramètres!$A$1:$I$89,3,0)*VLOOKUP('Données projet'!$B$10,Paramètres!$A$1:$I$89,5,0)</f>
        <v>0</v>
      </c>
      <c r="AK41" s="13" t="e">
        <f t="shared" si="35"/>
        <v>#NUM!</v>
      </c>
      <c r="AL41" s="20" t="e">
        <f t="shared" si="4"/>
        <v>#NUM!</v>
      </c>
      <c r="AM41" s="59" t="e">
        <f t="shared" si="5"/>
        <v>#NUM!</v>
      </c>
      <c r="AN41" s="59">
        <f ca="1">AVERAGE(OFFSET($AM$3,0,0,'Données projet'!$E$10+1,1))-AVERAGE(OFFSET($H$3,0,0,'Données projet'!$E$10+1,1))</f>
        <v>114.4650227251685</v>
      </c>
      <c r="AO41" s="59">
        <f t="shared" si="36"/>
        <v>386.57315604590599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33.076123409481781</v>
      </c>
      <c r="AV41" s="21">
        <f>EXP(-LN(2)/25)*AV40+(1-EXP(-LN(2)/25))/(LN(2)/25)*Calculateur!AQ41*Calculateur!AS41*VLOOKUP('Données projet'!$B$10,Paramètres!$A$1:$I$89,3,0)*0.475*44/12</f>
        <v>12.268594083934804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45.344717493416582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>
        <f>BD41*VLOOKUP('Données projet'!$B$11,Paramètres!$A$1:$I$89,3,0)*VLOOKUP('Données projet'!$B$11,Paramètres!$A$1:$I$89,5,0)</f>
        <v>0</v>
      </c>
      <c r="BF41" s="13" t="e">
        <f t="shared" si="37"/>
        <v>#NUM!</v>
      </c>
      <c r="BG41" s="20" t="e">
        <f t="shared" si="7"/>
        <v>#NUM!</v>
      </c>
      <c r="BH41" s="59" t="e">
        <f t="shared" si="8"/>
        <v>#NUM!</v>
      </c>
      <c r="BI41" s="59">
        <f ca="1">AVERAGE(OFFSET($BH$3,0,0,'Données projet'!$E$11+1,1))-AVERAGE(OFFSET($H$3,0,0,'Données projet'!$E$11+1,1))</f>
        <v>68.944412338382023</v>
      </c>
      <c r="BJ41" s="59">
        <f t="shared" si="38"/>
        <v>281.00389700159246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23.324196446807814</v>
      </c>
      <c r="BQ41" s="21">
        <f>EXP(-LN(2)/25)*BQ40+(1-EXP(-LN(2)/25))/(LN(2)/25)*Calculateur!BL41*Calculateur!BN41*VLOOKUP('Données projet'!$B$11,Paramètres!$A$1:$I$89,3,0)*0.475*44/12</f>
        <v>8.6514098099479533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31.975606256755768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>
        <f>BY41*VLOOKUP('Données projet'!$B$12,Paramètres!$A$1:$I$89,3,0)*VLOOKUP('Données projet'!$B$12,Paramètres!$A$1:$I$89,5,0)</f>
        <v>0</v>
      </c>
      <c r="CA41" s="13" t="e">
        <f t="shared" si="39"/>
        <v>#NUM!</v>
      </c>
      <c r="CB41" s="20" t="e">
        <f t="shared" si="10"/>
        <v>#NUM!</v>
      </c>
      <c r="CC41" s="59" t="e">
        <f t="shared" si="11"/>
        <v>#NUM!</v>
      </c>
      <c r="CD41" s="59">
        <f ca="1">AVERAGE(OFFSET($CC$3,0,0,'Données projet'!$E$12+1,1))-AVERAGE(OFFSET($H$3,0,0,'Données projet'!$E$12+1,1))</f>
        <v>120.26681323682763</v>
      </c>
      <c r="CE41" s="59">
        <f t="shared" si="40"/>
        <v>344.92933166159389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29.220624361750787</v>
      </c>
      <c r="CL41" s="21">
        <f>EXP(-LN(2)/25)*CL40+(1-EXP(-LN(2)/25))/(LN(2)/25)*Calculateur!CG41*Calculateur!CI41*VLOOKUP('Données projet'!$B$12,Paramètres!$A$1:$I$89,3,0)*0.475*44/12</f>
        <v>10.838512564948541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40.059136926699324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>
        <f>CT41*VLOOKUP('Données projet'!$B$13,Paramètres!$A$1:$I$89,3,0)*VLOOKUP('Données projet'!$B$13,Paramètres!$A$1:$I$89,5,0)</f>
        <v>0</v>
      </c>
      <c r="CV41" s="13" t="e">
        <f t="shared" si="41"/>
        <v>#NUM!</v>
      </c>
      <c r="CW41" s="20" t="e">
        <f t="shared" si="13"/>
        <v>#NUM!</v>
      </c>
      <c r="CX41" s="59" t="e">
        <f t="shared" si="14"/>
        <v>#NUM!</v>
      </c>
      <c r="CY41" s="59">
        <f ca="1">AVERAGE(OFFSET($CX$3,0,0,'Données projet'!$E$13+1,1))-AVERAGE(OFFSET($H$3,0,0,'Données projet'!$E$13+1,1))</f>
        <v>120.26681323682763</v>
      </c>
      <c r="CZ41" s="59">
        <f t="shared" si="42"/>
        <v>344.92933166159389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29.220624361750787</v>
      </c>
      <c r="DG41" s="21">
        <f>EXP(-LN(2)/25)*DG40+(1-EXP(-LN(2)/25))/(LN(2)/25)*Calculateur!DB41*Calculateur!DD41*VLOOKUP('Données projet'!$B$13,Paramètres!$A$1:$I$89,3,0)*0.475*44/12</f>
        <v>10.838512564948541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40.059136926699324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114.4650227251685</v>
      </c>
      <c r="T42" s="59">
        <f t="shared" si="34"/>
        <v>386.57315604590599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32.427520803865065</v>
      </c>
      <c r="AA42" s="21">
        <f>EXP(-LN(2)/25)*AA41+(1-EXP(-LN(2)/25))/(LN(2)/25)*Calculateur!V42*Calculateur!X42*VLOOKUP('Données projet'!$B$9,Paramètres!$A$1:$I$89,3,0)*0.475*44/12</f>
        <v>11.933108733532285</v>
      </c>
      <c r="AB42" s="21">
        <f>EXP(-LN(2)/2)*AB41+(1-EXP(-LN(2)/2))/(LN(2)/2)*V42*Y42*VLOOKUP('Données projet'!$B$9,Paramètres!$A$1:$I$89,3,0)*0.475*44/12</f>
        <v>0</v>
      </c>
      <c r="AC42" s="22">
        <f t="shared" si="3"/>
        <v>44.360629537397351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>
        <f>AI42*VLOOKUP('Données projet'!$B$10,Paramètres!$A$1:$I$89,3,0)*VLOOKUP('Données projet'!$B$10,Paramètres!$A$1:$I$89,5,0)</f>
        <v>0</v>
      </c>
      <c r="AK42" s="13" t="e">
        <f t="shared" si="35"/>
        <v>#NUM!</v>
      </c>
      <c r="AL42" s="20" t="e">
        <f t="shared" si="4"/>
        <v>#NUM!</v>
      </c>
      <c r="AM42" s="59" t="e">
        <f t="shared" si="5"/>
        <v>#NUM!</v>
      </c>
      <c r="AN42" s="59">
        <f ca="1">AVERAGE(OFFSET($AM$3,0,0,'Données projet'!$E$10+1,1))-AVERAGE(OFFSET($H$3,0,0,'Données projet'!$E$10+1,1))</f>
        <v>114.4650227251685</v>
      </c>
      <c r="AO42" s="59">
        <f t="shared" si="36"/>
        <v>386.57315604590599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32.427520803865065</v>
      </c>
      <c r="AV42" s="21">
        <f>EXP(-LN(2)/25)*AV41+(1-EXP(-LN(2)/25))/(LN(2)/25)*Calculateur!AQ42*Calculateur!AS42*VLOOKUP('Données projet'!$B$10,Paramètres!$A$1:$I$89,3,0)*0.475*44/12</f>
        <v>11.933108733532285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44.360629537397351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>
        <f>BD42*VLOOKUP('Données projet'!$B$11,Paramètres!$A$1:$I$89,3,0)*VLOOKUP('Données projet'!$B$11,Paramètres!$A$1:$I$89,5,0)</f>
        <v>0</v>
      </c>
      <c r="BF42" s="13" t="e">
        <f t="shared" si="37"/>
        <v>#NUM!</v>
      </c>
      <c r="BG42" s="20" t="e">
        <f t="shared" si="7"/>
        <v>#NUM!</v>
      </c>
      <c r="BH42" s="59" t="e">
        <f t="shared" si="8"/>
        <v>#NUM!</v>
      </c>
      <c r="BI42" s="59">
        <f ca="1">AVERAGE(OFFSET($BH$3,0,0,'Données projet'!$E$11+1,1))-AVERAGE(OFFSET($H$3,0,0,'Données projet'!$E$11+1,1))</f>
        <v>68.944412338382023</v>
      </c>
      <c r="BJ42" s="59">
        <f t="shared" si="38"/>
        <v>281.00389700159246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22.86682318084101</v>
      </c>
      <c r="BQ42" s="21">
        <f>EXP(-LN(2)/25)*BQ41+(1-EXP(-LN(2)/25))/(LN(2)/25)*Calculateur!BL42*Calculateur!BN42*VLOOKUP('Données projet'!$B$11,Paramètres!$A$1:$I$89,3,0)*0.475*44/12</f>
        <v>8.4148365537370573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31.281659734578067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>
        <f>BY42*VLOOKUP('Données projet'!$B$12,Paramètres!$A$1:$I$89,3,0)*VLOOKUP('Données projet'!$B$12,Paramètres!$A$1:$I$89,5,0)</f>
        <v>0</v>
      </c>
      <c r="CA42" s="13" t="e">
        <f t="shared" si="39"/>
        <v>#NUM!</v>
      </c>
      <c r="CB42" s="20" t="e">
        <f t="shared" si="10"/>
        <v>#NUM!</v>
      </c>
      <c r="CC42" s="59" t="e">
        <f t="shared" si="11"/>
        <v>#NUM!</v>
      </c>
      <c r="CD42" s="59">
        <f ca="1">AVERAGE(OFFSET($CC$3,0,0,'Données projet'!$E$12+1,1))-AVERAGE(OFFSET($H$3,0,0,'Données projet'!$E$12+1,1))</f>
        <v>120.26681323682763</v>
      </c>
      <c r="CE42" s="59">
        <f t="shared" si="40"/>
        <v>344.92933166159389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28.647625740837857</v>
      </c>
      <c r="CL42" s="21">
        <f>EXP(-LN(2)/25)*CL41+(1-EXP(-LN(2)/25))/(LN(2)/25)*Calculateur!CG42*Calculateur!CI42*VLOOKUP('Données projet'!$B$12,Paramètres!$A$1:$I$89,3,0)*0.475*44/12</f>
        <v>10.542132868887419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39.189758609725274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>
        <f>CT42*VLOOKUP('Données projet'!$B$13,Paramètres!$A$1:$I$89,3,0)*VLOOKUP('Données projet'!$B$13,Paramètres!$A$1:$I$89,5,0)</f>
        <v>0</v>
      </c>
      <c r="CV42" s="13" t="e">
        <f t="shared" si="41"/>
        <v>#NUM!</v>
      </c>
      <c r="CW42" s="20" t="e">
        <f t="shared" si="13"/>
        <v>#NUM!</v>
      </c>
      <c r="CX42" s="59" t="e">
        <f t="shared" si="14"/>
        <v>#NUM!</v>
      </c>
      <c r="CY42" s="59">
        <f ca="1">AVERAGE(OFFSET($CX$3,0,0,'Données projet'!$E$13+1,1))-AVERAGE(OFFSET($H$3,0,0,'Données projet'!$E$13+1,1))</f>
        <v>120.26681323682763</v>
      </c>
      <c r="CZ42" s="59">
        <f t="shared" si="42"/>
        <v>344.92933166159389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28.647625740837857</v>
      </c>
      <c r="DG42" s="21">
        <f>EXP(-LN(2)/25)*DG41+(1-EXP(-LN(2)/25))/(LN(2)/25)*Calculateur!DB42*Calculateur!DD42*VLOOKUP('Données projet'!$B$13,Paramètres!$A$1:$I$89,3,0)*0.475*44/12</f>
        <v>10.542132868887419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39.189758609725274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114.4650227251685</v>
      </c>
      <c r="T43" s="59">
        <f t="shared" si="34"/>
        <v>386.57315604590599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31.791636899735963</v>
      </c>
      <c r="AA43" s="21">
        <f>EXP(-LN(2)/25)*AA42+(1-EXP(-LN(2)/25))/(LN(2)/25)*Calculateur!V43*Calculateur!X43*VLOOKUP('Données projet'!$B$9,Paramètres!$A$1:$I$89,3,0)*0.475*44/12</f>
        <v>11.60679724767893</v>
      </c>
      <c r="AB43" s="21">
        <f>EXP(-LN(2)/2)*AB42+(1-EXP(-LN(2)/2))/(LN(2)/2)*V43*Y43*VLOOKUP('Données projet'!$B$9,Paramètres!$A$1:$I$89,3,0)*0.475*44/12</f>
        <v>0</v>
      </c>
      <c r="AC43" s="22">
        <f t="shared" si="3"/>
        <v>43.398434147414889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>
        <f>AI43*VLOOKUP('Données projet'!$B$10,Paramètres!$A$1:$I$89,3,0)*VLOOKUP('Données projet'!$B$10,Paramètres!$A$1:$I$89,5,0)</f>
        <v>0</v>
      </c>
      <c r="AK43" s="13" t="e">
        <f t="shared" si="35"/>
        <v>#NUM!</v>
      </c>
      <c r="AL43" s="20" t="e">
        <f t="shared" si="4"/>
        <v>#NUM!</v>
      </c>
      <c r="AM43" s="59" t="e">
        <f t="shared" si="5"/>
        <v>#NUM!</v>
      </c>
      <c r="AN43" s="59">
        <f ca="1">AVERAGE(OFFSET($AM$3,0,0,'Données projet'!$E$10+1,1))-AVERAGE(OFFSET($H$3,0,0,'Données projet'!$E$10+1,1))</f>
        <v>114.4650227251685</v>
      </c>
      <c r="AO43" s="59">
        <f t="shared" si="36"/>
        <v>386.57315604590599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31.791636899735963</v>
      </c>
      <c r="AV43" s="21">
        <f>EXP(-LN(2)/25)*AV42+(1-EXP(-LN(2)/25))/(LN(2)/25)*Calculateur!AQ43*Calculateur!AS43*VLOOKUP('Données projet'!$B$10,Paramètres!$A$1:$I$89,3,0)*0.475*44/12</f>
        <v>11.60679724767893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43.398434147414889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>
        <f>BD43*VLOOKUP('Données projet'!$B$11,Paramètres!$A$1:$I$89,3,0)*VLOOKUP('Données projet'!$B$11,Paramètres!$A$1:$I$89,5,0)</f>
        <v>0</v>
      </c>
      <c r="BF43" s="13" t="e">
        <f t="shared" si="37"/>
        <v>#NUM!</v>
      </c>
      <c r="BG43" s="20" t="e">
        <f t="shared" si="7"/>
        <v>#NUM!</v>
      </c>
      <c r="BH43" s="59" t="e">
        <f t="shared" si="8"/>
        <v>#NUM!</v>
      </c>
      <c r="BI43" s="59">
        <f ca="1">AVERAGE(OFFSET($BH$3,0,0,'Données projet'!$E$11+1,1))-AVERAGE(OFFSET($H$3,0,0,'Données projet'!$E$11+1,1))</f>
        <v>68.944412338382023</v>
      </c>
      <c r="BJ43" s="59">
        <f t="shared" si="38"/>
        <v>281.00389700159246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22.418418725649669</v>
      </c>
      <c r="BQ43" s="21">
        <f>EXP(-LN(2)/25)*BQ42+(1-EXP(-LN(2)/25))/(LN(2)/25)*Calculateur!BL43*Calculateur!BN43*VLOOKUP('Données projet'!$B$11,Paramètres!$A$1:$I$89,3,0)*0.475*44/12</f>
        <v>8.1847324056580959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30.603151131307765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>
        <f>BY43*VLOOKUP('Données projet'!$B$12,Paramètres!$A$1:$I$89,3,0)*VLOOKUP('Données projet'!$B$12,Paramètres!$A$1:$I$89,5,0)</f>
        <v>0</v>
      </c>
      <c r="CA43" s="13" t="e">
        <f t="shared" si="39"/>
        <v>#NUM!</v>
      </c>
      <c r="CB43" s="20" t="e">
        <f t="shared" si="10"/>
        <v>#NUM!</v>
      </c>
      <c r="CC43" s="59" t="e">
        <f t="shared" si="11"/>
        <v>#NUM!</v>
      </c>
      <c r="CD43" s="59">
        <f ca="1">AVERAGE(OFFSET($CC$3,0,0,'Données projet'!$E$12+1,1))-AVERAGE(OFFSET($H$3,0,0,'Données projet'!$E$12+1,1))</f>
        <v>120.26681323682763</v>
      </c>
      <c r="CE43" s="59">
        <f t="shared" si="40"/>
        <v>344.92933166159389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28.08586327338638</v>
      </c>
      <c r="CL43" s="21">
        <f>EXP(-LN(2)/25)*CL42+(1-EXP(-LN(2)/25))/(LN(2)/25)*Calculateur!CG43*Calculateur!CI43*VLOOKUP('Données projet'!$B$12,Paramètres!$A$1:$I$89,3,0)*0.475*44/12</f>
        <v>10.25385769120102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38.3397209645874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>
        <f>CT43*VLOOKUP('Données projet'!$B$13,Paramètres!$A$1:$I$89,3,0)*VLOOKUP('Données projet'!$B$13,Paramètres!$A$1:$I$89,5,0)</f>
        <v>0</v>
      </c>
      <c r="CV43" s="13" t="e">
        <f t="shared" si="41"/>
        <v>#NUM!</v>
      </c>
      <c r="CW43" s="20" t="e">
        <f t="shared" si="13"/>
        <v>#NUM!</v>
      </c>
      <c r="CX43" s="59" t="e">
        <f t="shared" si="14"/>
        <v>#NUM!</v>
      </c>
      <c r="CY43" s="59">
        <f ca="1">AVERAGE(OFFSET($CX$3,0,0,'Données projet'!$E$13+1,1))-AVERAGE(OFFSET($H$3,0,0,'Données projet'!$E$13+1,1))</f>
        <v>120.26681323682763</v>
      </c>
      <c r="CZ43" s="59">
        <f t="shared" si="42"/>
        <v>344.92933166159389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28.08586327338638</v>
      </c>
      <c r="DG43" s="21">
        <f>EXP(-LN(2)/25)*DG42+(1-EXP(-LN(2)/25))/(LN(2)/25)*Calculateur!DB43*Calculateur!DD43*VLOOKUP('Données projet'!$B$13,Paramètres!$A$1:$I$89,3,0)*0.475*44/12</f>
        <v>10.25385769120102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38.3397209645874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114.4650227251685</v>
      </c>
      <c r="T44" s="59">
        <f t="shared" si="34"/>
        <v>386.57315604590599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31.168222291115949</v>
      </c>
      <c r="AA44" s="21">
        <f>EXP(-LN(2)/25)*AA43+(1-EXP(-LN(2)/25))/(LN(2)/25)*Calculateur!V44*Calculateur!X44*VLOOKUP('Données projet'!$B$9,Paramètres!$A$1:$I$89,3,0)*0.475*44/12</f>
        <v>11.28940876656621</v>
      </c>
      <c r="AB44" s="21">
        <f>EXP(-LN(2)/2)*AB43+(1-EXP(-LN(2)/2))/(LN(2)/2)*V44*Y44*VLOOKUP('Données projet'!$B$9,Paramètres!$A$1:$I$89,3,0)*0.475*44/12</f>
        <v>0</v>
      </c>
      <c r="AC44" s="22">
        <f t="shared" si="3"/>
        <v>42.457631057682157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>
        <f>AI44*VLOOKUP('Données projet'!$B$10,Paramètres!$A$1:$I$89,3,0)*VLOOKUP('Données projet'!$B$10,Paramètres!$A$1:$I$89,5,0)</f>
        <v>0</v>
      </c>
      <c r="AK44" s="13" t="e">
        <f t="shared" si="35"/>
        <v>#NUM!</v>
      </c>
      <c r="AL44" s="20" t="e">
        <f t="shared" si="4"/>
        <v>#NUM!</v>
      </c>
      <c r="AM44" s="59" t="e">
        <f t="shared" si="5"/>
        <v>#NUM!</v>
      </c>
      <c r="AN44" s="59">
        <f ca="1">AVERAGE(OFFSET($AM$3,0,0,'Données projet'!$E$10+1,1))-AVERAGE(OFFSET($H$3,0,0,'Données projet'!$E$10+1,1))</f>
        <v>114.4650227251685</v>
      </c>
      <c r="AO44" s="59">
        <f t="shared" si="36"/>
        <v>386.57315604590599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31.168222291115949</v>
      </c>
      <c r="AV44" s="21">
        <f>EXP(-LN(2)/25)*AV43+(1-EXP(-LN(2)/25))/(LN(2)/25)*Calculateur!AQ44*Calculateur!AS44*VLOOKUP('Données projet'!$B$10,Paramètres!$A$1:$I$89,3,0)*0.475*44/12</f>
        <v>11.28940876656621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42.457631057682157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>
        <f>BD44*VLOOKUP('Données projet'!$B$11,Paramètres!$A$1:$I$89,3,0)*VLOOKUP('Données projet'!$B$11,Paramètres!$A$1:$I$89,5,0)</f>
        <v>0</v>
      </c>
      <c r="BF44" s="13" t="e">
        <f t="shared" si="37"/>
        <v>#NUM!</v>
      </c>
      <c r="BG44" s="20" t="e">
        <f t="shared" si="7"/>
        <v>#NUM!</v>
      </c>
      <c r="BH44" s="59" t="e">
        <f t="shared" si="8"/>
        <v>#NUM!</v>
      </c>
      <c r="BI44" s="59">
        <f ca="1">AVERAGE(OFFSET($BH$3,0,0,'Données projet'!$E$11+1,1))-AVERAGE(OFFSET($H$3,0,0,'Données projet'!$E$11+1,1))</f>
        <v>68.944412338382023</v>
      </c>
      <c r="BJ44" s="59">
        <f t="shared" si="38"/>
        <v>281.00389700159246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21.978807208324916</v>
      </c>
      <c r="BQ44" s="21">
        <f>EXP(-LN(2)/25)*BQ43+(1-EXP(-LN(2)/25))/(LN(2)/25)*Calculateur!BL44*Calculateur!BN44*VLOOKUP('Données projet'!$B$11,Paramètres!$A$1:$I$89,3,0)*0.475*44/12</f>
        <v>7.9609204676090046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29.93972767593392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>
        <f>BY44*VLOOKUP('Données projet'!$B$12,Paramètres!$A$1:$I$89,3,0)*VLOOKUP('Données projet'!$B$12,Paramètres!$A$1:$I$89,5,0)</f>
        <v>0</v>
      </c>
      <c r="CA44" s="13" t="e">
        <f t="shared" si="39"/>
        <v>#NUM!</v>
      </c>
      <c r="CB44" s="20" t="e">
        <f t="shared" si="10"/>
        <v>#NUM!</v>
      </c>
      <c r="CC44" s="59" t="e">
        <f t="shared" si="11"/>
        <v>#NUM!</v>
      </c>
      <c r="CD44" s="59">
        <f ca="1">AVERAGE(OFFSET($CC$3,0,0,'Données projet'!$E$12+1,1))-AVERAGE(OFFSET($H$3,0,0,'Données projet'!$E$12+1,1))</f>
        <v>120.26681323682763</v>
      </c>
      <c r="CE44" s="59">
        <f t="shared" si="40"/>
        <v>344.92933166159389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27.535116625280356</v>
      </c>
      <c r="CL44" s="21">
        <f>EXP(-LN(2)/25)*CL43+(1-EXP(-LN(2)/25))/(LN(2)/25)*Calculateur!CG44*Calculateur!CI44*VLOOKUP('Données projet'!$B$12,Paramètres!$A$1:$I$89,3,0)*0.475*44/12</f>
        <v>9.9734654134081868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37.508582038688544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>
        <f>CT44*VLOOKUP('Données projet'!$B$13,Paramètres!$A$1:$I$89,3,0)*VLOOKUP('Données projet'!$B$13,Paramètres!$A$1:$I$89,5,0)</f>
        <v>0</v>
      </c>
      <c r="CV44" s="13" t="e">
        <f t="shared" si="41"/>
        <v>#NUM!</v>
      </c>
      <c r="CW44" s="20" t="e">
        <f t="shared" si="13"/>
        <v>#NUM!</v>
      </c>
      <c r="CX44" s="59" t="e">
        <f t="shared" si="14"/>
        <v>#NUM!</v>
      </c>
      <c r="CY44" s="59">
        <f ca="1">AVERAGE(OFFSET($CX$3,0,0,'Données projet'!$E$13+1,1))-AVERAGE(OFFSET($H$3,0,0,'Données projet'!$E$13+1,1))</f>
        <v>120.26681323682763</v>
      </c>
      <c r="CZ44" s="59">
        <f t="shared" si="42"/>
        <v>344.92933166159389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27.535116625280356</v>
      </c>
      <c r="DG44" s="21">
        <f>EXP(-LN(2)/25)*DG43+(1-EXP(-LN(2)/25))/(LN(2)/25)*Calculateur!DB44*Calculateur!DD44*VLOOKUP('Données projet'!$B$13,Paramètres!$A$1:$I$89,3,0)*0.475*44/12</f>
        <v>9.9734654134081868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37.508582038688544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114.4650227251685</v>
      </c>
      <c r="T45" s="59">
        <f t="shared" si="34"/>
        <v>386.57315604590599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30.557032462725608</v>
      </c>
      <c r="AA45" s="21">
        <f>EXP(-LN(2)/25)*AA44+(1-EXP(-LN(2)/25))/(LN(2)/25)*Calculateur!V45*Calculateur!X45*VLOOKUP('Données projet'!$B$9,Paramètres!$A$1:$I$89,3,0)*0.475*44/12</f>
        <v>10.980699290160251</v>
      </c>
      <c r="AB45" s="21">
        <f>EXP(-LN(2)/2)*AB44+(1-EXP(-LN(2)/2))/(LN(2)/2)*V45*Y45*VLOOKUP('Données projet'!$B$9,Paramètres!$A$1:$I$89,3,0)*0.475*44/12</f>
        <v>0</v>
      </c>
      <c r="AC45" s="22">
        <f t="shared" si="3"/>
        <v>41.537731752885861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>
        <f>AI45*VLOOKUP('Données projet'!$B$10,Paramètres!$A$1:$I$89,3,0)*VLOOKUP('Données projet'!$B$10,Paramètres!$A$1:$I$89,5,0)</f>
        <v>0</v>
      </c>
      <c r="AK45" s="13" t="e">
        <f t="shared" si="35"/>
        <v>#NUM!</v>
      </c>
      <c r="AL45" s="20" t="e">
        <f t="shared" si="4"/>
        <v>#NUM!</v>
      </c>
      <c r="AM45" s="59" t="e">
        <f t="shared" si="5"/>
        <v>#NUM!</v>
      </c>
      <c r="AN45" s="59">
        <f ca="1">AVERAGE(OFFSET($AM$3,0,0,'Données projet'!$E$10+1,1))-AVERAGE(OFFSET($H$3,0,0,'Données projet'!$E$10+1,1))</f>
        <v>114.4650227251685</v>
      </c>
      <c r="AO45" s="59">
        <f t="shared" si="36"/>
        <v>386.57315604590599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30.557032462725608</v>
      </c>
      <c r="AV45" s="21">
        <f>EXP(-LN(2)/25)*AV44+(1-EXP(-LN(2)/25))/(LN(2)/25)*Calculateur!AQ45*Calculateur!AS45*VLOOKUP('Données projet'!$B$10,Paramètres!$A$1:$I$89,3,0)*0.475*44/12</f>
        <v>10.980699290160251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41.537731752885861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>
        <f>BD45*VLOOKUP('Données projet'!$B$11,Paramètres!$A$1:$I$89,3,0)*VLOOKUP('Données projet'!$B$11,Paramètres!$A$1:$I$89,5,0)</f>
        <v>0</v>
      </c>
      <c r="BF45" s="13" t="e">
        <f t="shared" si="37"/>
        <v>#NUM!</v>
      </c>
      <c r="BG45" s="20" t="e">
        <f t="shared" si="7"/>
        <v>#NUM!</v>
      </c>
      <c r="BH45" s="59" t="e">
        <f t="shared" si="8"/>
        <v>#NUM!</v>
      </c>
      <c r="BI45" s="59">
        <f ca="1">AVERAGE(OFFSET($BH$3,0,0,'Données projet'!$E$11+1,1))-AVERAGE(OFFSET($H$3,0,0,'Données projet'!$E$11+1,1))</f>
        <v>68.944412338382023</v>
      </c>
      <c r="BJ45" s="59">
        <f t="shared" si="38"/>
        <v>281.00389700159246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21.547816204718355</v>
      </c>
      <c r="BQ45" s="21">
        <f>EXP(-LN(2)/25)*BQ44+(1-EXP(-LN(2)/25))/(LN(2)/25)*Calculateur!BL45*Calculateur!BN45*VLOOKUP('Données projet'!$B$11,Paramètres!$A$1:$I$89,3,0)*0.475*44/12</f>
        <v>7.7432286787756244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29.291044883493981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>
        <f>BY45*VLOOKUP('Données projet'!$B$12,Paramètres!$A$1:$I$89,3,0)*VLOOKUP('Données projet'!$B$12,Paramètres!$A$1:$I$89,5,0)</f>
        <v>0</v>
      </c>
      <c r="CA45" s="13" t="e">
        <f t="shared" si="39"/>
        <v>#NUM!</v>
      </c>
      <c r="CB45" s="20" t="e">
        <f t="shared" si="10"/>
        <v>#NUM!</v>
      </c>
      <c r="CC45" s="59" t="e">
        <f t="shared" si="11"/>
        <v>#NUM!</v>
      </c>
      <c r="CD45" s="59">
        <f ca="1">AVERAGE(OFFSET($CC$3,0,0,'Données projet'!$E$12+1,1))-AVERAGE(OFFSET($H$3,0,0,'Données projet'!$E$12+1,1))</f>
        <v>120.26681323682763</v>
      </c>
      <c r="CE45" s="59">
        <f t="shared" si="40"/>
        <v>344.92933166159389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26.995169783021403</v>
      </c>
      <c r="CL45" s="21">
        <f>EXP(-LN(2)/25)*CL44+(1-EXP(-LN(2)/25))/(LN(2)/25)*Calculateur!CG45*Calculateur!CI45*VLOOKUP('Données projet'!$B$12,Paramètres!$A$1:$I$89,3,0)*0.475*44/12</f>
        <v>9.7007404771967884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36.695910260218191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>
        <f>CT45*VLOOKUP('Données projet'!$B$13,Paramètres!$A$1:$I$89,3,0)*VLOOKUP('Données projet'!$B$13,Paramètres!$A$1:$I$89,5,0)</f>
        <v>0</v>
      </c>
      <c r="CV45" s="13" t="e">
        <f t="shared" si="41"/>
        <v>#NUM!</v>
      </c>
      <c r="CW45" s="20" t="e">
        <f t="shared" si="13"/>
        <v>#NUM!</v>
      </c>
      <c r="CX45" s="59" t="e">
        <f t="shared" si="14"/>
        <v>#NUM!</v>
      </c>
      <c r="CY45" s="59">
        <f ca="1">AVERAGE(OFFSET($CX$3,0,0,'Données projet'!$E$13+1,1))-AVERAGE(OFFSET($H$3,0,0,'Données projet'!$E$13+1,1))</f>
        <v>120.26681323682763</v>
      </c>
      <c r="CZ45" s="59">
        <f t="shared" si="42"/>
        <v>344.92933166159389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26.995169783021403</v>
      </c>
      <c r="DG45" s="21">
        <f>EXP(-LN(2)/25)*DG44+(1-EXP(-LN(2)/25))/(LN(2)/25)*Calculateur!DB45*Calculateur!DD45*VLOOKUP('Données projet'!$B$13,Paramètres!$A$1:$I$89,3,0)*0.475*44/12</f>
        <v>9.7007404771967884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36.695910260218191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114.4650227251685</v>
      </c>
      <c r="T46" s="59">
        <f t="shared" si="34"/>
        <v>386.57315604590599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29.957827694081018</v>
      </c>
      <c r="AA46" s="21">
        <f>EXP(-LN(2)/25)*AA45+(1-EXP(-LN(2)/25))/(LN(2)/25)*Calculateur!V46*Calculateur!X46*VLOOKUP('Données projet'!$B$9,Paramètres!$A$1:$I$89,3,0)*0.475*44/12</f>
        <v>10.68043149062094</v>
      </c>
      <c r="AB46" s="21">
        <f>EXP(-LN(2)/2)*AB45+(1-EXP(-LN(2)/2))/(LN(2)/2)*V46*Y46*VLOOKUP('Données projet'!$B$9,Paramètres!$A$1:$I$89,3,0)*0.475*44/12</f>
        <v>0</v>
      </c>
      <c r="AC46" s="22">
        <f t="shared" si="3"/>
        <v>40.638259184701958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>
        <f>AI46*VLOOKUP('Données projet'!$B$10,Paramètres!$A$1:$I$89,3,0)*VLOOKUP('Données projet'!$B$10,Paramètres!$A$1:$I$89,5,0)</f>
        <v>0</v>
      </c>
      <c r="AK46" s="13" t="e">
        <f t="shared" si="35"/>
        <v>#NUM!</v>
      </c>
      <c r="AL46" s="20" t="e">
        <f t="shared" si="4"/>
        <v>#NUM!</v>
      </c>
      <c r="AM46" s="59" t="e">
        <f t="shared" si="5"/>
        <v>#NUM!</v>
      </c>
      <c r="AN46" s="59">
        <f ca="1">AVERAGE(OFFSET($AM$3,0,0,'Données projet'!$E$10+1,1))-AVERAGE(OFFSET($H$3,0,0,'Données projet'!$E$10+1,1))</f>
        <v>114.4650227251685</v>
      </c>
      <c r="AO46" s="59">
        <f t="shared" si="36"/>
        <v>386.57315604590599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29.957827694081018</v>
      </c>
      <c r="AV46" s="21">
        <f>EXP(-LN(2)/25)*AV45+(1-EXP(-LN(2)/25))/(LN(2)/25)*Calculateur!AQ46*Calculateur!AS46*VLOOKUP('Données projet'!$B$10,Paramètres!$A$1:$I$89,3,0)*0.475*44/12</f>
        <v>10.68043149062094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40.638259184701958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>
        <f>BD46*VLOOKUP('Données projet'!$B$11,Paramètres!$A$1:$I$89,3,0)*VLOOKUP('Données projet'!$B$11,Paramètres!$A$1:$I$89,5,0)</f>
        <v>0</v>
      </c>
      <c r="BF46" s="13" t="e">
        <f t="shared" si="37"/>
        <v>#NUM!</v>
      </c>
      <c r="BG46" s="20" t="e">
        <f t="shared" si="7"/>
        <v>#NUM!</v>
      </c>
      <c r="BH46" s="59" t="e">
        <f t="shared" si="8"/>
        <v>#NUM!</v>
      </c>
      <c r="BI46" s="59">
        <f ca="1">AVERAGE(OFFSET($BH$3,0,0,'Données projet'!$E$11+1,1))-AVERAGE(OFFSET($H$3,0,0,'Données projet'!$E$11+1,1))</f>
        <v>68.944412338382023</v>
      </c>
      <c r="BJ46" s="59">
        <f t="shared" si="38"/>
        <v>281.00389700159246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21.125276671813964</v>
      </c>
      <c r="BQ46" s="21">
        <f>EXP(-LN(2)/25)*BQ45+(1-EXP(-LN(2)/25))/(LN(2)/25)*Calculateur!BL46*Calculateur!BN46*VLOOKUP('Données projet'!$B$11,Paramètres!$A$1:$I$89,3,0)*0.475*44/12</f>
        <v>7.5314896833558063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28.656766355169772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>
        <f>BY46*VLOOKUP('Données projet'!$B$12,Paramètres!$A$1:$I$89,3,0)*VLOOKUP('Données projet'!$B$12,Paramètres!$A$1:$I$89,5,0)</f>
        <v>0</v>
      </c>
      <c r="CA46" s="13" t="e">
        <f t="shared" si="39"/>
        <v>#NUM!</v>
      </c>
      <c r="CB46" s="20" t="e">
        <f t="shared" si="10"/>
        <v>#NUM!</v>
      </c>
      <c r="CC46" s="59" t="e">
        <f t="shared" si="11"/>
        <v>#NUM!</v>
      </c>
      <c r="CD46" s="59">
        <f ca="1">AVERAGE(OFFSET($CC$3,0,0,'Données projet'!$E$12+1,1))-AVERAGE(OFFSET($H$3,0,0,'Données projet'!$E$12+1,1))</f>
        <v>120.26681323682763</v>
      </c>
      <c r="CE46" s="59">
        <f t="shared" si="40"/>
        <v>344.92933166159389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26.465810969004096</v>
      </c>
      <c r="CL46" s="21">
        <f>EXP(-LN(2)/25)*CL45+(1-EXP(-LN(2)/25))/(LN(2)/25)*Calculateur!CG46*Calculateur!CI46*VLOOKUP('Données projet'!$B$12,Paramètres!$A$1:$I$89,3,0)*0.475*44/12</f>
        <v>9.4354732187080721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35.901284187712164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>
        <f>CT46*VLOOKUP('Données projet'!$B$13,Paramètres!$A$1:$I$89,3,0)*VLOOKUP('Données projet'!$B$13,Paramètres!$A$1:$I$89,5,0)</f>
        <v>0</v>
      </c>
      <c r="CV46" s="13" t="e">
        <f t="shared" si="41"/>
        <v>#NUM!</v>
      </c>
      <c r="CW46" s="20" t="e">
        <f t="shared" si="13"/>
        <v>#NUM!</v>
      </c>
      <c r="CX46" s="59" t="e">
        <f t="shared" si="14"/>
        <v>#NUM!</v>
      </c>
      <c r="CY46" s="59">
        <f ca="1">AVERAGE(OFFSET($CX$3,0,0,'Données projet'!$E$13+1,1))-AVERAGE(OFFSET($H$3,0,0,'Données projet'!$E$13+1,1))</f>
        <v>120.26681323682763</v>
      </c>
      <c r="CZ46" s="59">
        <f t="shared" si="42"/>
        <v>344.92933166159389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26.465810969004096</v>
      </c>
      <c r="DG46" s="21">
        <f>EXP(-LN(2)/25)*DG45+(1-EXP(-LN(2)/25))/(LN(2)/25)*Calculateur!DB46*Calculateur!DD46*VLOOKUP('Données projet'!$B$13,Paramètres!$A$1:$I$89,3,0)*0.475*44/12</f>
        <v>9.4354732187080721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35.901284187712164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114.4650227251685</v>
      </c>
      <c r="T47" s="59">
        <f t="shared" si="34"/>
        <v>386.57315604590599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29.370372965470725</v>
      </c>
      <c r="AA47" s="21">
        <f>EXP(-LN(2)/25)*AA46+(1-EXP(-LN(2)/25))/(LN(2)/25)*Calculateur!V47*Calculateur!X47*VLOOKUP('Données projet'!$B$9,Paramètres!$A$1:$I$89,3,0)*0.475*44/12</f>
        <v>10.388374529850429</v>
      </c>
      <c r="AB47" s="21">
        <f>EXP(-LN(2)/2)*AB46+(1-EXP(-LN(2)/2))/(LN(2)/2)*V47*Y47*VLOOKUP('Données projet'!$B$9,Paramètres!$A$1:$I$89,3,0)*0.475*44/12</f>
        <v>0</v>
      </c>
      <c r="AC47" s="22">
        <f t="shared" si="3"/>
        <v>39.758747495321153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>
        <f>AI47*VLOOKUP('Données projet'!$B$10,Paramètres!$A$1:$I$89,3,0)*VLOOKUP('Données projet'!$B$10,Paramètres!$A$1:$I$89,5,0)</f>
        <v>0</v>
      </c>
      <c r="AK47" s="13" t="e">
        <f t="shared" si="35"/>
        <v>#NUM!</v>
      </c>
      <c r="AL47" s="20" t="e">
        <f t="shared" si="4"/>
        <v>#NUM!</v>
      </c>
      <c r="AM47" s="59" t="e">
        <f t="shared" si="5"/>
        <v>#NUM!</v>
      </c>
      <c r="AN47" s="59">
        <f ca="1">AVERAGE(OFFSET($AM$3,0,0,'Données projet'!$E$10+1,1))-AVERAGE(OFFSET($H$3,0,0,'Données projet'!$E$10+1,1))</f>
        <v>114.4650227251685</v>
      </c>
      <c r="AO47" s="59">
        <f t="shared" si="36"/>
        <v>386.57315604590599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29.370372965470725</v>
      </c>
      <c r="AV47" s="21">
        <f>EXP(-LN(2)/25)*AV46+(1-EXP(-LN(2)/25))/(LN(2)/25)*Calculateur!AQ47*Calculateur!AS47*VLOOKUP('Données projet'!$B$10,Paramètres!$A$1:$I$89,3,0)*0.475*44/12</f>
        <v>10.388374529850429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39.758747495321153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>
        <f>BD47*VLOOKUP('Données projet'!$B$11,Paramètres!$A$1:$I$89,3,0)*VLOOKUP('Données projet'!$B$11,Paramètres!$A$1:$I$89,5,0)</f>
        <v>0</v>
      </c>
      <c r="BF47" s="13" t="e">
        <f t="shared" si="37"/>
        <v>#NUM!</v>
      </c>
      <c r="BG47" s="20" t="e">
        <f t="shared" si="7"/>
        <v>#NUM!</v>
      </c>
      <c r="BH47" s="59" t="e">
        <f t="shared" si="8"/>
        <v>#NUM!</v>
      </c>
      <c r="BI47" s="59">
        <f ca="1">AVERAGE(OFFSET($BH$3,0,0,'Données projet'!$E$11+1,1))-AVERAGE(OFFSET($H$3,0,0,'Données projet'!$E$11+1,1))</f>
        <v>68.944412338382023</v>
      </c>
      <c r="BJ47" s="59">
        <f t="shared" si="38"/>
        <v>281.00389700159246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20.71102288142616</v>
      </c>
      <c r="BQ47" s="21">
        <f>EXP(-LN(2)/25)*BQ46+(1-EXP(-LN(2)/25))/(LN(2)/25)*Calculateur!BL47*Calculateur!BN47*VLOOKUP('Données projet'!$B$11,Paramètres!$A$1:$I$89,3,0)*0.475*44/12</f>
        <v>7.3255407019006125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28.036563583326775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>
        <f>BY47*VLOOKUP('Données projet'!$B$12,Paramètres!$A$1:$I$89,3,0)*VLOOKUP('Données projet'!$B$12,Paramètres!$A$1:$I$89,5,0)</f>
        <v>0</v>
      </c>
      <c r="CA47" s="13" t="e">
        <f t="shared" si="39"/>
        <v>#NUM!</v>
      </c>
      <c r="CB47" s="20" t="e">
        <f t="shared" si="10"/>
        <v>#NUM!</v>
      </c>
      <c r="CC47" s="59" t="e">
        <f t="shared" si="11"/>
        <v>#NUM!</v>
      </c>
      <c r="CD47" s="59">
        <f ca="1">AVERAGE(OFFSET($CC$3,0,0,'Données projet'!$E$12+1,1))-AVERAGE(OFFSET($H$3,0,0,'Données projet'!$E$12+1,1))</f>
        <v>120.26681323682763</v>
      </c>
      <c r="CE47" s="59">
        <f t="shared" si="40"/>
        <v>344.92933166159389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25.946832558452673</v>
      </c>
      <c r="CL47" s="21">
        <f>EXP(-LN(2)/25)*CL46+(1-EXP(-LN(2)/25))/(LN(2)/25)*Calculateur!CG47*Calculateur!CI47*VLOOKUP('Données projet'!$B$12,Paramètres!$A$1:$I$89,3,0)*0.475*44/12</f>
        <v>9.1774597073525275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35.124292265805202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>
        <f>CT47*VLOOKUP('Données projet'!$B$13,Paramètres!$A$1:$I$89,3,0)*VLOOKUP('Données projet'!$B$13,Paramètres!$A$1:$I$89,5,0)</f>
        <v>0</v>
      </c>
      <c r="CV47" s="13" t="e">
        <f t="shared" si="41"/>
        <v>#NUM!</v>
      </c>
      <c r="CW47" s="20" t="e">
        <f t="shared" si="13"/>
        <v>#NUM!</v>
      </c>
      <c r="CX47" s="59" t="e">
        <f t="shared" si="14"/>
        <v>#NUM!</v>
      </c>
      <c r="CY47" s="59">
        <f ca="1">AVERAGE(OFFSET($CX$3,0,0,'Données projet'!$E$13+1,1))-AVERAGE(OFFSET($H$3,0,0,'Données projet'!$E$13+1,1))</f>
        <v>120.26681323682763</v>
      </c>
      <c r="CZ47" s="59">
        <f t="shared" si="42"/>
        <v>344.92933166159389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25.946832558452673</v>
      </c>
      <c r="DG47" s="21">
        <f>EXP(-LN(2)/25)*DG46+(1-EXP(-LN(2)/25))/(LN(2)/25)*Calculateur!DB47*Calculateur!DD47*VLOOKUP('Données projet'!$B$13,Paramètres!$A$1:$I$89,3,0)*0.475*44/12</f>
        <v>9.1774597073525275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35.124292265805202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114.4650227251685</v>
      </c>
      <c r="T48" s="59">
        <f t="shared" si="34"/>
        <v>386.57315604590599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28.794437865776477</v>
      </c>
      <c r="AA48" s="21">
        <f>EXP(-LN(2)/25)*AA47+(1-EXP(-LN(2)/25))/(LN(2)/25)*Calculateur!V48*Calculateur!X48*VLOOKUP('Données projet'!$B$9,Paramètres!$A$1:$I$89,3,0)*0.475*44/12</f>
        <v>10.104303882030795</v>
      </c>
      <c r="AB48" s="21">
        <f>EXP(-LN(2)/2)*AB47+(1-EXP(-LN(2)/2))/(LN(2)/2)*V48*Y48*VLOOKUP('Données projet'!$B$9,Paramètres!$A$1:$I$89,3,0)*0.475*44/12</f>
        <v>0</v>
      </c>
      <c r="AC48" s="22">
        <f t="shared" si="3"/>
        <v>38.898741747807271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>
        <f>AI48*VLOOKUP('Données projet'!$B$10,Paramètres!$A$1:$I$89,3,0)*VLOOKUP('Données projet'!$B$10,Paramètres!$A$1:$I$89,5,0)</f>
        <v>0</v>
      </c>
      <c r="AK48" s="13" t="e">
        <f t="shared" si="35"/>
        <v>#NUM!</v>
      </c>
      <c r="AL48" s="20" t="e">
        <f t="shared" si="4"/>
        <v>#NUM!</v>
      </c>
      <c r="AM48" s="59" t="e">
        <f t="shared" si="5"/>
        <v>#NUM!</v>
      </c>
      <c r="AN48" s="59">
        <f ca="1">AVERAGE(OFFSET($AM$3,0,0,'Données projet'!$E$10+1,1))-AVERAGE(OFFSET($H$3,0,0,'Données projet'!$E$10+1,1))</f>
        <v>114.4650227251685</v>
      </c>
      <c r="AO48" s="59">
        <f t="shared" si="36"/>
        <v>386.57315604590599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28.794437865776477</v>
      </c>
      <c r="AV48" s="21">
        <f>EXP(-LN(2)/25)*AV47+(1-EXP(-LN(2)/25))/(LN(2)/25)*Calculateur!AQ48*Calculateur!AS48*VLOOKUP('Données projet'!$B$10,Paramètres!$A$1:$I$89,3,0)*0.475*44/12</f>
        <v>10.104303882030795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38.898741747807271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>
        <f>BD48*VLOOKUP('Données projet'!$B$11,Paramètres!$A$1:$I$89,3,0)*VLOOKUP('Données projet'!$B$11,Paramètres!$A$1:$I$89,5,0)</f>
        <v>0</v>
      </c>
      <c r="BF48" s="13" t="e">
        <f t="shared" si="37"/>
        <v>#NUM!</v>
      </c>
      <c r="BG48" s="20" t="e">
        <f t="shared" si="7"/>
        <v>#NUM!</v>
      </c>
      <c r="BH48" s="59" t="e">
        <f t="shared" si="8"/>
        <v>#NUM!</v>
      </c>
      <c r="BI48" s="59">
        <f ca="1">AVERAGE(OFFSET($BH$3,0,0,'Données projet'!$E$11+1,1))-AVERAGE(OFFSET($H$3,0,0,'Données projet'!$E$11+1,1))</f>
        <v>68.944412338382023</v>
      </c>
      <c r="BJ48" s="59">
        <f t="shared" si="38"/>
        <v>281.00389700159246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20.304892355197996</v>
      </c>
      <c r="BQ48" s="21">
        <f>EXP(-LN(2)/25)*BQ47+(1-EXP(-LN(2)/25))/(LN(2)/25)*Calculateur!BL48*Calculateur!BN48*VLOOKUP('Données projet'!$B$11,Paramètres!$A$1:$I$89,3,0)*0.475*44/12</f>
        <v>7.1252234061736974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27.430115761371695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>
        <f>BY48*VLOOKUP('Données projet'!$B$12,Paramètres!$A$1:$I$89,3,0)*VLOOKUP('Données projet'!$B$12,Paramètres!$A$1:$I$89,5,0)</f>
        <v>0</v>
      </c>
      <c r="CA48" s="13" t="e">
        <f t="shared" si="39"/>
        <v>#NUM!</v>
      </c>
      <c r="CB48" s="20" t="e">
        <f t="shared" si="10"/>
        <v>#NUM!</v>
      </c>
      <c r="CC48" s="59" t="e">
        <f t="shared" si="11"/>
        <v>#NUM!</v>
      </c>
      <c r="CD48" s="59">
        <f ca="1">AVERAGE(OFFSET($CC$3,0,0,'Données projet'!$E$12+1,1))-AVERAGE(OFFSET($H$3,0,0,'Données projet'!$E$12+1,1))</f>
        <v>120.26681323682763</v>
      </c>
      <c r="CE48" s="59">
        <f t="shared" si="40"/>
        <v>344.92933166159389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25.438030997986587</v>
      </c>
      <c r="CL48" s="21">
        <f>EXP(-LN(2)/25)*CL47+(1-EXP(-LN(2)/25))/(LN(2)/25)*Calculateur!CG48*Calculateur!CI48*VLOOKUP('Données projet'!$B$12,Paramètres!$A$1:$I$89,3,0)*0.475*44/12</f>
        <v>8.9265015890333412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34.36453258701993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>
        <f>CT48*VLOOKUP('Données projet'!$B$13,Paramètres!$A$1:$I$89,3,0)*VLOOKUP('Données projet'!$B$13,Paramètres!$A$1:$I$89,5,0)</f>
        <v>0</v>
      </c>
      <c r="CV48" s="13" t="e">
        <f t="shared" si="41"/>
        <v>#NUM!</v>
      </c>
      <c r="CW48" s="20" t="e">
        <f t="shared" si="13"/>
        <v>#NUM!</v>
      </c>
      <c r="CX48" s="59" t="e">
        <f t="shared" si="14"/>
        <v>#NUM!</v>
      </c>
      <c r="CY48" s="59">
        <f ca="1">AVERAGE(OFFSET($CX$3,0,0,'Données projet'!$E$13+1,1))-AVERAGE(OFFSET($H$3,0,0,'Données projet'!$E$13+1,1))</f>
        <v>120.26681323682763</v>
      </c>
      <c r="CZ48" s="59">
        <f t="shared" si="42"/>
        <v>344.92933166159389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25.438030997986587</v>
      </c>
      <c r="DG48" s="21">
        <f>EXP(-LN(2)/25)*DG47+(1-EXP(-LN(2)/25))/(LN(2)/25)*Calculateur!DB48*Calculateur!DD48*VLOOKUP('Données projet'!$B$13,Paramètres!$A$1:$I$89,3,0)*0.475*44/12</f>
        <v>8.9265015890333412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34.36453258701993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114.4650227251685</v>
      </c>
      <c r="T49" s="59">
        <f t="shared" si="34"/>
        <v>386.57315604590599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28.229796502101507</v>
      </c>
      <c r="AA49" s="21">
        <f>EXP(-LN(2)/25)*AA48+(1-EXP(-LN(2)/25))/(LN(2)/25)*Calculateur!V49*Calculateur!X49*VLOOKUP('Données projet'!$B$9,Paramètres!$A$1:$I$89,3,0)*0.475*44/12</f>
        <v>9.8280011610144147</v>
      </c>
      <c r="AB49" s="21">
        <f>EXP(-LN(2)/2)*AB48+(1-EXP(-LN(2)/2))/(LN(2)/2)*V49*Y49*VLOOKUP('Données projet'!$B$9,Paramètres!$A$1:$I$89,3,0)*0.475*44/12</f>
        <v>0</v>
      </c>
      <c r="AC49" s="22">
        <f t="shared" si="3"/>
        <v>38.05779766311592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>
        <f>AI49*VLOOKUP('Données projet'!$B$10,Paramètres!$A$1:$I$89,3,0)*VLOOKUP('Données projet'!$B$10,Paramètres!$A$1:$I$89,5,0)</f>
        <v>0</v>
      </c>
      <c r="AK49" s="13" t="e">
        <f t="shared" si="35"/>
        <v>#NUM!</v>
      </c>
      <c r="AL49" s="20" t="e">
        <f t="shared" si="4"/>
        <v>#NUM!</v>
      </c>
      <c r="AM49" s="59" t="e">
        <f t="shared" si="5"/>
        <v>#NUM!</v>
      </c>
      <c r="AN49" s="59">
        <f ca="1">AVERAGE(OFFSET($AM$3,0,0,'Données projet'!$E$10+1,1))-AVERAGE(OFFSET($H$3,0,0,'Données projet'!$E$10+1,1))</f>
        <v>114.4650227251685</v>
      </c>
      <c r="AO49" s="59">
        <f t="shared" si="36"/>
        <v>386.57315604590599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28.229796502101507</v>
      </c>
      <c r="AV49" s="21">
        <f>EXP(-LN(2)/25)*AV48+(1-EXP(-LN(2)/25))/(LN(2)/25)*Calculateur!AQ49*Calculateur!AS49*VLOOKUP('Données projet'!$B$10,Paramètres!$A$1:$I$89,3,0)*0.475*44/12</f>
        <v>9.8280011610144147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38.05779766311592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>
        <f>BD49*VLOOKUP('Données projet'!$B$11,Paramètres!$A$1:$I$89,3,0)*VLOOKUP('Données projet'!$B$11,Paramètres!$A$1:$I$89,5,0)</f>
        <v>0</v>
      </c>
      <c r="BF49" s="13" t="e">
        <f t="shared" si="37"/>
        <v>#NUM!</v>
      </c>
      <c r="BG49" s="20" t="e">
        <f t="shared" si="7"/>
        <v>#NUM!</v>
      </c>
      <c r="BH49" s="59" t="e">
        <f t="shared" si="8"/>
        <v>#NUM!</v>
      </c>
      <c r="BI49" s="59">
        <f ca="1">AVERAGE(OFFSET($BH$3,0,0,'Données projet'!$E$11+1,1))-AVERAGE(OFFSET($H$3,0,0,'Données projet'!$E$11+1,1))</f>
        <v>68.944412338382023</v>
      </c>
      <c r="BJ49" s="59">
        <f t="shared" si="38"/>
        <v>281.00389700159246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19.906725800874007</v>
      </c>
      <c r="BQ49" s="21">
        <f>EXP(-LN(2)/25)*BQ48+(1-EXP(-LN(2)/25))/(LN(2)/25)*Calculateur!BL49*Calculateur!BN49*VLOOKUP('Données projet'!$B$11,Paramètres!$A$1:$I$89,3,0)*0.475*44/12</f>
        <v>6.9303837974326639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26.837109598306672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>
        <f>BY49*VLOOKUP('Données projet'!$B$12,Paramètres!$A$1:$I$89,3,0)*VLOOKUP('Données projet'!$B$12,Paramètres!$A$1:$I$89,5,0)</f>
        <v>0</v>
      </c>
      <c r="CA49" s="13" t="e">
        <f t="shared" si="39"/>
        <v>#NUM!</v>
      </c>
      <c r="CB49" s="20" t="e">
        <f t="shared" si="10"/>
        <v>#NUM!</v>
      </c>
      <c r="CC49" s="59" t="e">
        <f t="shared" si="11"/>
        <v>#NUM!</v>
      </c>
      <c r="CD49" s="59">
        <f ca="1">AVERAGE(OFFSET($CC$3,0,0,'Données projet'!$E$12+1,1))-AVERAGE(OFFSET($H$3,0,0,'Données projet'!$E$12+1,1))</f>
        <v>120.26681323682763</v>
      </c>
      <c r="CE49" s="59">
        <f t="shared" si="40"/>
        <v>344.92933166159389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24.939206725782935</v>
      </c>
      <c r="CL49" s="21">
        <f>EXP(-LN(2)/25)*CL48+(1-EXP(-LN(2)/25))/(LN(2)/25)*Calculateur!CG49*Calculateur!CI49*VLOOKUP('Données projet'!$B$12,Paramètres!$A$1:$I$89,3,0)*0.475*44/12</f>
        <v>8.6824059336569075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33.62161265943984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>
        <f>CT49*VLOOKUP('Données projet'!$B$13,Paramètres!$A$1:$I$89,3,0)*VLOOKUP('Données projet'!$B$13,Paramètres!$A$1:$I$89,5,0)</f>
        <v>0</v>
      </c>
      <c r="CV49" s="13" t="e">
        <f t="shared" si="41"/>
        <v>#NUM!</v>
      </c>
      <c r="CW49" s="20" t="e">
        <f t="shared" si="13"/>
        <v>#NUM!</v>
      </c>
      <c r="CX49" s="59" t="e">
        <f t="shared" si="14"/>
        <v>#NUM!</v>
      </c>
      <c r="CY49" s="59">
        <f ca="1">AVERAGE(OFFSET($CX$3,0,0,'Données projet'!$E$13+1,1))-AVERAGE(OFFSET($H$3,0,0,'Données projet'!$E$13+1,1))</f>
        <v>120.26681323682763</v>
      </c>
      <c r="CZ49" s="59">
        <f t="shared" si="42"/>
        <v>344.92933166159389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24.939206725782935</v>
      </c>
      <c r="DG49" s="21">
        <f>EXP(-LN(2)/25)*DG48+(1-EXP(-LN(2)/25))/(LN(2)/25)*Calculateur!DB49*Calculateur!DD49*VLOOKUP('Données projet'!$B$13,Paramètres!$A$1:$I$89,3,0)*0.475*44/12</f>
        <v>8.6824059336569075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33.62161265943984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114.4650227251685</v>
      </c>
      <c r="T50" s="59">
        <f t="shared" si="34"/>
        <v>386.57315604590599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27.676227411170981</v>
      </c>
      <c r="AA50" s="21">
        <f>EXP(-LN(2)/25)*AA49+(1-EXP(-LN(2)/25))/(LN(2)/25)*Calculateur!V50*Calculateur!X50*VLOOKUP('Données projet'!$B$9,Paramètres!$A$1:$I$89,3,0)*0.475*44/12</f>
        <v>9.5592539524343572</v>
      </c>
      <c r="AB50" s="21">
        <f>EXP(-LN(2)/2)*AB49+(1-EXP(-LN(2)/2))/(LN(2)/2)*V50*Y50*VLOOKUP('Données projet'!$B$9,Paramètres!$A$1:$I$89,3,0)*0.475*44/12</f>
        <v>0</v>
      </c>
      <c r="AC50" s="22">
        <f t="shared" si="3"/>
        <v>37.235481363605338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>
        <f>AI50*VLOOKUP('Données projet'!$B$10,Paramètres!$A$1:$I$89,3,0)*VLOOKUP('Données projet'!$B$10,Paramètres!$A$1:$I$89,5,0)</f>
        <v>0</v>
      </c>
      <c r="AK50" s="13" t="e">
        <f t="shared" si="35"/>
        <v>#NUM!</v>
      </c>
      <c r="AL50" s="20" t="e">
        <f t="shared" si="4"/>
        <v>#NUM!</v>
      </c>
      <c r="AM50" s="59" t="e">
        <f t="shared" si="5"/>
        <v>#NUM!</v>
      </c>
      <c r="AN50" s="59">
        <f ca="1">AVERAGE(OFFSET($AM$3,0,0,'Données projet'!$E$10+1,1))-AVERAGE(OFFSET($H$3,0,0,'Données projet'!$E$10+1,1))</f>
        <v>114.4650227251685</v>
      </c>
      <c r="AO50" s="59">
        <f t="shared" si="36"/>
        <v>386.57315604590599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27.676227411170981</v>
      </c>
      <c r="AV50" s="21">
        <f>EXP(-LN(2)/25)*AV49+(1-EXP(-LN(2)/25))/(LN(2)/25)*Calculateur!AQ50*Calculateur!AS50*VLOOKUP('Données projet'!$B$10,Paramètres!$A$1:$I$89,3,0)*0.475*44/12</f>
        <v>9.5592539524343572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37.235481363605338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>
        <f>BD50*VLOOKUP('Données projet'!$B$11,Paramètres!$A$1:$I$89,3,0)*VLOOKUP('Données projet'!$B$11,Paramètres!$A$1:$I$89,5,0)</f>
        <v>0</v>
      </c>
      <c r="BF50" s="13" t="e">
        <f t="shared" si="37"/>
        <v>#NUM!</v>
      </c>
      <c r="BG50" s="20" t="e">
        <f t="shared" si="7"/>
        <v>#NUM!</v>
      </c>
      <c r="BH50" s="59" t="e">
        <f t="shared" si="8"/>
        <v>#NUM!</v>
      </c>
      <c r="BI50" s="59">
        <f ca="1">AVERAGE(OFFSET($BH$3,0,0,'Données projet'!$E$11+1,1))-AVERAGE(OFFSET($H$3,0,0,'Données projet'!$E$11+1,1))</f>
        <v>68.944412338382023</v>
      </c>
      <c r="BJ50" s="59">
        <f t="shared" si="38"/>
        <v>281.00389700159246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19.516367049822694</v>
      </c>
      <c r="BQ50" s="21">
        <f>EXP(-LN(2)/25)*BQ49+(1-EXP(-LN(2)/25))/(LN(2)/25)*Calculateur!BL50*Calculateur!BN50*VLOOKUP('Données projet'!$B$11,Paramètres!$A$1:$I$89,3,0)*0.475*44/12</f>
        <v>6.7408720880388238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26.257239137861518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>
        <f>BY50*VLOOKUP('Données projet'!$B$12,Paramètres!$A$1:$I$89,3,0)*VLOOKUP('Données projet'!$B$12,Paramètres!$A$1:$I$89,5,0)</f>
        <v>0</v>
      </c>
      <c r="CA50" s="13" t="e">
        <f t="shared" si="39"/>
        <v>#NUM!</v>
      </c>
      <c r="CB50" s="20" t="e">
        <f t="shared" si="10"/>
        <v>#NUM!</v>
      </c>
      <c r="CC50" s="59" t="e">
        <f t="shared" si="11"/>
        <v>#NUM!</v>
      </c>
      <c r="CD50" s="59">
        <f ca="1">AVERAGE(OFFSET($CC$3,0,0,'Données projet'!$E$12+1,1))-AVERAGE(OFFSET($H$3,0,0,'Données projet'!$E$12+1,1))</f>
        <v>120.26681323682763</v>
      </c>
      <c r="CE50" s="59">
        <f t="shared" si="40"/>
        <v>344.92933166159389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24.45016409330443</v>
      </c>
      <c r="CL50" s="21">
        <f>EXP(-LN(2)/25)*CL49+(1-EXP(-LN(2)/25))/(LN(2)/25)*Calculateur!CG50*Calculateur!CI50*VLOOKUP('Données projet'!$B$12,Paramètres!$A$1:$I$89,3,0)*0.475*44/12</f>
        <v>8.4449850868131744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32.895149180117606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>
        <f>CT50*VLOOKUP('Données projet'!$B$13,Paramètres!$A$1:$I$89,3,0)*VLOOKUP('Données projet'!$B$13,Paramètres!$A$1:$I$89,5,0)</f>
        <v>0</v>
      </c>
      <c r="CV50" s="13" t="e">
        <f t="shared" si="41"/>
        <v>#NUM!</v>
      </c>
      <c r="CW50" s="20" t="e">
        <f t="shared" si="13"/>
        <v>#NUM!</v>
      </c>
      <c r="CX50" s="59" t="e">
        <f t="shared" si="14"/>
        <v>#NUM!</v>
      </c>
      <c r="CY50" s="59">
        <f ca="1">AVERAGE(OFFSET($CX$3,0,0,'Données projet'!$E$13+1,1))-AVERAGE(OFFSET($H$3,0,0,'Données projet'!$E$13+1,1))</f>
        <v>120.26681323682763</v>
      </c>
      <c r="CZ50" s="59">
        <f t="shared" si="42"/>
        <v>344.92933166159389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24.45016409330443</v>
      </c>
      <c r="DG50" s="21">
        <f>EXP(-LN(2)/25)*DG49+(1-EXP(-LN(2)/25))/(LN(2)/25)*Calculateur!DB50*Calculateur!DD50*VLOOKUP('Données projet'!$B$13,Paramètres!$A$1:$I$89,3,0)*0.475*44/12</f>
        <v>8.4449850868131744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32.895149180117606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114.4650227251685</v>
      </c>
      <c r="T51" s="59">
        <f t="shared" si="34"/>
        <v>386.57315604590599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27.133513472469794</v>
      </c>
      <c r="AA51" s="21">
        <f>EXP(-LN(2)/25)*AA50+(1-EXP(-LN(2)/25))/(LN(2)/25)*Calculateur!V51*Calculateur!X51*VLOOKUP('Données projet'!$B$9,Paramètres!$A$1:$I$89,3,0)*0.475*44/12</f>
        <v>9.2978556504057224</v>
      </c>
      <c r="AB51" s="21">
        <f>EXP(-LN(2)/2)*AB50+(1-EXP(-LN(2)/2))/(LN(2)/2)*V51*Y51*VLOOKUP('Données projet'!$B$9,Paramètres!$A$1:$I$89,3,0)*0.475*44/12</f>
        <v>0</v>
      </c>
      <c r="AC51" s="22">
        <f t="shared" si="3"/>
        <v>36.431369122875516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>
        <f>AI51*VLOOKUP('Données projet'!$B$10,Paramètres!$A$1:$I$89,3,0)*VLOOKUP('Données projet'!$B$10,Paramètres!$A$1:$I$89,5,0)</f>
        <v>0</v>
      </c>
      <c r="AK51" s="13" t="e">
        <f t="shared" si="35"/>
        <v>#NUM!</v>
      </c>
      <c r="AL51" s="20" t="e">
        <f t="shared" si="4"/>
        <v>#NUM!</v>
      </c>
      <c r="AM51" s="59" t="e">
        <f t="shared" si="5"/>
        <v>#NUM!</v>
      </c>
      <c r="AN51" s="59">
        <f ca="1">AVERAGE(OFFSET($AM$3,0,0,'Données projet'!$E$10+1,1))-AVERAGE(OFFSET($H$3,0,0,'Données projet'!$E$10+1,1))</f>
        <v>114.4650227251685</v>
      </c>
      <c r="AO51" s="59">
        <f t="shared" si="36"/>
        <v>386.57315604590599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27.133513472469794</v>
      </c>
      <c r="AV51" s="21">
        <f>EXP(-LN(2)/25)*AV50+(1-EXP(-LN(2)/25))/(LN(2)/25)*Calculateur!AQ51*Calculateur!AS51*VLOOKUP('Données projet'!$B$10,Paramètres!$A$1:$I$89,3,0)*0.475*44/12</f>
        <v>9.2978556504057224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36.431369122875516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>
        <f>BD51*VLOOKUP('Données projet'!$B$11,Paramètres!$A$1:$I$89,3,0)*VLOOKUP('Données projet'!$B$11,Paramètres!$A$1:$I$89,5,0)</f>
        <v>0</v>
      </c>
      <c r="BF51" s="13" t="e">
        <f t="shared" si="37"/>
        <v>#NUM!</v>
      </c>
      <c r="BG51" s="20" t="e">
        <f t="shared" si="7"/>
        <v>#NUM!</v>
      </c>
      <c r="BH51" s="59" t="e">
        <f t="shared" si="8"/>
        <v>#NUM!</v>
      </c>
      <c r="BI51" s="59">
        <f ca="1">AVERAGE(OFFSET($BH$3,0,0,'Données projet'!$E$11+1,1))-AVERAGE(OFFSET($H$3,0,0,'Données projet'!$E$11+1,1))</f>
        <v>68.944412338382023</v>
      </c>
      <c r="BJ51" s="59">
        <f t="shared" si="38"/>
        <v>281.00389700159246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19.133662995784167</v>
      </c>
      <c r="BQ51" s="21">
        <f>EXP(-LN(2)/25)*BQ50+(1-EXP(-LN(2)/25))/(LN(2)/25)*Calculateur!BL51*Calculateur!BN51*VLOOKUP('Données projet'!$B$11,Paramètres!$A$1:$I$89,3,0)*0.475*44/12</f>
        <v>6.5565425863043458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25.690205582088513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>
        <f>BY51*VLOOKUP('Données projet'!$B$12,Paramètres!$A$1:$I$89,3,0)*VLOOKUP('Données projet'!$B$12,Paramètres!$A$1:$I$89,5,0)</f>
        <v>0</v>
      </c>
      <c r="CA51" s="13" t="e">
        <f t="shared" si="39"/>
        <v>#NUM!</v>
      </c>
      <c r="CB51" s="20" t="e">
        <f t="shared" si="10"/>
        <v>#NUM!</v>
      </c>
      <c r="CC51" s="59" t="e">
        <f t="shared" si="11"/>
        <v>#NUM!</v>
      </c>
      <c r="CD51" s="59">
        <f ca="1">AVERAGE(OFFSET($CC$3,0,0,'Données projet'!$E$12+1,1))-AVERAGE(OFFSET($H$3,0,0,'Données projet'!$E$12+1,1))</f>
        <v>120.26681323682763</v>
      </c>
      <c r="CE51" s="59">
        <f t="shared" si="40"/>
        <v>344.92933166159389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23.970711288562278</v>
      </c>
      <c r="CL51" s="21">
        <f>EXP(-LN(2)/25)*CL50+(1-EXP(-LN(2)/25))/(LN(2)/25)*Calculateur!CG51*Calculateur!CI51*VLOOKUP('Données projet'!$B$12,Paramètres!$A$1:$I$89,3,0)*0.475*44/12</f>
        <v>8.2140565255118041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32.184767814074078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>
        <f>CT51*VLOOKUP('Données projet'!$B$13,Paramètres!$A$1:$I$89,3,0)*VLOOKUP('Données projet'!$B$13,Paramètres!$A$1:$I$89,5,0)</f>
        <v>0</v>
      </c>
      <c r="CV51" s="13" t="e">
        <f t="shared" si="41"/>
        <v>#NUM!</v>
      </c>
      <c r="CW51" s="20" t="e">
        <f t="shared" si="13"/>
        <v>#NUM!</v>
      </c>
      <c r="CX51" s="59" t="e">
        <f t="shared" si="14"/>
        <v>#NUM!</v>
      </c>
      <c r="CY51" s="59">
        <f ca="1">AVERAGE(OFFSET($CX$3,0,0,'Données projet'!$E$13+1,1))-AVERAGE(OFFSET($H$3,0,0,'Données projet'!$E$13+1,1))</f>
        <v>120.26681323682763</v>
      </c>
      <c r="CZ51" s="59">
        <f t="shared" si="42"/>
        <v>344.92933166159389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23.970711288562278</v>
      </c>
      <c r="DG51" s="21">
        <f>EXP(-LN(2)/25)*DG50+(1-EXP(-LN(2)/25))/(LN(2)/25)*Calculateur!DB51*Calculateur!DD51*VLOOKUP('Données projet'!$B$13,Paramètres!$A$1:$I$89,3,0)*0.475*44/12</f>
        <v>8.2140565255118041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32.184767814074078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114.4650227251685</v>
      </c>
      <c r="T52" s="59">
        <f t="shared" si="34"/>
        <v>386.57315604590599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26.601441823083722</v>
      </c>
      <c r="AA52" s="21">
        <f>EXP(-LN(2)/25)*AA51+(1-EXP(-LN(2)/25))/(LN(2)/25)*Calculateur!V52*Calculateur!X52*VLOOKUP('Données projet'!$B$9,Paramètres!$A$1:$I$89,3,0)*0.475*44/12</f>
        <v>9.0436052986924</v>
      </c>
      <c r="AB52" s="21">
        <f>EXP(-LN(2)/2)*AB51+(1-EXP(-LN(2)/2))/(LN(2)/2)*V52*Y52*VLOOKUP('Données projet'!$B$9,Paramètres!$A$1:$I$89,3,0)*0.475*44/12</f>
        <v>0</v>
      </c>
      <c r="AC52" s="22">
        <f t="shared" si="3"/>
        <v>35.645047121776123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>
        <f>AI52*VLOOKUP('Données projet'!$B$10,Paramètres!$A$1:$I$89,3,0)*VLOOKUP('Données projet'!$B$10,Paramètres!$A$1:$I$89,5,0)</f>
        <v>0</v>
      </c>
      <c r="AK52" s="13" t="e">
        <f t="shared" si="35"/>
        <v>#NUM!</v>
      </c>
      <c r="AL52" s="20" t="e">
        <f t="shared" si="4"/>
        <v>#NUM!</v>
      </c>
      <c r="AM52" s="59" t="e">
        <f t="shared" si="5"/>
        <v>#NUM!</v>
      </c>
      <c r="AN52" s="59">
        <f ca="1">AVERAGE(OFFSET($AM$3,0,0,'Données projet'!$E$10+1,1))-AVERAGE(OFFSET($H$3,0,0,'Données projet'!$E$10+1,1))</f>
        <v>114.4650227251685</v>
      </c>
      <c r="AO52" s="59">
        <f t="shared" si="36"/>
        <v>386.57315604590599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26.601441823083722</v>
      </c>
      <c r="AV52" s="21">
        <f>EXP(-LN(2)/25)*AV51+(1-EXP(-LN(2)/25))/(LN(2)/25)*Calculateur!AQ52*Calculateur!AS52*VLOOKUP('Données projet'!$B$10,Paramètres!$A$1:$I$89,3,0)*0.475*44/12</f>
        <v>9.0436052986924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35.645047121776123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>
        <f>BD52*VLOOKUP('Données projet'!$B$11,Paramètres!$A$1:$I$89,3,0)*VLOOKUP('Données projet'!$B$11,Paramètres!$A$1:$I$89,5,0)</f>
        <v>0</v>
      </c>
      <c r="BF52" s="13" t="e">
        <f t="shared" si="37"/>
        <v>#NUM!</v>
      </c>
      <c r="BG52" s="20" t="e">
        <f t="shared" si="7"/>
        <v>#NUM!</v>
      </c>
      <c r="BH52" s="59" t="e">
        <f t="shared" si="8"/>
        <v>#NUM!</v>
      </c>
      <c r="BI52" s="59">
        <f ca="1">AVERAGE(OFFSET($BH$3,0,0,'Données projet'!$E$11+1,1))-AVERAGE(OFFSET($H$3,0,0,'Données projet'!$E$11+1,1))</f>
        <v>68.944412338382023</v>
      </c>
      <c r="BJ52" s="59">
        <f t="shared" si="38"/>
        <v>281.00389700159246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18.758463534818912</v>
      </c>
      <c r="BQ52" s="21">
        <f>EXP(-LN(2)/25)*BQ51+(1-EXP(-LN(2)/25))/(LN(2)/25)*Calculateur!BL52*Calculateur!BN52*VLOOKUP('Données projet'!$B$11,Paramètres!$A$1:$I$89,3,0)*0.475*44/12</f>
        <v>6.3772535844882636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25.135717119307174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>
        <f>BY52*VLOOKUP('Données projet'!$B$12,Paramètres!$A$1:$I$89,3,0)*VLOOKUP('Données projet'!$B$12,Paramètres!$A$1:$I$89,5,0)</f>
        <v>0</v>
      </c>
      <c r="CA52" s="13" t="e">
        <f t="shared" si="39"/>
        <v>#NUM!</v>
      </c>
      <c r="CB52" s="20" t="e">
        <f t="shared" si="10"/>
        <v>#NUM!</v>
      </c>
      <c r="CC52" s="59" t="e">
        <f t="shared" si="11"/>
        <v>#NUM!</v>
      </c>
      <c r="CD52" s="59">
        <f ca="1">AVERAGE(OFFSET($CC$3,0,0,'Données projet'!$E$12+1,1))-AVERAGE(OFFSET($H$3,0,0,'Données projet'!$E$12+1,1))</f>
        <v>120.26681323682763</v>
      </c>
      <c r="CE52" s="59">
        <f t="shared" si="40"/>
        <v>344.92933166159389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23.500660260883784</v>
      </c>
      <c r="CL52" s="21">
        <f>EXP(-LN(2)/25)*CL51+(1-EXP(-LN(2)/25))/(LN(2)/25)*Calculateur!CG52*Calculateur!CI52*VLOOKUP('Données projet'!$B$12,Paramètres!$A$1:$I$89,3,0)*0.475*44/12</f>
        <v>7.9894427178632244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31.490102978747007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>
        <f>CT52*VLOOKUP('Données projet'!$B$13,Paramètres!$A$1:$I$89,3,0)*VLOOKUP('Données projet'!$B$13,Paramètres!$A$1:$I$89,5,0)</f>
        <v>0</v>
      </c>
      <c r="CV52" s="13" t="e">
        <f t="shared" si="41"/>
        <v>#NUM!</v>
      </c>
      <c r="CW52" s="20" t="e">
        <f t="shared" si="13"/>
        <v>#NUM!</v>
      </c>
      <c r="CX52" s="59" t="e">
        <f t="shared" si="14"/>
        <v>#NUM!</v>
      </c>
      <c r="CY52" s="59">
        <f ca="1">AVERAGE(OFFSET($CX$3,0,0,'Données projet'!$E$13+1,1))-AVERAGE(OFFSET($H$3,0,0,'Données projet'!$E$13+1,1))</f>
        <v>120.26681323682763</v>
      </c>
      <c r="CZ52" s="59">
        <f t="shared" si="42"/>
        <v>344.92933166159389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23.500660260883784</v>
      </c>
      <c r="DG52" s="21">
        <f>EXP(-LN(2)/25)*DG51+(1-EXP(-LN(2)/25))/(LN(2)/25)*Calculateur!DB52*Calculateur!DD52*VLOOKUP('Données projet'!$B$13,Paramètres!$A$1:$I$89,3,0)*0.475*44/12</f>
        <v>7.9894427178632244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31.490102978747007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114.4650227251685</v>
      </c>
      <c r="T53" s="59">
        <f t="shared" si="34"/>
        <v>386.57315604590599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26.07980377421045</v>
      </c>
      <c r="AA53" s="21">
        <f>EXP(-LN(2)/25)*AA52+(1-EXP(-LN(2)/25))/(LN(2)/25)*Calculateur!V53*Calculateur!X53*VLOOKUP('Données projet'!$B$9,Paramètres!$A$1:$I$89,3,0)*0.475*44/12</f>
        <v>8.7963074362171234</v>
      </c>
      <c r="AB53" s="21">
        <f>EXP(-LN(2)/2)*AB52+(1-EXP(-LN(2)/2))/(LN(2)/2)*V53*Y53*VLOOKUP('Données projet'!$B$9,Paramètres!$A$1:$I$89,3,0)*0.475*44/12</f>
        <v>0</v>
      </c>
      <c r="AC53" s="22">
        <f t="shared" si="3"/>
        <v>34.876111210427574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>
        <f>AI53*VLOOKUP('Données projet'!$B$10,Paramètres!$A$1:$I$89,3,0)*VLOOKUP('Données projet'!$B$10,Paramètres!$A$1:$I$89,5,0)</f>
        <v>0</v>
      </c>
      <c r="AK53" s="13" t="e">
        <f t="shared" si="35"/>
        <v>#NUM!</v>
      </c>
      <c r="AL53" s="20" t="e">
        <f t="shared" si="4"/>
        <v>#NUM!</v>
      </c>
      <c r="AM53" s="59" t="e">
        <f t="shared" si="5"/>
        <v>#NUM!</v>
      </c>
      <c r="AN53" s="59">
        <f ca="1">AVERAGE(OFFSET($AM$3,0,0,'Données projet'!$E$10+1,1))-AVERAGE(OFFSET($H$3,0,0,'Données projet'!$E$10+1,1))</f>
        <v>114.4650227251685</v>
      </c>
      <c r="AO53" s="59">
        <f t="shared" si="36"/>
        <v>386.57315604590599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26.07980377421045</v>
      </c>
      <c r="AV53" s="21">
        <f>EXP(-LN(2)/25)*AV52+(1-EXP(-LN(2)/25))/(LN(2)/25)*Calculateur!AQ53*Calculateur!AS53*VLOOKUP('Données projet'!$B$10,Paramètres!$A$1:$I$89,3,0)*0.475*44/12</f>
        <v>8.7963074362171234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34.876111210427574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>
        <f>BD53*VLOOKUP('Données projet'!$B$11,Paramètres!$A$1:$I$89,3,0)*VLOOKUP('Données projet'!$B$11,Paramètres!$A$1:$I$89,5,0)</f>
        <v>0</v>
      </c>
      <c r="BF53" s="13" t="e">
        <f t="shared" si="37"/>
        <v>#NUM!</v>
      </c>
      <c r="BG53" s="20" t="e">
        <f t="shared" si="7"/>
        <v>#NUM!</v>
      </c>
      <c r="BH53" s="59" t="e">
        <f t="shared" si="8"/>
        <v>#NUM!</v>
      </c>
      <c r="BI53" s="59">
        <f ca="1">AVERAGE(OFFSET($BH$3,0,0,'Données projet'!$E$11+1,1))-AVERAGE(OFFSET($H$3,0,0,'Données projet'!$E$11+1,1))</f>
        <v>68.944412338382023</v>
      </c>
      <c r="BJ53" s="59">
        <f t="shared" si="38"/>
        <v>281.00389700159246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18.390621506434112</v>
      </c>
      <c r="BQ53" s="21">
        <f>EXP(-LN(2)/25)*BQ52+(1-EXP(-LN(2)/25))/(LN(2)/25)*Calculateur!BL53*Calculateur!BN53*VLOOKUP('Données projet'!$B$11,Paramètres!$A$1:$I$89,3,0)*0.475*44/12</f>
        <v>6.2028672498552417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24.593488756289354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>
        <f>BY53*VLOOKUP('Données projet'!$B$12,Paramètres!$A$1:$I$89,3,0)*VLOOKUP('Données projet'!$B$12,Paramètres!$A$1:$I$89,5,0)</f>
        <v>0</v>
      </c>
      <c r="CA53" s="13" t="e">
        <f t="shared" si="39"/>
        <v>#NUM!</v>
      </c>
      <c r="CB53" s="20" t="e">
        <f t="shared" si="10"/>
        <v>#NUM!</v>
      </c>
      <c r="CC53" s="59" t="e">
        <f t="shared" si="11"/>
        <v>#NUM!</v>
      </c>
      <c r="CD53" s="59">
        <f ca="1">AVERAGE(OFFSET($CC$3,0,0,'Données projet'!$E$12+1,1))-AVERAGE(OFFSET($H$3,0,0,'Données projet'!$E$12+1,1))</f>
        <v>120.26681323682763</v>
      </c>
      <c r="CE53" s="59">
        <f t="shared" si="40"/>
        <v>344.92933166159389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23.039826647155248</v>
      </c>
      <c r="CL53" s="21">
        <f>EXP(-LN(2)/25)*CL52+(1-EXP(-LN(2)/25))/(LN(2)/25)*Calculateur!CG53*Calculateur!CI53*VLOOKUP('Données projet'!$B$12,Paramètres!$A$1:$I$89,3,0)*0.475*44/12</f>
        <v>7.7709709865967218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30.810797633751971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>
        <f>CT53*VLOOKUP('Données projet'!$B$13,Paramètres!$A$1:$I$89,3,0)*VLOOKUP('Données projet'!$B$13,Paramètres!$A$1:$I$89,5,0)</f>
        <v>0</v>
      </c>
      <c r="CV53" s="13" t="e">
        <f t="shared" si="41"/>
        <v>#NUM!</v>
      </c>
      <c r="CW53" s="20" t="e">
        <f t="shared" si="13"/>
        <v>#NUM!</v>
      </c>
      <c r="CX53" s="59" t="e">
        <f t="shared" si="14"/>
        <v>#NUM!</v>
      </c>
      <c r="CY53" s="59">
        <f ca="1">AVERAGE(OFFSET($CX$3,0,0,'Données projet'!$E$13+1,1))-AVERAGE(OFFSET($H$3,0,0,'Données projet'!$E$13+1,1))</f>
        <v>120.26681323682763</v>
      </c>
      <c r="CZ53" s="59">
        <f t="shared" si="42"/>
        <v>344.92933166159389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23.039826647155248</v>
      </c>
      <c r="DG53" s="21">
        <f>EXP(-LN(2)/25)*DG52+(1-EXP(-LN(2)/25))/(LN(2)/25)*Calculateur!DB53*Calculateur!DD53*VLOOKUP('Données projet'!$B$13,Paramètres!$A$1:$I$89,3,0)*0.475*44/12</f>
        <v>7.7709709865967218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30.810797633751971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114.4650227251685</v>
      </c>
      <c r="T54" s="59">
        <f t="shared" si="34"/>
        <v>386.57315604590599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25.568394729307791</v>
      </c>
      <c r="AA54" s="21">
        <f>EXP(-LN(2)/25)*AA53+(1-EXP(-LN(2)/25))/(LN(2)/25)*Calculateur!V54*Calculateur!X54*VLOOKUP('Données projet'!$B$9,Paramètres!$A$1:$I$89,3,0)*0.475*44/12</f>
        <v>8.555771946796062</v>
      </c>
      <c r="AB54" s="21">
        <f>EXP(-LN(2)/2)*AB53+(1-EXP(-LN(2)/2))/(LN(2)/2)*V54*Y54*VLOOKUP('Données projet'!$B$9,Paramètres!$A$1:$I$89,3,0)*0.475*44/12</f>
        <v>0</v>
      </c>
      <c r="AC54" s="22">
        <f t="shared" si="3"/>
        <v>34.124166676103854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>
        <f>AI54*VLOOKUP('Données projet'!$B$10,Paramètres!$A$1:$I$89,3,0)*VLOOKUP('Données projet'!$B$10,Paramètres!$A$1:$I$89,5,0)</f>
        <v>0</v>
      </c>
      <c r="AK54" s="13" t="e">
        <f t="shared" si="35"/>
        <v>#NUM!</v>
      </c>
      <c r="AL54" s="20" t="e">
        <f t="shared" si="4"/>
        <v>#NUM!</v>
      </c>
      <c r="AM54" s="59" t="e">
        <f t="shared" si="5"/>
        <v>#NUM!</v>
      </c>
      <c r="AN54" s="59">
        <f ca="1">AVERAGE(OFFSET($AM$3,0,0,'Données projet'!$E$10+1,1))-AVERAGE(OFFSET($H$3,0,0,'Données projet'!$E$10+1,1))</f>
        <v>114.4650227251685</v>
      </c>
      <c r="AO54" s="59">
        <f t="shared" si="36"/>
        <v>386.57315604590599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25.568394729307791</v>
      </c>
      <c r="AV54" s="21">
        <f>EXP(-LN(2)/25)*AV53+(1-EXP(-LN(2)/25))/(LN(2)/25)*Calculateur!AQ54*Calculateur!AS54*VLOOKUP('Données projet'!$B$10,Paramètres!$A$1:$I$89,3,0)*0.475*44/12</f>
        <v>8.555771946796062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34.124166676103854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>
        <f>BD54*VLOOKUP('Données projet'!$B$11,Paramètres!$A$1:$I$89,3,0)*VLOOKUP('Données projet'!$B$11,Paramètres!$A$1:$I$89,5,0)</f>
        <v>0</v>
      </c>
      <c r="BF54" s="13" t="e">
        <f t="shared" si="37"/>
        <v>#NUM!</v>
      </c>
      <c r="BG54" s="20" t="e">
        <f t="shared" si="7"/>
        <v>#NUM!</v>
      </c>
      <c r="BH54" s="59" t="e">
        <f t="shared" si="8"/>
        <v>#NUM!</v>
      </c>
      <c r="BI54" s="59">
        <f ca="1">AVERAGE(OFFSET($BH$3,0,0,'Données projet'!$E$11+1,1))-AVERAGE(OFFSET($H$3,0,0,'Données projet'!$E$11+1,1))</f>
        <v>68.944412338382023</v>
      </c>
      <c r="BJ54" s="59">
        <f t="shared" si="38"/>
        <v>281.00389700159246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18.029992635864453</v>
      </c>
      <c r="BQ54" s="21">
        <f>EXP(-LN(2)/25)*BQ53+(1-EXP(-LN(2)/25))/(LN(2)/25)*Calculateur!BL54*Calculateur!BN54*VLOOKUP('Données projet'!$B$11,Paramètres!$A$1:$I$89,3,0)*0.475*44/12</f>
        <v>6.0332495187133386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24.063242154577793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>
        <f>BY54*VLOOKUP('Données projet'!$B$12,Paramètres!$A$1:$I$89,3,0)*VLOOKUP('Données projet'!$B$12,Paramètres!$A$1:$I$89,5,0)</f>
        <v>0</v>
      </c>
      <c r="CA54" s="13" t="e">
        <f t="shared" si="39"/>
        <v>#NUM!</v>
      </c>
      <c r="CB54" s="20" t="e">
        <f t="shared" si="10"/>
        <v>#NUM!</v>
      </c>
      <c r="CC54" s="59" t="e">
        <f t="shared" si="11"/>
        <v>#NUM!</v>
      </c>
      <c r="CD54" s="59">
        <f ca="1">AVERAGE(OFFSET($CC$3,0,0,'Données projet'!$E$12+1,1))-AVERAGE(OFFSET($H$3,0,0,'Données projet'!$E$12+1,1))</f>
        <v>120.26681323682763</v>
      </c>
      <c r="CE54" s="59">
        <f t="shared" si="40"/>
        <v>344.92933166159389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22.588029699511178</v>
      </c>
      <c r="CL54" s="21">
        <f>EXP(-LN(2)/25)*CL53+(1-EXP(-LN(2)/25))/(LN(2)/25)*Calculateur!CG54*Calculateur!CI54*VLOOKUP('Données projet'!$B$12,Paramètres!$A$1:$I$89,3,0)*0.475*44/12</f>
        <v>7.5584733763106309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30.146503075821808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>
        <f>CT54*VLOOKUP('Données projet'!$B$13,Paramètres!$A$1:$I$89,3,0)*VLOOKUP('Données projet'!$B$13,Paramètres!$A$1:$I$89,5,0)</f>
        <v>0</v>
      </c>
      <c r="CV54" s="13" t="e">
        <f t="shared" si="41"/>
        <v>#NUM!</v>
      </c>
      <c r="CW54" s="20" t="e">
        <f t="shared" si="13"/>
        <v>#NUM!</v>
      </c>
      <c r="CX54" s="59" t="e">
        <f t="shared" si="14"/>
        <v>#NUM!</v>
      </c>
      <c r="CY54" s="59">
        <f ca="1">AVERAGE(OFFSET($CX$3,0,0,'Données projet'!$E$13+1,1))-AVERAGE(OFFSET($H$3,0,0,'Données projet'!$E$13+1,1))</f>
        <v>120.26681323682763</v>
      </c>
      <c r="CZ54" s="59">
        <f t="shared" si="42"/>
        <v>344.92933166159389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22.588029699511178</v>
      </c>
      <c r="DG54" s="21">
        <f>EXP(-LN(2)/25)*DG53+(1-EXP(-LN(2)/25))/(LN(2)/25)*Calculateur!DB54*Calculateur!DD54*VLOOKUP('Données projet'!$B$13,Paramètres!$A$1:$I$89,3,0)*0.475*44/12</f>
        <v>7.5584733763106309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30.146503075821808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114.4650227251685</v>
      </c>
      <c r="T55" s="59">
        <f t="shared" si="34"/>
        <v>386.57315604590599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25.067014103846954</v>
      </c>
      <c r="AA55" s="21">
        <f>EXP(-LN(2)/25)*AA54+(1-EXP(-LN(2)/25))/(LN(2)/25)*Calculateur!V55*Calculateur!X55*VLOOKUP('Données projet'!$B$9,Paramètres!$A$1:$I$89,3,0)*0.475*44/12</f>
        <v>8.3218139129824316</v>
      </c>
      <c r="AB55" s="21">
        <f>EXP(-LN(2)/2)*AB54+(1-EXP(-LN(2)/2))/(LN(2)/2)*V55*Y55*VLOOKUP('Données projet'!$B$9,Paramètres!$A$1:$I$89,3,0)*0.475*44/12</f>
        <v>0</v>
      </c>
      <c r="AC55" s="22">
        <f t="shared" si="3"/>
        <v>33.388828016829386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>
        <f>AI55*VLOOKUP('Données projet'!$B$10,Paramètres!$A$1:$I$89,3,0)*VLOOKUP('Données projet'!$B$10,Paramètres!$A$1:$I$89,5,0)</f>
        <v>0</v>
      </c>
      <c r="AK55" s="13" t="e">
        <f t="shared" si="35"/>
        <v>#NUM!</v>
      </c>
      <c r="AL55" s="20" t="e">
        <f t="shared" si="4"/>
        <v>#NUM!</v>
      </c>
      <c r="AM55" s="59" t="e">
        <f t="shared" si="5"/>
        <v>#NUM!</v>
      </c>
      <c r="AN55" s="59">
        <f ca="1">AVERAGE(OFFSET($AM$3,0,0,'Données projet'!$E$10+1,1))-AVERAGE(OFFSET($H$3,0,0,'Données projet'!$E$10+1,1))</f>
        <v>114.4650227251685</v>
      </c>
      <c r="AO55" s="59">
        <f t="shared" si="36"/>
        <v>386.57315604590599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25.067014103846954</v>
      </c>
      <c r="AV55" s="21">
        <f>EXP(-LN(2)/25)*AV54+(1-EXP(-LN(2)/25))/(LN(2)/25)*Calculateur!AQ55*Calculateur!AS55*VLOOKUP('Données projet'!$B$10,Paramètres!$A$1:$I$89,3,0)*0.475*44/12</f>
        <v>8.3218139129824316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33.388828016829386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>
        <f>BD55*VLOOKUP('Données projet'!$B$11,Paramètres!$A$1:$I$89,3,0)*VLOOKUP('Données projet'!$B$11,Paramètres!$A$1:$I$89,5,0)</f>
        <v>0</v>
      </c>
      <c r="BF55" s="13" t="e">
        <f t="shared" si="37"/>
        <v>#NUM!</v>
      </c>
      <c r="BG55" s="20" t="e">
        <f t="shared" si="7"/>
        <v>#NUM!</v>
      </c>
      <c r="BH55" s="59" t="e">
        <f t="shared" si="8"/>
        <v>#NUM!</v>
      </c>
      <c r="BI55" s="59">
        <f ca="1">AVERAGE(OFFSET($BH$3,0,0,'Données projet'!$E$11+1,1))-AVERAGE(OFFSET($H$3,0,0,'Données projet'!$E$11+1,1))</f>
        <v>68.944412338382023</v>
      </c>
      <c r="BJ55" s="59">
        <f t="shared" si="38"/>
        <v>281.00389700159246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17.676435477484773</v>
      </c>
      <c r="BQ55" s="21">
        <f>EXP(-LN(2)/25)*BQ54+(1-EXP(-LN(2)/25))/(LN(2)/25)*Calculateur!BL55*Calculateur!BN55*VLOOKUP('Données projet'!$B$11,Paramètres!$A$1:$I$89,3,0)*0.475*44/12</f>
        <v>5.868269993349319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23.544705470834092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>
        <f>BY55*VLOOKUP('Données projet'!$B$12,Paramètres!$A$1:$I$89,3,0)*VLOOKUP('Données projet'!$B$12,Paramètres!$A$1:$I$89,5,0)</f>
        <v>0</v>
      </c>
      <c r="CA55" s="13" t="e">
        <f t="shared" si="39"/>
        <v>#NUM!</v>
      </c>
      <c r="CB55" s="20" t="e">
        <f t="shared" si="10"/>
        <v>#NUM!</v>
      </c>
      <c r="CC55" s="59" t="e">
        <f t="shared" si="11"/>
        <v>#NUM!</v>
      </c>
      <c r="CD55" s="59">
        <f ca="1">AVERAGE(OFFSET($CC$3,0,0,'Données projet'!$E$12+1,1))-AVERAGE(OFFSET($H$3,0,0,'Données projet'!$E$12+1,1))</f>
        <v>120.26681323682763</v>
      </c>
      <c r="CE55" s="59">
        <f t="shared" si="40"/>
        <v>344.92933166159389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22.145092214441483</v>
      </c>
      <c r="CL55" s="21">
        <f>EXP(-LN(2)/25)*CL54+(1-EXP(-LN(2)/25))/(LN(2)/25)*Calculateur!CG55*Calculateur!CI55*VLOOKUP('Données projet'!$B$12,Paramètres!$A$1:$I$89,3,0)*0.475*44/12</f>
        <v>7.3517865243525771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29.496878738794059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>
        <f>CT55*VLOOKUP('Données projet'!$B$13,Paramètres!$A$1:$I$89,3,0)*VLOOKUP('Données projet'!$B$13,Paramètres!$A$1:$I$89,5,0)</f>
        <v>0</v>
      </c>
      <c r="CV55" s="13" t="e">
        <f t="shared" si="41"/>
        <v>#NUM!</v>
      </c>
      <c r="CW55" s="20" t="e">
        <f t="shared" si="13"/>
        <v>#NUM!</v>
      </c>
      <c r="CX55" s="59" t="e">
        <f t="shared" si="14"/>
        <v>#NUM!</v>
      </c>
      <c r="CY55" s="59">
        <f ca="1">AVERAGE(OFFSET($CX$3,0,0,'Données projet'!$E$13+1,1))-AVERAGE(OFFSET($H$3,0,0,'Données projet'!$E$13+1,1))</f>
        <v>120.26681323682763</v>
      </c>
      <c r="CZ55" s="59">
        <f t="shared" si="42"/>
        <v>344.92933166159389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22.145092214441483</v>
      </c>
      <c r="DG55" s="21">
        <f>EXP(-LN(2)/25)*DG54+(1-EXP(-LN(2)/25))/(LN(2)/25)*Calculateur!DB55*Calculateur!DD55*VLOOKUP('Données projet'!$B$13,Paramètres!$A$1:$I$89,3,0)*0.475*44/12</f>
        <v>7.3517865243525771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29.496878738794059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114.4650227251685</v>
      </c>
      <c r="T56" s="59">
        <f t="shared" si="34"/>
        <v>386.57315604590599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24.575465246639418</v>
      </c>
      <c r="AA56" s="21">
        <f>EXP(-LN(2)/25)*AA55+(1-EXP(-LN(2)/25))/(LN(2)/25)*Calculateur!V56*Calculateur!X56*VLOOKUP('Données projet'!$B$9,Paramètres!$A$1:$I$89,3,0)*0.475*44/12</f>
        <v>8.0942534739067522</v>
      </c>
      <c r="AB56" s="21">
        <f>EXP(-LN(2)/2)*AB55+(1-EXP(-LN(2)/2))/(LN(2)/2)*V56*Y56*VLOOKUP('Données projet'!$B$9,Paramètres!$A$1:$I$89,3,0)*0.475*44/12</f>
        <v>0</v>
      </c>
      <c r="AC56" s="22">
        <f t="shared" si="3"/>
        <v>32.669718720546172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>
        <f>AI56*VLOOKUP('Données projet'!$B$10,Paramètres!$A$1:$I$89,3,0)*VLOOKUP('Données projet'!$B$10,Paramètres!$A$1:$I$89,5,0)</f>
        <v>0</v>
      </c>
      <c r="AK56" s="13" t="e">
        <f t="shared" si="35"/>
        <v>#NUM!</v>
      </c>
      <c r="AL56" s="20" t="e">
        <f t="shared" si="4"/>
        <v>#NUM!</v>
      </c>
      <c r="AM56" s="59" t="e">
        <f t="shared" si="5"/>
        <v>#NUM!</v>
      </c>
      <c r="AN56" s="59">
        <f ca="1">AVERAGE(OFFSET($AM$3,0,0,'Données projet'!$E$10+1,1))-AVERAGE(OFFSET($H$3,0,0,'Données projet'!$E$10+1,1))</f>
        <v>114.4650227251685</v>
      </c>
      <c r="AO56" s="59">
        <f t="shared" si="36"/>
        <v>386.57315604590599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24.575465246639418</v>
      </c>
      <c r="AV56" s="21">
        <f>EXP(-LN(2)/25)*AV55+(1-EXP(-LN(2)/25))/(LN(2)/25)*Calculateur!AQ56*Calculateur!AS56*VLOOKUP('Données projet'!$B$10,Paramètres!$A$1:$I$89,3,0)*0.475*44/12</f>
        <v>8.0942534739067522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32.669718720546172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>
        <f>BD56*VLOOKUP('Données projet'!$B$11,Paramètres!$A$1:$I$89,3,0)*VLOOKUP('Données projet'!$B$11,Paramètres!$A$1:$I$89,5,0)</f>
        <v>0</v>
      </c>
      <c r="BF56" s="13" t="e">
        <f t="shared" si="37"/>
        <v>#NUM!</v>
      </c>
      <c r="BG56" s="20" t="e">
        <f t="shared" si="7"/>
        <v>#NUM!</v>
      </c>
      <c r="BH56" s="59" t="e">
        <f t="shared" si="8"/>
        <v>#NUM!</v>
      </c>
      <c r="BI56" s="59">
        <f ca="1">AVERAGE(OFFSET($BH$3,0,0,'Données projet'!$E$11+1,1))-AVERAGE(OFFSET($H$3,0,0,'Données projet'!$E$11+1,1))</f>
        <v>68.944412338382023</v>
      </c>
      <c r="BJ56" s="59">
        <f t="shared" si="38"/>
        <v>281.00389700159246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17.329811359332346</v>
      </c>
      <c r="BQ56" s="21">
        <f>EXP(-LN(2)/25)*BQ55+(1-EXP(-LN(2)/25))/(LN(2)/25)*Calculateur!BL56*Calculateur!BN56*VLOOKUP('Données projet'!$B$11,Paramètres!$A$1:$I$89,3,0)*0.475*44/12</f>
        <v>5.7078018417822749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23.03761320111462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>
        <f>BY56*VLOOKUP('Données projet'!$B$12,Paramètres!$A$1:$I$89,3,0)*VLOOKUP('Données projet'!$B$12,Paramètres!$A$1:$I$89,5,0)</f>
        <v>0</v>
      </c>
      <c r="CA56" s="13" t="e">
        <f t="shared" si="39"/>
        <v>#NUM!</v>
      </c>
      <c r="CB56" s="20" t="e">
        <f t="shared" si="10"/>
        <v>#NUM!</v>
      </c>
      <c r="CC56" s="59" t="e">
        <f t="shared" si="11"/>
        <v>#NUM!</v>
      </c>
      <c r="CD56" s="59">
        <f ca="1">AVERAGE(OFFSET($CC$3,0,0,'Données projet'!$E$12+1,1))-AVERAGE(OFFSET($H$3,0,0,'Données projet'!$E$12+1,1))</f>
        <v>120.26681323682763</v>
      </c>
      <c r="CE56" s="59">
        <f t="shared" si="40"/>
        <v>344.92933166159389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21.710840463288815</v>
      </c>
      <c r="CL56" s="21">
        <f>EXP(-LN(2)/25)*CL55+(1-EXP(-LN(2)/25))/(LN(2)/25)*Calculateur!CG56*Calculateur!CI56*VLOOKUP('Données projet'!$B$12,Paramètres!$A$1:$I$89,3,0)*0.475*44/12</f>
        <v>7.1507515352305049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28.861591998519319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>
        <f>CT56*VLOOKUP('Données projet'!$B$13,Paramètres!$A$1:$I$89,3,0)*VLOOKUP('Données projet'!$B$13,Paramètres!$A$1:$I$89,5,0)</f>
        <v>0</v>
      </c>
      <c r="CV56" s="13" t="e">
        <f t="shared" si="41"/>
        <v>#NUM!</v>
      </c>
      <c r="CW56" s="20" t="e">
        <f t="shared" si="13"/>
        <v>#NUM!</v>
      </c>
      <c r="CX56" s="59" t="e">
        <f t="shared" si="14"/>
        <v>#NUM!</v>
      </c>
      <c r="CY56" s="59">
        <f ca="1">AVERAGE(OFFSET($CX$3,0,0,'Données projet'!$E$13+1,1))-AVERAGE(OFFSET($H$3,0,0,'Données projet'!$E$13+1,1))</f>
        <v>120.26681323682763</v>
      </c>
      <c r="CZ56" s="59">
        <f t="shared" si="42"/>
        <v>344.92933166159389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21.710840463288815</v>
      </c>
      <c r="DG56" s="21">
        <f>EXP(-LN(2)/25)*DG55+(1-EXP(-LN(2)/25))/(LN(2)/25)*Calculateur!DB56*Calculateur!DD56*VLOOKUP('Données projet'!$B$13,Paramètres!$A$1:$I$89,3,0)*0.475*44/12</f>
        <v>7.1507515352305049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28.861591998519319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114.4650227251685</v>
      </c>
      <c r="T57" s="59">
        <f t="shared" si="34"/>
        <v>386.57315604590599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24.093555362706525</v>
      </c>
      <c r="AA57" s="21">
        <f>EXP(-LN(2)/25)*AA56+(1-EXP(-LN(2)/25))/(LN(2)/25)*Calculateur!V57*Calculateur!X57*VLOOKUP('Données projet'!$B$9,Paramètres!$A$1:$I$89,3,0)*0.475*44/12</f>
        <v>7.8729156870044816</v>
      </c>
      <c r="AB57" s="21">
        <f>EXP(-LN(2)/2)*AB56+(1-EXP(-LN(2)/2))/(LN(2)/2)*V57*Y57*VLOOKUP('Données projet'!$B$9,Paramètres!$A$1:$I$89,3,0)*0.475*44/12</f>
        <v>0</v>
      </c>
      <c r="AC57" s="22">
        <f t="shared" si="3"/>
        <v>31.966471049711007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>
        <f>AI57*VLOOKUP('Données projet'!$B$10,Paramètres!$A$1:$I$89,3,0)*VLOOKUP('Données projet'!$B$10,Paramètres!$A$1:$I$89,5,0)</f>
        <v>0</v>
      </c>
      <c r="AK57" s="13" t="e">
        <f t="shared" si="35"/>
        <v>#NUM!</v>
      </c>
      <c r="AL57" s="20" t="e">
        <f t="shared" si="4"/>
        <v>#NUM!</v>
      </c>
      <c r="AM57" s="59" t="e">
        <f t="shared" si="5"/>
        <v>#NUM!</v>
      </c>
      <c r="AN57" s="59">
        <f ca="1">AVERAGE(OFFSET($AM$3,0,0,'Données projet'!$E$10+1,1))-AVERAGE(OFFSET($H$3,0,0,'Données projet'!$E$10+1,1))</f>
        <v>114.4650227251685</v>
      </c>
      <c r="AO57" s="59">
        <f t="shared" si="36"/>
        <v>386.57315604590599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24.093555362706525</v>
      </c>
      <c r="AV57" s="21">
        <f>EXP(-LN(2)/25)*AV56+(1-EXP(-LN(2)/25))/(LN(2)/25)*Calculateur!AQ57*Calculateur!AS57*VLOOKUP('Données projet'!$B$10,Paramètres!$A$1:$I$89,3,0)*0.475*44/12</f>
        <v>7.8729156870044816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31.966471049711007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>
        <f>BD57*VLOOKUP('Données projet'!$B$11,Paramètres!$A$1:$I$89,3,0)*VLOOKUP('Données projet'!$B$11,Paramètres!$A$1:$I$89,5,0)</f>
        <v>0</v>
      </c>
      <c r="BF57" s="13" t="e">
        <f t="shared" si="37"/>
        <v>#NUM!</v>
      </c>
      <c r="BG57" s="20" t="e">
        <f t="shared" si="7"/>
        <v>#NUM!</v>
      </c>
      <c r="BH57" s="59" t="e">
        <f t="shared" si="8"/>
        <v>#NUM!</v>
      </c>
      <c r="BI57" s="59">
        <f ca="1">AVERAGE(OFFSET($BH$3,0,0,'Données projet'!$E$11+1,1))-AVERAGE(OFFSET($H$3,0,0,'Données projet'!$E$11+1,1))</f>
        <v>68.944412338382023</v>
      </c>
      <c r="BJ57" s="59">
        <f t="shared" si="38"/>
        <v>281.00389700159246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16.989984328717053</v>
      </c>
      <c r="BQ57" s="21">
        <f>EXP(-LN(2)/25)*BQ56+(1-EXP(-LN(2)/25))/(LN(2)/25)*Calculateur!BL57*Calculateur!BN57*VLOOKUP('Données projet'!$B$11,Paramètres!$A$1:$I$89,3,0)*0.475*44/12</f>
        <v>5.5517217002584847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22.54170602897554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>
        <f>BY57*VLOOKUP('Données projet'!$B$12,Paramètres!$A$1:$I$89,3,0)*VLOOKUP('Données projet'!$B$12,Paramètres!$A$1:$I$89,5,0)</f>
        <v>0</v>
      </c>
      <c r="CA57" s="13" t="e">
        <f t="shared" si="39"/>
        <v>#NUM!</v>
      </c>
      <c r="CB57" s="20" t="e">
        <f t="shared" si="10"/>
        <v>#NUM!</v>
      </c>
      <c r="CC57" s="59" t="e">
        <f t="shared" si="11"/>
        <v>#NUM!</v>
      </c>
      <c r="CD57" s="59">
        <f ca="1">AVERAGE(OFFSET($CC$3,0,0,'Données projet'!$E$12+1,1))-AVERAGE(OFFSET($H$3,0,0,'Données projet'!$E$12+1,1))</f>
        <v>120.26681323682763</v>
      </c>
      <c r="CE57" s="59">
        <f t="shared" si="40"/>
        <v>344.92933166159389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21.285104124108834</v>
      </c>
      <c r="CL57" s="21">
        <f>EXP(-LN(2)/25)*CL56+(1-EXP(-LN(2)/25))/(LN(2)/25)*Calculateur!CG57*Calculateur!CI57*VLOOKUP('Données projet'!$B$12,Paramètres!$A$1:$I$89,3,0)*0.475*44/12</f>
        <v>6.955213858457947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28.240317982566779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>
        <f>CT57*VLOOKUP('Données projet'!$B$13,Paramètres!$A$1:$I$89,3,0)*VLOOKUP('Données projet'!$B$13,Paramètres!$A$1:$I$89,5,0)</f>
        <v>0</v>
      </c>
      <c r="CV57" s="13" t="e">
        <f t="shared" si="41"/>
        <v>#NUM!</v>
      </c>
      <c r="CW57" s="20" t="e">
        <f t="shared" si="13"/>
        <v>#NUM!</v>
      </c>
      <c r="CX57" s="59" t="e">
        <f t="shared" si="14"/>
        <v>#NUM!</v>
      </c>
      <c r="CY57" s="59">
        <f ca="1">AVERAGE(OFFSET($CX$3,0,0,'Données projet'!$E$13+1,1))-AVERAGE(OFFSET($H$3,0,0,'Données projet'!$E$13+1,1))</f>
        <v>120.26681323682763</v>
      </c>
      <c r="CZ57" s="59">
        <f t="shared" si="42"/>
        <v>344.92933166159389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21.285104124108834</v>
      </c>
      <c r="DG57" s="21">
        <f>EXP(-LN(2)/25)*DG56+(1-EXP(-LN(2)/25))/(LN(2)/25)*Calculateur!DB57*Calculateur!DD57*VLOOKUP('Données projet'!$B$13,Paramètres!$A$1:$I$89,3,0)*0.475*44/12</f>
        <v>6.955213858457947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28.240317982566779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114.4650227251685</v>
      </c>
      <c r="T58" s="59">
        <f t="shared" si="34"/>
        <v>386.57315604590599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23.621095437661548</v>
      </c>
      <c r="AA58" s="21">
        <f>EXP(-LN(2)/25)*AA57+(1-EXP(-LN(2)/25))/(LN(2)/25)*Calculateur!V58*Calculateur!X58*VLOOKUP('Données projet'!$B$9,Paramètres!$A$1:$I$89,3,0)*0.475*44/12</f>
        <v>7.6576303935247019</v>
      </c>
      <c r="AB58" s="21">
        <f>EXP(-LN(2)/2)*AB57+(1-EXP(-LN(2)/2))/(LN(2)/2)*V58*Y58*VLOOKUP('Données projet'!$B$9,Paramètres!$A$1:$I$89,3,0)*0.475*44/12</f>
        <v>0</v>
      </c>
      <c r="AC58" s="22">
        <f t="shared" si="3"/>
        <v>31.27872583118625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>
        <f>AI58*VLOOKUP('Données projet'!$B$10,Paramètres!$A$1:$I$89,3,0)*VLOOKUP('Données projet'!$B$10,Paramètres!$A$1:$I$89,5,0)</f>
        <v>0</v>
      </c>
      <c r="AK58" s="13" t="e">
        <f t="shared" si="35"/>
        <v>#NUM!</v>
      </c>
      <c r="AL58" s="20" t="e">
        <f t="shared" si="4"/>
        <v>#NUM!</v>
      </c>
      <c r="AM58" s="59" t="e">
        <f t="shared" si="5"/>
        <v>#NUM!</v>
      </c>
      <c r="AN58" s="59">
        <f ca="1">AVERAGE(OFFSET($AM$3,0,0,'Données projet'!$E$10+1,1))-AVERAGE(OFFSET($H$3,0,0,'Données projet'!$E$10+1,1))</f>
        <v>114.4650227251685</v>
      </c>
      <c r="AO58" s="59">
        <f t="shared" si="36"/>
        <v>386.57315604590599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23.621095437661548</v>
      </c>
      <c r="AV58" s="21">
        <f>EXP(-LN(2)/25)*AV57+(1-EXP(-LN(2)/25))/(LN(2)/25)*Calculateur!AQ58*Calculateur!AS58*VLOOKUP('Données projet'!$B$10,Paramètres!$A$1:$I$89,3,0)*0.475*44/12</f>
        <v>7.6576303935247019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31.27872583118625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>
        <f>BD58*VLOOKUP('Données projet'!$B$11,Paramètres!$A$1:$I$89,3,0)*VLOOKUP('Données projet'!$B$11,Paramètres!$A$1:$I$89,5,0)</f>
        <v>0</v>
      </c>
      <c r="BF58" s="13" t="e">
        <f t="shared" si="37"/>
        <v>#NUM!</v>
      </c>
      <c r="BG58" s="20" t="e">
        <f t="shared" si="7"/>
        <v>#NUM!</v>
      </c>
      <c r="BH58" s="59" t="e">
        <f t="shared" si="8"/>
        <v>#NUM!</v>
      </c>
      <c r="BI58" s="59">
        <f ca="1">AVERAGE(OFFSET($BH$3,0,0,'Données projet'!$E$11+1,1))-AVERAGE(OFFSET($H$3,0,0,'Données projet'!$E$11+1,1))</f>
        <v>68.944412338382023</v>
      </c>
      <c r="BJ58" s="59">
        <f t="shared" si="38"/>
        <v>281.00389700159246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16.656821098898103</v>
      </c>
      <c r="BQ58" s="21">
        <f>EXP(-LN(2)/25)*BQ57+(1-EXP(-LN(2)/25))/(LN(2)/25)*Calculateur!BL58*Calculateur!BN58*VLOOKUP('Données projet'!$B$11,Paramètres!$A$1:$I$89,3,0)*0.475*44/12</f>
        <v>5.3999095784125606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22.056730677310664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>
        <f>BY58*VLOOKUP('Données projet'!$B$12,Paramètres!$A$1:$I$89,3,0)*VLOOKUP('Données projet'!$B$12,Paramètres!$A$1:$I$89,5,0)</f>
        <v>0</v>
      </c>
      <c r="CA58" s="13" t="e">
        <f t="shared" si="39"/>
        <v>#NUM!</v>
      </c>
      <c r="CB58" s="20" t="e">
        <f t="shared" si="10"/>
        <v>#NUM!</v>
      </c>
      <c r="CC58" s="59" t="e">
        <f t="shared" si="11"/>
        <v>#NUM!</v>
      </c>
      <c r="CD58" s="59">
        <f ca="1">AVERAGE(OFFSET($CC$3,0,0,'Données projet'!$E$12+1,1))-AVERAGE(OFFSET($H$3,0,0,'Données projet'!$E$12+1,1))</f>
        <v>120.26681323682763</v>
      </c>
      <c r="CE58" s="59">
        <f t="shared" si="40"/>
        <v>344.92933166159389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20.867716214866647</v>
      </c>
      <c r="CL58" s="21">
        <f>EXP(-LN(2)/25)*CL57+(1-EXP(-LN(2)/25))/(LN(2)/25)*Calculateur!CG58*Calculateur!CI58*VLOOKUP('Données projet'!$B$12,Paramètres!$A$1:$I$89,3,0)*0.475*44/12</f>
        <v>6.7650231697396137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27.632739384606261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>
        <f>CT58*VLOOKUP('Données projet'!$B$13,Paramètres!$A$1:$I$89,3,0)*VLOOKUP('Données projet'!$B$13,Paramètres!$A$1:$I$89,5,0)</f>
        <v>0</v>
      </c>
      <c r="CV58" s="13" t="e">
        <f t="shared" si="41"/>
        <v>#NUM!</v>
      </c>
      <c r="CW58" s="20" t="e">
        <f t="shared" si="13"/>
        <v>#NUM!</v>
      </c>
      <c r="CX58" s="59" t="e">
        <f t="shared" si="14"/>
        <v>#NUM!</v>
      </c>
      <c r="CY58" s="59">
        <f ca="1">AVERAGE(OFFSET($CX$3,0,0,'Données projet'!$E$13+1,1))-AVERAGE(OFFSET($H$3,0,0,'Données projet'!$E$13+1,1))</f>
        <v>120.26681323682763</v>
      </c>
      <c r="CZ58" s="59">
        <f t="shared" si="42"/>
        <v>344.92933166159389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20.867716214866647</v>
      </c>
      <c r="DG58" s="21">
        <f>EXP(-LN(2)/25)*DG57+(1-EXP(-LN(2)/25))/(LN(2)/25)*Calculateur!DB58*Calculateur!DD58*VLOOKUP('Données projet'!$B$13,Paramètres!$A$1:$I$89,3,0)*0.475*44/12</f>
        <v>6.7650231697396137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27.632739384606261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114.4650227251685</v>
      </c>
      <c r="T59" s="59">
        <f t="shared" si="34"/>
        <v>386.57315604590599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23.157900163574606</v>
      </c>
      <c r="AA59" s="21">
        <f>EXP(-LN(2)/25)*AA58+(1-EXP(-LN(2)/25))/(LN(2)/25)*Calculateur!V59*Calculateur!X59*VLOOKUP('Données projet'!$B$9,Paramètres!$A$1:$I$89,3,0)*0.475*44/12</f>
        <v>7.4482320877164883</v>
      </c>
      <c r="AB59" s="21">
        <f>EXP(-LN(2)/2)*AB58+(1-EXP(-LN(2)/2))/(LN(2)/2)*V59*Y59*VLOOKUP('Données projet'!$B$9,Paramètres!$A$1:$I$89,3,0)*0.475*44/12</f>
        <v>0</v>
      </c>
      <c r="AC59" s="22">
        <f t="shared" si="3"/>
        <v>30.606132251291093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>
        <f>AI59*VLOOKUP('Données projet'!$B$10,Paramètres!$A$1:$I$89,3,0)*VLOOKUP('Données projet'!$B$10,Paramètres!$A$1:$I$89,5,0)</f>
        <v>0</v>
      </c>
      <c r="AK59" s="13" t="e">
        <f t="shared" si="35"/>
        <v>#NUM!</v>
      </c>
      <c r="AL59" s="20" t="e">
        <f t="shared" si="4"/>
        <v>#NUM!</v>
      </c>
      <c r="AM59" s="59" t="e">
        <f t="shared" si="5"/>
        <v>#NUM!</v>
      </c>
      <c r="AN59" s="59">
        <f ca="1">AVERAGE(OFFSET($AM$3,0,0,'Données projet'!$E$10+1,1))-AVERAGE(OFFSET($H$3,0,0,'Données projet'!$E$10+1,1))</f>
        <v>114.4650227251685</v>
      </c>
      <c r="AO59" s="59">
        <f t="shared" si="36"/>
        <v>386.57315604590599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23.157900163574606</v>
      </c>
      <c r="AV59" s="21">
        <f>EXP(-LN(2)/25)*AV58+(1-EXP(-LN(2)/25))/(LN(2)/25)*Calculateur!AQ59*Calculateur!AS59*VLOOKUP('Données projet'!$B$10,Paramètres!$A$1:$I$89,3,0)*0.475*44/12</f>
        <v>7.4482320877164883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30.606132251291093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>
        <f>BD59*VLOOKUP('Données projet'!$B$11,Paramètres!$A$1:$I$89,3,0)*VLOOKUP('Données projet'!$B$11,Paramètres!$A$1:$I$89,5,0)</f>
        <v>0</v>
      </c>
      <c r="BF59" s="13" t="e">
        <f t="shared" si="37"/>
        <v>#NUM!</v>
      </c>
      <c r="BG59" s="20" t="e">
        <f t="shared" si="7"/>
        <v>#NUM!</v>
      </c>
      <c r="BH59" s="59" t="e">
        <f t="shared" si="8"/>
        <v>#NUM!</v>
      </c>
      <c r="BI59" s="59">
        <f ca="1">AVERAGE(OFFSET($BH$3,0,0,'Données projet'!$E$11+1,1))-AVERAGE(OFFSET($H$3,0,0,'Données projet'!$E$11+1,1))</f>
        <v>68.944412338382023</v>
      </c>
      <c r="BJ59" s="59">
        <f t="shared" si="38"/>
        <v>281.00389700159246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16.330190996806397</v>
      </c>
      <c r="BQ59" s="21">
        <f>EXP(-LN(2)/25)*BQ58+(1-EXP(-LN(2)/25))/(LN(2)/25)*Calculateur!BL59*Calculateur!BN59*VLOOKUP('Données projet'!$B$11,Paramètres!$A$1:$I$89,3,0)*0.475*44/12</f>
        <v>5.2522487670219657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21.582439763828361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>
        <f>BY59*VLOOKUP('Données projet'!$B$12,Paramètres!$A$1:$I$89,3,0)*VLOOKUP('Données projet'!$B$12,Paramètres!$A$1:$I$89,5,0)</f>
        <v>0</v>
      </c>
      <c r="CA59" s="13" t="e">
        <f t="shared" si="39"/>
        <v>#NUM!</v>
      </c>
      <c r="CB59" s="20" t="e">
        <f t="shared" si="10"/>
        <v>#NUM!</v>
      </c>
      <c r="CC59" s="59" t="e">
        <f t="shared" si="11"/>
        <v>#NUM!</v>
      </c>
      <c r="CD59" s="59">
        <f ca="1">AVERAGE(OFFSET($CC$3,0,0,'Données projet'!$E$12+1,1))-AVERAGE(OFFSET($H$3,0,0,'Données projet'!$E$12+1,1))</f>
        <v>120.26681323682763</v>
      </c>
      <c r="CE59" s="59">
        <f t="shared" si="40"/>
        <v>344.92933166159389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20.458513027943212</v>
      </c>
      <c r="CL59" s="21">
        <f>EXP(-LN(2)/25)*CL58+(1-EXP(-LN(2)/25))/(LN(2)/25)*Calculateur!CG59*Calculateur!CI59*VLOOKUP('Données projet'!$B$12,Paramètres!$A$1:$I$89,3,0)*0.475*44/12</f>
        <v>6.5800332554059775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27.038546283349191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>
        <f>CT59*VLOOKUP('Données projet'!$B$13,Paramètres!$A$1:$I$89,3,0)*VLOOKUP('Données projet'!$B$13,Paramètres!$A$1:$I$89,5,0)</f>
        <v>0</v>
      </c>
      <c r="CV59" s="13" t="e">
        <f t="shared" si="41"/>
        <v>#NUM!</v>
      </c>
      <c r="CW59" s="20" t="e">
        <f t="shared" si="13"/>
        <v>#NUM!</v>
      </c>
      <c r="CX59" s="59" t="e">
        <f t="shared" si="14"/>
        <v>#NUM!</v>
      </c>
      <c r="CY59" s="59">
        <f ca="1">AVERAGE(OFFSET($CX$3,0,0,'Données projet'!$E$13+1,1))-AVERAGE(OFFSET($H$3,0,0,'Données projet'!$E$13+1,1))</f>
        <v>120.26681323682763</v>
      </c>
      <c r="CZ59" s="59">
        <f t="shared" si="42"/>
        <v>344.92933166159389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20.458513027943212</v>
      </c>
      <c r="DG59" s="21">
        <f>EXP(-LN(2)/25)*DG58+(1-EXP(-LN(2)/25))/(LN(2)/25)*Calculateur!DB59*Calculateur!DD59*VLOOKUP('Données projet'!$B$13,Paramètres!$A$1:$I$89,3,0)*0.475*44/12</f>
        <v>6.5800332554059775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27.038546283349191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114.4650227251685</v>
      </c>
      <c r="T60" s="59">
        <f t="shared" si="34"/>
        <v>386.57315604590599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22.703787866291286</v>
      </c>
      <c r="AA60" s="21">
        <f>EXP(-LN(2)/25)*AA59+(1-EXP(-LN(2)/25))/(LN(2)/25)*Calculateur!V60*Calculateur!X60*VLOOKUP('Données projet'!$B$9,Paramètres!$A$1:$I$89,3,0)*0.475*44/12</f>
        <v>7.2445597895923788</v>
      </c>
      <c r="AB60" s="21">
        <f>EXP(-LN(2)/2)*AB59+(1-EXP(-LN(2)/2))/(LN(2)/2)*V60*Y60*VLOOKUP('Données projet'!$B$9,Paramètres!$A$1:$I$89,3,0)*0.475*44/12</f>
        <v>0</v>
      </c>
      <c r="AC60" s="22">
        <f t="shared" si="3"/>
        <v>29.948347655883666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>
        <f>AI60*VLOOKUP('Données projet'!$B$10,Paramètres!$A$1:$I$89,3,0)*VLOOKUP('Données projet'!$B$10,Paramètres!$A$1:$I$89,5,0)</f>
        <v>0</v>
      </c>
      <c r="AK60" s="13" t="e">
        <f t="shared" si="35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114.4650227251685</v>
      </c>
      <c r="AO60" s="59">
        <f t="shared" si="36"/>
        <v>386.57315604590599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22.703787866291286</v>
      </c>
      <c r="AV60" s="21">
        <f>EXP(-LN(2)/25)*AV59+(1-EXP(-LN(2)/25))/(LN(2)/25)*Calculateur!AQ60*Calculateur!AS60*VLOOKUP('Données projet'!$B$10,Paramètres!$A$1:$I$89,3,0)*0.475*44/12</f>
        <v>7.2445597895923788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29.948347655883666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>
        <f>BD60*VLOOKUP('Données projet'!$B$11,Paramètres!$A$1:$I$89,3,0)*VLOOKUP('Données projet'!$B$11,Paramètres!$A$1:$I$89,5,0)</f>
        <v>0</v>
      </c>
      <c r="BF60" s="13" t="e">
        <f t="shared" si="37"/>
        <v>#NUM!</v>
      </c>
      <c r="BG60" s="20" t="e">
        <f t="shared" si="7"/>
        <v>#NUM!</v>
      </c>
      <c r="BH60" s="59" t="e">
        <f t="shared" si="8"/>
        <v>#NUM!</v>
      </c>
      <c r="BI60" s="59">
        <f ca="1">AVERAGE(OFFSET($BH$3,0,0,'Données projet'!$E$11+1,1))-AVERAGE(OFFSET($H$3,0,0,'Données projet'!$E$11+1,1))</f>
        <v>68.944412338382023</v>
      </c>
      <c r="BJ60" s="59">
        <f t="shared" si="38"/>
        <v>281.00389700159246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16.009965911792023</v>
      </c>
      <c r="BQ60" s="21">
        <f>EXP(-LN(2)/25)*BQ59+(1-EXP(-LN(2)/25))/(LN(2)/25)*Calculateur!BL60*Calculateur!BN60*VLOOKUP('Données projet'!$B$11,Paramètres!$A$1:$I$89,3,0)*0.475*44/12</f>
        <v>5.1086257482839912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21.118591660076014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>
        <f>BY60*VLOOKUP('Données projet'!$B$12,Paramètres!$A$1:$I$89,3,0)*VLOOKUP('Données projet'!$B$12,Paramètres!$A$1:$I$89,5,0)</f>
        <v>0</v>
      </c>
      <c r="CA60" s="13" t="e">
        <f t="shared" si="39"/>
        <v>#NUM!</v>
      </c>
      <c r="CB60" s="20" t="e">
        <f t="shared" si="10"/>
        <v>#NUM!</v>
      </c>
      <c r="CC60" s="59" t="e">
        <f t="shared" si="11"/>
        <v>#NUM!</v>
      </c>
      <c r="CD60" s="59">
        <f ca="1">AVERAGE(OFFSET($CC$3,0,0,'Données projet'!$E$12+1,1))-AVERAGE(OFFSET($H$3,0,0,'Données projet'!$E$12+1,1))</f>
        <v>120.26681323682763</v>
      </c>
      <c r="CE60" s="59">
        <f t="shared" si="40"/>
        <v>344.92933166159389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20.057334065926046</v>
      </c>
      <c r="CL60" s="21">
        <f>EXP(-LN(2)/25)*CL59+(1-EXP(-LN(2)/25))/(LN(2)/25)*Calculateur!CG60*Calculateur!CI60*VLOOKUP('Données projet'!$B$12,Paramètres!$A$1:$I$89,3,0)*0.475*44/12</f>
        <v>6.4001019000079911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26.457435965934039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>
        <f>CT60*VLOOKUP('Données projet'!$B$13,Paramètres!$A$1:$I$89,3,0)*VLOOKUP('Données projet'!$B$13,Paramètres!$A$1:$I$89,5,0)</f>
        <v>0</v>
      </c>
      <c r="CV60" s="13" t="e">
        <f t="shared" si="41"/>
        <v>#NUM!</v>
      </c>
      <c r="CW60" s="20" t="e">
        <f t="shared" si="13"/>
        <v>#NUM!</v>
      </c>
      <c r="CX60" s="59" t="e">
        <f t="shared" si="14"/>
        <v>#NUM!</v>
      </c>
      <c r="CY60" s="59">
        <f ca="1">AVERAGE(OFFSET($CX$3,0,0,'Données projet'!$E$13+1,1))-AVERAGE(OFFSET($H$3,0,0,'Données projet'!$E$13+1,1))</f>
        <v>120.26681323682763</v>
      </c>
      <c r="CZ60" s="59">
        <f t="shared" si="42"/>
        <v>344.92933166159389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20.057334065926046</v>
      </c>
      <c r="DG60" s="21">
        <f>EXP(-LN(2)/25)*DG59+(1-EXP(-LN(2)/25))/(LN(2)/25)*Calculateur!DB60*Calculateur!DD60*VLOOKUP('Données projet'!$B$13,Paramètres!$A$1:$I$89,3,0)*0.475*44/12</f>
        <v>6.4001019000079911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26.457435965934039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114.4650227251685</v>
      </c>
      <c r="T61" s="59">
        <f t="shared" si="34"/>
        <v>386.57315604590599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22.25858043417654</v>
      </c>
      <c r="AA61" s="21">
        <f>EXP(-LN(2)/25)*AA60+(1-EXP(-LN(2)/25))/(LN(2)/25)*Calculateur!V61*Calculateur!X61*VLOOKUP('Données projet'!$B$9,Paramètres!$A$1:$I$89,3,0)*0.475*44/12</f>
        <v>7.0464569211711332</v>
      </c>
      <c r="AB61" s="21">
        <f>EXP(-LN(2)/2)*AB60+(1-EXP(-LN(2)/2))/(LN(2)/2)*V61*Y61*VLOOKUP('Données projet'!$B$9,Paramètres!$A$1:$I$89,3,0)*0.475*44/12</f>
        <v>0</v>
      </c>
      <c r="AC61" s="22">
        <f t="shared" si="3"/>
        <v>29.305037355347672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>
        <f>AI61*VLOOKUP('Données projet'!$B$10,Paramètres!$A$1:$I$89,3,0)*VLOOKUP('Données projet'!$B$10,Paramètres!$A$1:$I$89,5,0)</f>
        <v>0</v>
      </c>
      <c r="AK61" s="13" t="e">
        <f t="shared" si="35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114.4650227251685</v>
      </c>
      <c r="AO61" s="59">
        <f t="shared" si="36"/>
        <v>386.57315604590599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22.25858043417654</v>
      </c>
      <c r="AV61" s="21">
        <f>EXP(-LN(2)/25)*AV60+(1-EXP(-LN(2)/25))/(LN(2)/25)*Calculateur!AQ61*Calculateur!AS61*VLOOKUP('Données projet'!$B$10,Paramètres!$A$1:$I$89,3,0)*0.475*44/12</f>
        <v>7.0464569211711332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29.305037355347672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>
        <f>BD61*VLOOKUP('Données projet'!$B$11,Paramètres!$A$1:$I$89,3,0)*VLOOKUP('Données projet'!$B$11,Paramètres!$A$1:$I$89,5,0)</f>
        <v>0</v>
      </c>
      <c r="BF61" s="13" t="e">
        <f t="shared" si="37"/>
        <v>#NUM!</v>
      </c>
      <c r="BG61" s="20" t="e">
        <f t="shared" si="7"/>
        <v>#NUM!</v>
      </c>
      <c r="BH61" s="59" t="e">
        <f t="shared" si="8"/>
        <v>#NUM!</v>
      </c>
      <c r="BI61" s="59">
        <f ca="1">AVERAGE(OFFSET($BH$3,0,0,'Données projet'!$E$11+1,1))-AVERAGE(OFFSET($H$3,0,0,'Données projet'!$E$11+1,1))</f>
        <v>68.944412338382023</v>
      </c>
      <c r="BJ61" s="59">
        <f t="shared" si="38"/>
        <v>281.00389700159246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15.696020245376761</v>
      </c>
      <c r="BQ61" s="21">
        <f>EXP(-LN(2)/25)*BQ60+(1-EXP(-LN(2)/25))/(LN(2)/25)*Calculateur!BL61*Calculateur!BN61*VLOOKUP('Données projet'!$B$11,Paramètres!$A$1:$I$89,3,0)*0.475*44/12</f>
        <v>4.9689301085462132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20.664950353922976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>
        <f>BY61*VLOOKUP('Données projet'!$B$12,Paramètres!$A$1:$I$89,3,0)*VLOOKUP('Données projet'!$B$12,Paramètres!$A$1:$I$89,5,0)</f>
        <v>0</v>
      </c>
      <c r="CA61" s="13" t="e">
        <f t="shared" si="39"/>
        <v>#NUM!</v>
      </c>
      <c r="CB61" s="20" t="e">
        <f t="shared" si="10"/>
        <v>#NUM!</v>
      </c>
      <c r="CC61" s="59" t="e">
        <f t="shared" si="11"/>
        <v>#NUM!</v>
      </c>
      <c r="CD61" s="59">
        <f ca="1">AVERAGE(OFFSET($CC$3,0,0,'Données projet'!$E$12+1,1))-AVERAGE(OFFSET($H$3,0,0,'Données projet'!$E$12+1,1))</f>
        <v>120.26681323682763</v>
      </c>
      <c r="CE61" s="59">
        <f t="shared" si="40"/>
        <v>344.92933166159389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19.664021978659033</v>
      </c>
      <c r="CL61" s="21">
        <f>EXP(-LN(2)/25)*CL60+(1-EXP(-LN(2)/25))/(LN(2)/25)*Calculateur!CG61*Calculateur!CI61*VLOOKUP('Données projet'!$B$12,Paramètres!$A$1:$I$89,3,0)*0.475*44/12</f>
        <v>6.2250907769855415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25.889112755644575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>
        <f>CT61*VLOOKUP('Données projet'!$B$13,Paramètres!$A$1:$I$89,3,0)*VLOOKUP('Données projet'!$B$13,Paramètres!$A$1:$I$89,5,0)</f>
        <v>0</v>
      </c>
      <c r="CV61" s="13" t="e">
        <f t="shared" si="41"/>
        <v>#NUM!</v>
      </c>
      <c r="CW61" s="20" t="e">
        <f t="shared" si="13"/>
        <v>#NUM!</v>
      </c>
      <c r="CX61" s="59" t="e">
        <f t="shared" si="14"/>
        <v>#NUM!</v>
      </c>
      <c r="CY61" s="59">
        <f ca="1">AVERAGE(OFFSET($CX$3,0,0,'Données projet'!$E$13+1,1))-AVERAGE(OFFSET($H$3,0,0,'Données projet'!$E$13+1,1))</f>
        <v>120.26681323682763</v>
      </c>
      <c r="CZ61" s="59">
        <f t="shared" si="42"/>
        <v>344.92933166159389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19.664021978659033</v>
      </c>
      <c r="DG61" s="21">
        <f>EXP(-LN(2)/25)*DG60+(1-EXP(-LN(2)/25))/(LN(2)/25)*Calculateur!DB61*Calculateur!DD61*VLOOKUP('Données projet'!$B$13,Paramètres!$A$1:$I$89,3,0)*0.475*44/12</f>
        <v>6.2250907769855415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25.889112755644575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114.4650227251685</v>
      </c>
      <c r="T62" s="59">
        <f t="shared" si="34"/>
        <v>386.57315604590599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21.822103248255846</v>
      </c>
      <c r="AA62" s="21">
        <f>EXP(-LN(2)/25)*AA61+(1-EXP(-LN(2)/25))/(LN(2)/25)*Calculateur!V62*Calculateur!X62*VLOOKUP('Données projet'!$B$9,Paramètres!$A$1:$I$89,3,0)*0.475*44/12</f>
        <v>6.8537711861046438</v>
      </c>
      <c r="AB62" s="21">
        <f>EXP(-LN(2)/2)*AB61+(1-EXP(-LN(2)/2))/(LN(2)/2)*V62*Y62*VLOOKUP('Données projet'!$B$9,Paramètres!$A$1:$I$89,3,0)*0.475*44/12</f>
        <v>0</v>
      </c>
      <c r="AC62" s="22">
        <f t="shared" si="3"/>
        <v>28.675874434360491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>
        <f>AI62*VLOOKUP('Données projet'!$B$10,Paramètres!$A$1:$I$89,3,0)*VLOOKUP('Données projet'!$B$10,Paramètres!$A$1:$I$89,5,0)</f>
        <v>0</v>
      </c>
      <c r="AK62" s="13" t="e">
        <f t="shared" si="35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114.4650227251685</v>
      </c>
      <c r="AO62" s="59">
        <f t="shared" si="36"/>
        <v>386.57315604590599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21.822103248255846</v>
      </c>
      <c r="AV62" s="21">
        <f>EXP(-LN(2)/25)*AV61+(1-EXP(-LN(2)/25))/(LN(2)/25)*Calculateur!AQ62*Calculateur!AS62*VLOOKUP('Données projet'!$B$10,Paramètres!$A$1:$I$89,3,0)*0.475*44/12</f>
        <v>6.8537711861046438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28.675874434360491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>
        <f>BD62*VLOOKUP('Données projet'!$B$11,Paramètres!$A$1:$I$89,3,0)*VLOOKUP('Données projet'!$B$11,Paramètres!$A$1:$I$89,5,0)</f>
        <v>0</v>
      </c>
      <c r="BF62" s="13" t="e">
        <f t="shared" si="37"/>
        <v>#NUM!</v>
      </c>
      <c r="BG62" s="20" t="e">
        <f t="shared" si="7"/>
        <v>#NUM!</v>
      </c>
      <c r="BH62" s="59" t="e">
        <f t="shared" si="8"/>
        <v>#NUM!</v>
      </c>
      <c r="BI62" s="59">
        <f ca="1">AVERAGE(OFFSET($BH$3,0,0,'Données projet'!$E$11+1,1))-AVERAGE(OFFSET($H$3,0,0,'Données projet'!$E$11+1,1))</f>
        <v>68.944412338382023</v>
      </c>
      <c r="BJ62" s="59">
        <f t="shared" si="38"/>
        <v>281.00389700159246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15.388230861991955</v>
      </c>
      <c r="BQ62" s="21">
        <f>EXP(-LN(2)/25)*BQ61+(1-EXP(-LN(2)/25))/(LN(2)/25)*Calculateur!BL62*Calculateur!BN62*VLOOKUP('Données projet'!$B$11,Paramètres!$A$1:$I$89,3,0)*0.475*44/12</f>
        <v>4.8330544534233395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20.221285315415294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>
        <f>BY62*VLOOKUP('Données projet'!$B$12,Paramètres!$A$1:$I$89,3,0)*VLOOKUP('Données projet'!$B$12,Paramètres!$A$1:$I$89,5,0)</f>
        <v>0</v>
      </c>
      <c r="CA62" s="13" t="e">
        <f t="shared" si="39"/>
        <v>#NUM!</v>
      </c>
      <c r="CB62" s="20" t="e">
        <f t="shared" si="10"/>
        <v>#NUM!</v>
      </c>
      <c r="CC62" s="59" t="e">
        <f t="shared" si="11"/>
        <v>#NUM!</v>
      </c>
      <c r="CD62" s="59">
        <f ca="1">AVERAGE(OFFSET($CC$3,0,0,'Données projet'!$E$12+1,1))-AVERAGE(OFFSET($H$3,0,0,'Données projet'!$E$12+1,1))</f>
        <v>120.26681323682763</v>
      </c>
      <c r="CE62" s="59">
        <f t="shared" si="40"/>
        <v>344.92933166159389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19.278422501526641</v>
      </c>
      <c r="CL62" s="21">
        <f>EXP(-LN(2)/25)*CL61+(1-EXP(-LN(2)/25))/(LN(2)/25)*Calculateur!CG62*Calculateur!CI62*VLOOKUP('Données projet'!$B$12,Paramètres!$A$1:$I$89,3,0)*0.475*44/12</f>
        <v>6.0548653423255754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25.333287843852219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>
        <f>CT62*VLOOKUP('Données projet'!$B$13,Paramètres!$A$1:$I$89,3,0)*VLOOKUP('Données projet'!$B$13,Paramètres!$A$1:$I$89,5,0)</f>
        <v>0</v>
      </c>
      <c r="CV62" s="13" t="e">
        <f t="shared" si="41"/>
        <v>#NUM!</v>
      </c>
      <c r="CW62" s="20" t="e">
        <f t="shared" si="13"/>
        <v>#NUM!</v>
      </c>
      <c r="CX62" s="59" t="e">
        <f t="shared" si="14"/>
        <v>#NUM!</v>
      </c>
      <c r="CY62" s="59">
        <f ca="1">AVERAGE(OFFSET($CX$3,0,0,'Données projet'!$E$13+1,1))-AVERAGE(OFFSET($H$3,0,0,'Données projet'!$E$13+1,1))</f>
        <v>120.26681323682763</v>
      </c>
      <c r="CZ62" s="59">
        <f t="shared" si="42"/>
        <v>344.92933166159389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19.278422501526641</v>
      </c>
      <c r="DG62" s="21">
        <f>EXP(-LN(2)/25)*DG61+(1-EXP(-LN(2)/25))/(LN(2)/25)*Calculateur!DB62*Calculateur!DD62*VLOOKUP('Données projet'!$B$13,Paramètres!$A$1:$I$89,3,0)*0.475*44/12</f>
        <v>6.0548653423255754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25.333287843852219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114.4650227251685</v>
      </c>
      <c r="T63" s="59">
        <f t="shared" si="34"/>
        <v>386.57315604590599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21.394185113726262</v>
      </c>
      <c r="AA63" s="21">
        <f>EXP(-LN(2)/25)*AA62+(1-EXP(-LN(2)/25))/(LN(2)/25)*Calculateur!V63*Calculateur!X63*VLOOKUP('Données projet'!$B$9,Paramètres!$A$1:$I$89,3,0)*0.475*44/12</f>
        <v>6.6663544525964502</v>
      </c>
      <c r="AB63" s="21">
        <f>EXP(-LN(2)/2)*AB62+(1-EXP(-LN(2)/2))/(LN(2)/2)*V63*Y63*VLOOKUP('Données projet'!$B$9,Paramètres!$A$1:$I$89,3,0)*0.475*44/12</f>
        <v>0</v>
      </c>
      <c r="AC63" s="22">
        <f t="shared" si="3"/>
        <v>28.060539566322714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>
        <f>AI63*VLOOKUP('Données projet'!$B$10,Paramètres!$A$1:$I$89,3,0)*VLOOKUP('Données projet'!$B$10,Paramètres!$A$1:$I$89,5,0)</f>
        <v>0</v>
      </c>
      <c r="AK63" s="13" t="e">
        <f t="shared" si="35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114.4650227251685</v>
      </c>
      <c r="AO63" s="59">
        <f t="shared" si="36"/>
        <v>386.57315604590599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21.394185113726262</v>
      </c>
      <c r="AV63" s="21">
        <f>EXP(-LN(2)/25)*AV62+(1-EXP(-LN(2)/25))/(LN(2)/25)*Calculateur!AQ63*Calculateur!AS63*VLOOKUP('Données projet'!$B$10,Paramètres!$A$1:$I$89,3,0)*0.475*44/12</f>
        <v>6.6663544525964502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28.060539566322714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>
        <f>BD63*VLOOKUP('Données projet'!$B$11,Paramètres!$A$1:$I$89,3,0)*VLOOKUP('Données projet'!$B$11,Paramètres!$A$1:$I$89,5,0)</f>
        <v>0</v>
      </c>
      <c r="BF63" s="13" t="e">
        <f t="shared" si="37"/>
        <v>#NUM!</v>
      </c>
      <c r="BG63" s="20" t="e">
        <f t="shared" si="7"/>
        <v>#NUM!</v>
      </c>
      <c r="BH63" s="59" t="e">
        <f t="shared" si="8"/>
        <v>#NUM!</v>
      </c>
      <c r="BI63" s="59">
        <f ca="1">AVERAGE(OFFSET($BH$3,0,0,'Données projet'!$E$11+1,1))-AVERAGE(OFFSET($H$3,0,0,'Données projet'!$E$11+1,1))</f>
        <v>68.944412338382023</v>
      </c>
      <c r="BJ63" s="59">
        <f t="shared" si="38"/>
        <v>281.00389700159246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15.086477040682338</v>
      </c>
      <c r="BQ63" s="21">
        <f>EXP(-LN(2)/25)*BQ62+(1-EXP(-LN(2)/25))/(LN(2)/25)*Calculateur!BL63*Calculateur!BN63*VLOOKUP('Données projet'!$B$11,Paramètres!$A$1:$I$89,3,0)*0.475*44/12</f>
        <v>4.7008943252351907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19.787371365917529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>
        <f>BY63*VLOOKUP('Données projet'!$B$12,Paramètres!$A$1:$I$89,3,0)*VLOOKUP('Données projet'!$B$12,Paramètres!$A$1:$I$89,5,0)</f>
        <v>0</v>
      </c>
      <c r="CA63" s="13" t="e">
        <f t="shared" si="39"/>
        <v>#NUM!</v>
      </c>
      <c r="CB63" s="20" t="e">
        <f t="shared" si="10"/>
        <v>#NUM!</v>
      </c>
      <c r="CC63" s="59" t="e">
        <f t="shared" si="11"/>
        <v>#NUM!</v>
      </c>
      <c r="CD63" s="59">
        <f ca="1">AVERAGE(OFFSET($CC$3,0,0,'Données projet'!$E$12+1,1))-AVERAGE(OFFSET($H$3,0,0,'Données projet'!$E$12+1,1))</f>
        <v>120.26681323682763</v>
      </c>
      <c r="CE63" s="59">
        <f t="shared" si="40"/>
        <v>344.92933166159389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18.900384394948357</v>
      </c>
      <c r="CL63" s="21">
        <f>EXP(-LN(2)/25)*CL62+(1-EXP(-LN(2)/25))/(LN(2)/25)*Calculateur!CG63*Calculateur!CI63*VLOOKUP('Données projet'!$B$12,Paramètres!$A$1:$I$89,3,0)*0.475*44/12</f>
        <v>5.8892947311281532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24.789679126076511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>
        <f>CT63*VLOOKUP('Données projet'!$B$13,Paramètres!$A$1:$I$89,3,0)*VLOOKUP('Données projet'!$B$13,Paramètres!$A$1:$I$89,5,0)</f>
        <v>0</v>
      </c>
      <c r="CV63" s="13" t="e">
        <f t="shared" si="41"/>
        <v>#NUM!</v>
      </c>
      <c r="CW63" s="20" t="e">
        <f t="shared" si="13"/>
        <v>#NUM!</v>
      </c>
      <c r="CX63" s="59" t="e">
        <f t="shared" si="14"/>
        <v>#NUM!</v>
      </c>
      <c r="CY63" s="59">
        <f ca="1">AVERAGE(OFFSET($CX$3,0,0,'Données projet'!$E$13+1,1))-AVERAGE(OFFSET($H$3,0,0,'Données projet'!$E$13+1,1))</f>
        <v>120.26681323682763</v>
      </c>
      <c r="CZ63" s="59">
        <f t="shared" si="42"/>
        <v>344.92933166159389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18.900384394948357</v>
      </c>
      <c r="DG63" s="21">
        <f>EXP(-LN(2)/25)*DG62+(1-EXP(-LN(2)/25))/(LN(2)/25)*Calculateur!DB63*Calculateur!DD63*VLOOKUP('Données projet'!$B$13,Paramètres!$A$1:$I$89,3,0)*0.475*44/12</f>
        <v>5.8892947311281532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24.789679126076511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114.4650227251685</v>
      </c>
      <c r="T64" s="59">
        <f t="shared" si="34"/>
        <v>386.57315604590599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20.974658192810512</v>
      </c>
      <c r="AA64" s="21">
        <f>EXP(-LN(2)/25)*AA63+(1-EXP(-LN(2)/25))/(LN(2)/25)*Calculateur!V64*Calculateur!X64*VLOOKUP('Données projet'!$B$9,Paramètres!$A$1:$I$89,3,0)*0.475*44/12</f>
        <v>6.4840626395218557</v>
      </c>
      <c r="AB64" s="21">
        <f>EXP(-LN(2)/2)*AB63+(1-EXP(-LN(2)/2))/(LN(2)/2)*V64*Y64*VLOOKUP('Données projet'!$B$9,Paramètres!$A$1:$I$89,3,0)*0.475*44/12</f>
        <v>0</v>
      </c>
      <c r="AC64" s="22">
        <f t="shared" si="3"/>
        <v>27.458720832332368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>
        <f>AI64*VLOOKUP('Données projet'!$B$10,Paramètres!$A$1:$I$89,3,0)*VLOOKUP('Données projet'!$B$10,Paramètres!$A$1:$I$89,5,0)</f>
        <v>0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114.4650227251685</v>
      </c>
      <c r="AO64" s="59">
        <f t="shared" si="36"/>
        <v>386.57315604590599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20.974658192810512</v>
      </c>
      <c r="AV64" s="21">
        <f>EXP(-LN(2)/25)*AV63+(1-EXP(-LN(2)/25))/(LN(2)/25)*Calculateur!AQ64*Calculateur!AS64*VLOOKUP('Données projet'!$B$10,Paramètres!$A$1:$I$89,3,0)*0.475*44/12</f>
        <v>6.4840626395218557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27.458720832332368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>
        <f>BD64*VLOOKUP('Données projet'!$B$11,Paramètres!$A$1:$I$89,3,0)*VLOOKUP('Données projet'!$B$11,Paramètres!$A$1:$I$89,5,0)</f>
        <v>0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68.944412338382023</v>
      </c>
      <c r="BJ64" s="59">
        <f t="shared" si="38"/>
        <v>281.00389700159246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14.790640427756946</v>
      </c>
      <c r="BQ64" s="21">
        <f>EXP(-LN(2)/25)*BQ63+(1-EXP(-LN(2)/25))/(LN(2)/25)*Calculateur!BL64*Calculateur!BN64*VLOOKUP('Données projet'!$B$11,Paramètres!$A$1:$I$89,3,0)*0.475*44/12</f>
        <v>4.5723481227023459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19.362988550459292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>
        <f>BY64*VLOOKUP('Données projet'!$B$12,Paramètres!$A$1:$I$89,3,0)*VLOOKUP('Données projet'!$B$12,Paramètres!$A$1:$I$89,5,0)</f>
        <v>0</v>
      </c>
      <c r="CA64" s="13" t="e">
        <f t="shared" si="39"/>
        <v>#NUM!</v>
      </c>
      <c r="CB64" s="20" t="e">
        <f t="shared" si="10"/>
        <v>#NUM!</v>
      </c>
      <c r="CC64" s="59" t="e">
        <f t="shared" si="11"/>
        <v>#NUM!</v>
      </c>
      <c r="CD64" s="59">
        <f ca="1">AVERAGE(OFFSET($CC$3,0,0,'Données projet'!$E$12+1,1))-AVERAGE(OFFSET($H$3,0,0,'Données projet'!$E$12+1,1))</f>
        <v>120.26681323682763</v>
      </c>
      <c r="CE64" s="59">
        <f t="shared" si="40"/>
        <v>344.92933166159389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18.529759385059595</v>
      </c>
      <c r="CL64" s="21">
        <f>EXP(-LN(2)/25)*CL63+(1-EXP(-LN(2)/25))/(LN(2)/25)*Calculateur!CG64*Calculateur!CI64*VLOOKUP('Données projet'!$B$12,Paramètres!$A$1:$I$89,3,0)*0.475*44/12</f>
        <v>5.7282516570009037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24.258011042060499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>
        <f>CT64*VLOOKUP('Données projet'!$B$13,Paramètres!$A$1:$I$89,3,0)*VLOOKUP('Données projet'!$B$13,Paramètres!$A$1:$I$89,5,0)</f>
        <v>0</v>
      </c>
      <c r="CV64" s="13" t="e">
        <f t="shared" si="41"/>
        <v>#NUM!</v>
      </c>
      <c r="CW64" s="20" t="e">
        <f t="shared" si="13"/>
        <v>#NUM!</v>
      </c>
      <c r="CX64" s="59" t="e">
        <f t="shared" si="14"/>
        <v>#NUM!</v>
      </c>
      <c r="CY64" s="59">
        <f ca="1">AVERAGE(OFFSET($CX$3,0,0,'Données projet'!$E$13+1,1))-AVERAGE(OFFSET($H$3,0,0,'Données projet'!$E$13+1,1))</f>
        <v>120.26681323682763</v>
      </c>
      <c r="CZ64" s="59">
        <f t="shared" si="42"/>
        <v>344.92933166159389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18.529759385059595</v>
      </c>
      <c r="DG64" s="21">
        <f>EXP(-LN(2)/25)*DG63+(1-EXP(-LN(2)/25))/(LN(2)/25)*Calculateur!DB64*Calculateur!DD64*VLOOKUP('Données projet'!$B$13,Paramètres!$A$1:$I$89,3,0)*0.475*44/12</f>
        <v>5.7282516570009037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24.258011042060499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114.4650227251685</v>
      </c>
      <c r="T65" s="59">
        <f t="shared" si="34"/>
        <v>386.57315604590599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20.563357938927766</v>
      </c>
      <c r="AA65" s="21">
        <f>EXP(-LN(2)/25)*AA64+(1-EXP(-LN(2)/25))/(LN(2)/25)*Calculateur!V65*Calculateur!X65*VLOOKUP('Données projet'!$B$9,Paramètres!$A$1:$I$89,3,0)*0.475*44/12</f>
        <v>6.3067556056620955</v>
      </c>
      <c r="AB65" s="21">
        <f>EXP(-LN(2)/2)*AB64+(1-EXP(-LN(2)/2))/(LN(2)/2)*V65*Y65*VLOOKUP('Données projet'!$B$9,Paramètres!$A$1:$I$89,3,0)*0.475*44/12</f>
        <v>0</v>
      </c>
      <c r="AC65" s="22">
        <f t="shared" si="3"/>
        <v>26.870113544589863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>
        <f>AI65*VLOOKUP('Données projet'!$B$10,Paramètres!$A$1:$I$89,3,0)*VLOOKUP('Données projet'!$B$10,Paramètres!$A$1:$I$89,5,0)</f>
        <v>0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114.4650227251685</v>
      </c>
      <c r="AO65" s="59">
        <f t="shared" si="36"/>
        <v>386.57315604590599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20.563357938927766</v>
      </c>
      <c r="AV65" s="21">
        <f>EXP(-LN(2)/25)*AV64+(1-EXP(-LN(2)/25))/(LN(2)/25)*Calculateur!AQ65*Calculateur!AS65*VLOOKUP('Données projet'!$B$10,Paramètres!$A$1:$I$89,3,0)*0.475*44/12</f>
        <v>6.3067556056620955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26.870113544589863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>
        <f>BD65*VLOOKUP('Données projet'!$B$11,Paramètres!$A$1:$I$89,3,0)*VLOOKUP('Données projet'!$B$11,Paramètres!$A$1:$I$89,5,0)</f>
        <v>0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68.944412338382023</v>
      </c>
      <c r="BJ65" s="59">
        <f t="shared" si="38"/>
        <v>281.00389700159246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14.500604990368505</v>
      </c>
      <c r="BQ65" s="21">
        <f>EXP(-LN(2)/25)*BQ64+(1-EXP(-LN(2)/25))/(LN(2)/25)*Calculateur!BL65*Calculateur!BN65*VLOOKUP('Données projet'!$B$11,Paramètres!$A$1:$I$89,3,0)*0.475*44/12</f>
        <v>4.447317022837713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18.947922013206217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>
        <f>BY65*VLOOKUP('Données projet'!$B$12,Paramètres!$A$1:$I$89,3,0)*VLOOKUP('Données projet'!$B$12,Paramètres!$A$1:$I$89,5,0)</f>
        <v>0</v>
      </c>
      <c r="CA65" s="13" t="e">
        <f t="shared" si="39"/>
        <v>#NUM!</v>
      </c>
      <c r="CB65" s="20" t="e">
        <f t="shared" si="10"/>
        <v>#NUM!</v>
      </c>
      <c r="CC65" s="59" t="e">
        <f t="shared" si="11"/>
        <v>#NUM!</v>
      </c>
      <c r="CD65" s="59">
        <f ca="1">AVERAGE(OFFSET($CC$3,0,0,'Données projet'!$E$12+1,1))-AVERAGE(OFFSET($H$3,0,0,'Données projet'!$E$12+1,1))</f>
        <v>120.26681323682763</v>
      </c>
      <c r="CE65" s="59">
        <f t="shared" si="40"/>
        <v>344.92933166159389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18.166402105555818</v>
      </c>
      <c r="CL65" s="21">
        <f>EXP(-LN(2)/25)*CL64+(1-EXP(-LN(2)/25))/(LN(2)/25)*Calculateur!CG65*Calculateur!CI65*VLOOKUP('Données projet'!$B$12,Paramètres!$A$1:$I$89,3,0)*0.475*44/12</f>
        <v>5.5716123142045513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23.738014419760368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>
        <f>CT65*VLOOKUP('Données projet'!$B$13,Paramètres!$A$1:$I$89,3,0)*VLOOKUP('Données projet'!$B$13,Paramètres!$A$1:$I$89,5,0)</f>
        <v>0</v>
      </c>
      <c r="CV65" s="13" t="e">
        <f t="shared" si="41"/>
        <v>#NUM!</v>
      </c>
      <c r="CW65" s="20" t="e">
        <f t="shared" si="13"/>
        <v>#NUM!</v>
      </c>
      <c r="CX65" s="59" t="e">
        <f t="shared" si="14"/>
        <v>#NUM!</v>
      </c>
      <c r="CY65" s="59">
        <f ca="1">AVERAGE(OFFSET($CX$3,0,0,'Données projet'!$E$13+1,1))-AVERAGE(OFFSET($H$3,0,0,'Données projet'!$E$13+1,1))</f>
        <v>120.26681323682763</v>
      </c>
      <c r="CZ65" s="59">
        <f t="shared" si="42"/>
        <v>344.92933166159389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18.166402105555818</v>
      </c>
      <c r="DG65" s="21">
        <f>EXP(-LN(2)/25)*DG64+(1-EXP(-LN(2)/25))/(LN(2)/25)*Calculateur!DB65*Calculateur!DD65*VLOOKUP('Données projet'!$B$13,Paramètres!$A$1:$I$89,3,0)*0.475*44/12</f>
        <v>5.5716123142045513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23.738014419760368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114.4650227251685</v>
      </c>
      <c r="T66" s="59">
        <f t="shared" si="34"/>
        <v>386.57315604590599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20.160123032155276</v>
      </c>
      <c r="AA66" s="21">
        <f>EXP(-LN(2)/25)*AA65+(1-EXP(-LN(2)/25))/(LN(2)/25)*Calculateur!V66*Calculateur!X66*VLOOKUP('Données projet'!$B$9,Paramètres!$A$1:$I$89,3,0)*0.475*44/12</f>
        <v>6.1342970419674021</v>
      </c>
      <c r="AB66" s="21">
        <f>EXP(-LN(2)/2)*AB65+(1-EXP(-LN(2)/2))/(LN(2)/2)*V66*Y66*VLOOKUP('Données projet'!$B$9,Paramètres!$A$1:$I$89,3,0)*0.475*44/12</f>
        <v>0</v>
      </c>
      <c r="AC66" s="22">
        <f t="shared" si="3"/>
        <v>26.294420074122677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>
        <f>AI66*VLOOKUP('Données projet'!$B$10,Paramètres!$A$1:$I$89,3,0)*VLOOKUP('Données projet'!$B$10,Paramètres!$A$1:$I$89,5,0)</f>
        <v>0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114.4650227251685</v>
      </c>
      <c r="AO66" s="59">
        <f t="shared" si="36"/>
        <v>386.57315604590599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20.160123032155276</v>
      </c>
      <c r="AV66" s="21">
        <f>EXP(-LN(2)/25)*AV65+(1-EXP(-LN(2)/25))/(LN(2)/25)*Calculateur!AQ66*Calculateur!AS66*VLOOKUP('Données projet'!$B$10,Paramètres!$A$1:$I$89,3,0)*0.475*44/12</f>
        <v>6.1342970419674021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26.294420074122677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>
        <f>BD66*VLOOKUP('Données projet'!$B$11,Paramètres!$A$1:$I$89,3,0)*VLOOKUP('Données projet'!$B$11,Paramètres!$A$1:$I$89,5,0)</f>
        <v>0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68.944412338382023</v>
      </c>
      <c r="BJ66" s="59">
        <f t="shared" si="38"/>
        <v>281.00389700159246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14.216256971003101</v>
      </c>
      <c r="BQ66" s="21">
        <f>EXP(-LN(2)/25)*BQ65+(1-EXP(-LN(2)/25))/(LN(2)/25)*Calculateur!BL66*Calculateur!BN66*VLOOKUP('Données projet'!$B$11,Paramètres!$A$1:$I$89,3,0)*0.475*44/12</f>
        <v>4.3257049049739784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18.54196187597708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>
        <f>BY66*VLOOKUP('Données projet'!$B$12,Paramètres!$A$1:$I$89,3,0)*VLOOKUP('Données projet'!$B$12,Paramètres!$A$1:$I$89,5,0)</f>
        <v>0</v>
      </c>
      <c r="CA66" s="13" t="e">
        <f t="shared" si="39"/>
        <v>#NUM!</v>
      </c>
      <c r="CB66" s="20" t="e">
        <f t="shared" si="10"/>
        <v>#NUM!</v>
      </c>
      <c r="CC66" s="59" t="e">
        <f t="shared" si="11"/>
        <v>#NUM!</v>
      </c>
      <c r="CD66" s="59">
        <f ca="1">AVERAGE(OFFSET($CC$3,0,0,'Données projet'!$E$12+1,1))-AVERAGE(OFFSET($H$3,0,0,'Données projet'!$E$12+1,1))</f>
        <v>120.26681323682763</v>
      </c>
      <c r="CE66" s="59">
        <f t="shared" si="40"/>
        <v>344.92933166159389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17.810170040677054</v>
      </c>
      <c r="CL66" s="21">
        <f>EXP(-LN(2)/25)*CL65+(1-EXP(-LN(2)/25))/(LN(2)/25)*Calculateur!CG66*Calculateur!CI66*VLOOKUP('Données projet'!$B$12,Paramètres!$A$1:$I$89,3,0)*0.475*44/12</f>
        <v>5.4192562824742705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23.229426323151323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>
        <f>CT66*VLOOKUP('Données projet'!$B$13,Paramètres!$A$1:$I$89,3,0)*VLOOKUP('Données projet'!$B$13,Paramètres!$A$1:$I$89,5,0)</f>
        <v>0</v>
      </c>
      <c r="CV66" s="13" t="e">
        <f t="shared" si="41"/>
        <v>#NUM!</v>
      </c>
      <c r="CW66" s="20" t="e">
        <f t="shared" si="13"/>
        <v>#NUM!</v>
      </c>
      <c r="CX66" s="59" t="e">
        <f t="shared" si="14"/>
        <v>#NUM!</v>
      </c>
      <c r="CY66" s="59">
        <f ca="1">AVERAGE(OFFSET($CX$3,0,0,'Données projet'!$E$13+1,1))-AVERAGE(OFFSET($H$3,0,0,'Données projet'!$E$13+1,1))</f>
        <v>120.26681323682763</v>
      </c>
      <c r="CZ66" s="59">
        <f t="shared" si="42"/>
        <v>344.92933166159389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17.810170040677054</v>
      </c>
      <c r="DG66" s="21">
        <f>EXP(-LN(2)/25)*DG65+(1-EXP(-LN(2)/25))/(LN(2)/25)*Calculateur!DB66*Calculateur!DD66*VLOOKUP('Données projet'!$B$13,Paramètres!$A$1:$I$89,3,0)*0.475*44/12</f>
        <v>5.4192562824742705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23.229426323151323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114.4650227251685</v>
      </c>
      <c r="T67" s="59">
        <f t="shared" si="34"/>
        <v>386.57315604590599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19.764795315955585</v>
      </c>
      <c r="AA67" s="21">
        <f>EXP(-LN(2)/25)*AA66+(1-EXP(-LN(2)/25))/(LN(2)/25)*Calculateur!V67*Calculateur!X67*VLOOKUP('Données projet'!$B$9,Paramètres!$A$1:$I$89,3,0)*0.475*44/12</f>
        <v>5.9665543667661423</v>
      </c>
      <c r="AB67" s="21">
        <f>EXP(-LN(2)/2)*AB66+(1-EXP(-LN(2)/2))/(LN(2)/2)*V67*Y67*VLOOKUP('Données projet'!$B$9,Paramètres!$A$1:$I$89,3,0)*0.475*44/12</f>
        <v>0</v>
      </c>
      <c r="AC67" s="22">
        <f t="shared" si="3"/>
        <v>25.731349682721728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>
        <f>AI67*VLOOKUP('Données projet'!$B$10,Paramètres!$A$1:$I$89,3,0)*VLOOKUP('Données projet'!$B$10,Paramètres!$A$1:$I$89,5,0)</f>
        <v>0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114.4650227251685</v>
      </c>
      <c r="AO67" s="59">
        <f t="shared" si="36"/>
        <v>386.57315604590599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19.764795315955585</v>
      </c>
      <c r="AV67" s="21">
        <f>EXP(-LN(2)/25)*AV66+(1-EXP(-LN(2)/25))/(LN(2)/25)*Calculateur!AQ67*Calculateur!AS67*VLOOKUP('Données projet'!$B$10,Paramètres!$A$1:$I$89,3,0)*0.475*44/12</f>
        <v>5.9665543667661423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25.731349682721728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>
        <f>BD67*VLOOKUP('Données projet'!$B$11,Paramètres!$A$1:$I$89,3,0)*VLOOKUP('Données projet'!$B$11,Paramètres!$A$1:$I$89,5,0)</f>
        <v>0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68.944412338382023</v>
      </c>
      <c r="BJ67" s="59">
        <f t="shared" si="38"/>
        <v>281.00389700159246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13.937484842862286</v>
      </c>
      <c r="BQ67" s="21">
        <f>EXP(-LN(2)/25)*BQ66+(1-EXP(-LN(2)/25))/(LN(2)/25)*Calculateur!BL67*Calculateur!BN67*VLOOKUP('Données projet'!$B$11,Paramètres!$A$1:$I$89,3,0)*0.475*44/12</f>
        <v>4.2074182768685304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18.144903119730817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>
        <f>BY67*VLOOKUP('Données projet'!$B$12,Paramètres!$A$1:$I$89,3,0)*VLOOKUP('Données projet'!$B$12,Paramètres!$A$1:$I$89,5,0)</f>
        <v>0</v>
      </c>
      <c r="CA67" s="13" t="e">
        <f t="shared" si="39"/>
        <v>#NUM!</v>
      </c>
      <c r="CB67" s="20" t="e">
        <f t="shared" si="10"/>
        <v>#NUM!</v>
      </c>
      <c r="CC67" s="59" t="e">
        <f t="shared" si="11"/>
        <v>#NUM!</v>
      </c>
      <c r="CD67" s="59">
        <f ca="1">AVERAGE(OFFSET($CC$3,0,0,'Données projet'!$E$12+1,1))-AVERAGE(OFFSET($H$3,0,0,'Données projet'!$E$12+1,1))</f>
        <v>120.26681323682763</v>
      </c>
      <c r="CE67" s="59">
        <f t="shared" si="40"/>
        <v>344.92933166159389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17.460923469310458</v>
      </c>
      <c r="CL67" s="21">
        <f>EXP(-LN(2)/25)*CL66+(1-EXP(-LN(2)/25))/(LN(2)/25)*Calculateur!CG67*Calculateur!CI67*VLOOKUP('Données projet'!$B$12,Paramètres!$A$1:$I$89,3,0)*0.475*44/12</f>
        <v>5.2710664344437097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22.731989903754169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>
        <f>CT67*VLOOKUP('Données projet'!$B$13,Paramètres!$A$1:$I$89,3,0)*VLOOKUP('Données projet'!$B$13,Paramètres!$A$1:$I$89,5,0)</f>
        <v>0</v>
      </c>
      <c r="CV67" s="13" t="e">
        <f t="shared" si="41"/>
        <v>#NUM!</v>
      </c>
      <c r="CW67" s="20" t="e">
        <f t="shared" si="13"/>
        <v>#NUM!</v>
      </c>
      <c r="CX67" s="59" t="e">
        <f t="shared" si="14"/>
        <v>#NUM!</v>
      </c>
      <c r="CY67" s="59">
        <f ca="1">AVERAGE(OFFSET($CX$3,0,0,'Données projet'!$E$13+1,1))-AVERAGE(OFFSET($H$3,0,0,'Données projet'!$E$13+1,1))</f>
        <v>120.26681323682763</v>
      </c>
      <c r="CZ67" s="59">
        <f t="shared" si="42"/>
        <v>344.92933166159389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17.460923469310458</v>
      </c>
      <c r="DG67" s="21">
        <f>EXP(-LN(2)/25)*DG66+(1-EXP(-LN(2)/25))/(LN(2)/25)*Calculateur!DB67*Calculateur!DD67*VLOOKUP('Données projet'!$B$13,Paramètres!$A$1:$I$89,3,0)*0.475*44/12</f>
        <v>5.2710664344437097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22.731989903754169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114.4650227251685</v>
      </c>
      <c r="T68" s="59">
        <f t="shared" si="34"/>
        <v>386.57315604590599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19.377219735144472</v>
      </c>
      <c r="AA68" s="21">
        <f>EXP(-LN(2)/25)*AA67+(1-EXP(-LN(2)/25))/(LN(2)/25)*Calculateur!V68*Calculateur!X68*VLOOKUP('Données projet'!$B$9,Paramètres!$A$1:$I$89,3,0)*0.475*44/12</f>
        <v>5.803398623839465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25.180618358983935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>
        <f>AI68*VLOOKUP('Données projet'!$B$10,Paramètres!$A$1:$I$89,3,0)*VLOOKUP('Données projet'!$B$10,Paramètres!$A$1:$I$89,5,0)</f>
        <v>0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114.4650227251685</v>
      </c>
      <c r="AO68" s="59">
        <f t="shared" si="36"/>
        <v>386.57315604590599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19.377219735144472</v>
      </c>
      <c r="AV68" s="21">
        <f>EXP(-LN(2)/25)*AV67+(1-EXP(-LN(2)/25))/(LN(2)/25)*Calculateur!AQ68*Calculateur!AS68*VLOOKUP('Données projet'!$B$10,Paramètres!$A$1:$I$89,3,0)*0.475*44/12</f>
        <v>5.803398623839465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25.180618358983935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>
        <f>BD68*VLOOKUP('Données projet'!$B$11,Paramètres!$A$1:$I$89,3,0)*VLOOKUP('Données projet'!$B$11,Paramètres!$A$1:$I$89,5,0)</f>
        <v>0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68.944412338382023</v>
      </c>
      <c r="BJ68" s="59">
        <f t="shared" si="38"/>
        <v>281.00389700159246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13.664179266120104</v>
      </c>
      <c r="BQ68" s="21">
        <f>EXP(-LN(2)/25)*BQ67+(1-EXP(-LN(2)/25))/(LN(2)/25)*Calculateur!BL68*Calculateur!BN68*VLOOKUP('Données projet'!$B$11,Paramètres!$A$1:$I$89,3,0)*0.475*44/12</f>
        <v>4.0923662028290497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17.756545468949156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>
        <f>BY68*VLOOKUP('Données projet'!$B$12,Paramètres!$A$1:$I$89,3,0)*VLOOKUP('Données projet'!$B$12,Paramètres!$A$1:$I$89,5,0)</f>
        <v>0</v>
      </c>
      <c r="CA68" s="13" t="e">
        <f t="shared" si="39"/>
        <v>#NUM!</v>
      </c>
      <c r="CB68" s="20" t="e">
        <f t="shared" ref="CB68:CB131" si="64">(BZ68+CA68)*0.475*44/12</f>
        <v>#NUM!</v>
      </c>
      <c r="CC68" s="59" t="e">
        <f t="shared" ref="CC68:CC131" si="65">CB68+(BT68+BU68)*44/12</f>
        <v>#NUM!</v>
      </c>
      <c r="CD68" s="59">
        <f ca="1">AVERAGE(OFFSET($CC$3,0,0,'Données projet'!$E$12+1,1))-AVERAGE(OFFSET($H$3,0,0,'Données projet'!$E$12+1,1))</f>
        <v>120.26681323682763</v>
      </c>
      <c r="CE68" s="59">
        <f t="shared" si="40"/>
        <v>344.92933166159389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17.118525410188987</v>
      </c>
      <c r="CL68" s="21">
        <f>EXP(-LN(2)/25)*CL67+(1-EXP(-LN(2)/25))/(LN(2)/25)*Calculateur!CG68*Calculateur!CI68*VLOOKUP('Données projet'!$B$12,Paramètres!$A$1:$I$89,3,0)*0.475*44/12</f>
        <v>5.12692884560051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22.245454255789497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>
        <f>CT68*VLOOKUP('Données projet'!$B$13,Paramètres!$A$1:$I$89,3,0)*VLOOKUP('Données projet'!$B$13,Paramètres!$A$1:$I$89,5,0)</f>
        <v>0</v>
      </c>
      <c r="CV68" s="13" t="e">
        <f t="shared" si="41"/>
        <v>#NUM!</v>
      </c>
      <c r="CW68" s="20" t="e">
        <f t="shared" ref="CW68:CW131" si="67">(CU68+CV68)*0.475*44/12</f>
        <v>#NUM!</v>
      </c>
      <c r="CX68" s="59" t="e">
        <f t="shared" ref="CX68:CX131" si="68">CW68+(CO68+CP68)*44/12</f>
        <v>#NUM!</v>
      </c>
      <c r="CY68" s="59">
        <f ca="1">AVERAGE(OFFSET($CX$3,0,0,'Données projet'!$E$13+1,1))-AVERAGE(OFFSET($H$3,0,0,'Données projet'!$E$13+1,1))</f>
        <v>120.26681323682763</v>
      </c>
      <c r="CZ68" s="59">
        <f t="shared" si="42"/>
        <v>344.92933166159389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17.118525410188987</v>
      </c>
      <c r="DG68" s="21">
        <f>EXP(-LN(2)/25)*DG67+(1-EXP(-LN(2)/25))/(LN(2)/25)*Calculateur!DB68*Calculateur!DD68*VLOOKUP('Données projet'!$B$13,Paramètres!$A$1:$I$89,3,0)*0.475*44/12</f>
        <v>5.12692884560051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22.245454255789497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114.4650227251685</v>
      </c>
      <c r="T69" s="59">
        <f t="shared" ref="T69:T132" si="88">$T$3</f>
        <v>386.57315604590599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18.997244275075303</v>
      </c>
      <c r="AA69" s="21">
        <f>EXP(-LN(2)/25)*AA68+(1-EXP(-LN(2)/25))/(LN(2)/25)*Calculateur!V69*Calculateur!X69*VLOOKUP('Données projet'!$B$9,Paramètres!$A$1:$I$89,3,0)*0.475*44/12</f>
        <v>5.6447043832831048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24.641948658358409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>
        <f>AI69*VLOOKUP('Données projet'!$B$10,Paramètres!$A$1:$I$89,3,0)*VLOOKUP('Données projet'!$B$10,Paramètres!$A$1:$I$89,5,0)</f>
        <v>0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114.4650227251685</v>
      </c>
      <c r="AO69" s="59">
        <f t="shared" ref="AO69:AO132" si="90">$AO$3</f>
        <v>386.57315604590599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18.997244275075303</v>
      </c>
      <c r="AV69" s="21">
        <f>EXP(-LN(2)/25)*AV68+(1-EXP(-LN(2)/25))/(LN(2)/25)*Calculateur!AQ69*Calculateur!AS69*VLOOKUP('Données projet'!$B$10,Paramètres!$A$1:$I$89,3,0)*0.475*44/12</f>
        <v>5.6447043832831048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24.641948658358409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>
        <f>BD69*VLOOKUP('Données projet'!$B$11,Paramètres!$A$1:$I$89,3,0)*VLOOKUP('Données projet'!$B$11,Paramètres!$A$1:$I$89,5,0)</f>
        <v>0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68.944412338382023</v>
      </c>
      <c r="BJ69" s="59">
        <f t="shared" ref="BJ69:BJ132" si="92">$BJ$3</f>
        <v>281.00389700159246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13.396233045037896</v>
      </c>
      <c r="BQ69" s="21">
        <f>EXP(-LN(2)/25)*BQ68+(1-EXP(-LN(2)/25))/(LN(2)/25)*Calculateur!BL69*Calculateur!BN69*VLOOKUP('Données projet'!$B$11,Paramètres!$A$1:$I$89,3,0)*0.475*44/12</f>
        <v>3.9804602338045041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17.376693278842399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>
        <f>BY69*VLOOKUP('Données projet'!$B$12,Paramètres!$A$1:$I$89,3,0)*VLOOKUP('Données projet'!$B$12,Paramètres!$A$1:$I$89,5,0)</f>
        <v>0</v>
      </c>
      <c r="CA69" s="13" t="e">
        <f t="shared" ref="CA69:CA132" si="93">EXP(-1.0587+0.8836*LN(BZ69)+0.284)</f>
        <v>#NUM!</v>
      </c>
      <c r="CB69" s="20" t="e">
        <f t="shared" si="64"/>
        <v>#NUM!</v>
      </c>
      <c r="CC69" s="59" t="e">
        <f t="shared" si="65"/>
        <v>#NUM!</v>
      </c>
      <c r="CD69" s="59">
        <f ca="1">AVERAGE(OFFSET($CC$3,0,0,'Données projet'!$E$12+1,1))-AVERAGE(OFFSET($H$3,0,0,'Données projet'!$E$12+1,1))</f>
        <v>120.26681323682763</v>
      </c>
      <c r="CE69" s="59">
        <f t="shared" ref="CE69:CE132" si="94">$CE$3</f>
        <v>344.92933166159389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16.782841568164692</v>
      </c>
      <c r="CL69" s="21">
        <f>EXP(-LN(2)/25)*CL68+(1-EXP(-LN(2)/25))/(LN(2)/25)*Calculateur!CG69*Calculateur!CI69*VLOOKUP('Données projet'!$B$12,Paramètres!$A$1:$I$89,3,0)*0.475*44/12</f>
        <v>4.9867327067040934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21.769574274868784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>
        <f>CT69*VLOOKUP('Données projet'!$B$13,Paramètres!$A$1:$I$89,3,0)*VLOOKUP('Données projet'!$B$13,Paramètres!$A$1:$I$89,5,0)</f>
        <v>0</v>
      </c>
      <c r="CV69" s="13" t="e">
        <f t="shared" ref="CV69:CV132" si="95">EXP(-1.0587+0.8836*LN(CU69)+0.284)</f>
        <v>#NUM!</v>
      </c>
      <c r="CW69" s="20" t="e">
        <f t="shared" si="67"/>
        <v>#NUM!</v>
      </c>
      <c r="CX69" s="59" t="e">
        <f t="shared" si="68"/>
        <v>#NUM!</v>
      </c>
      <c r="CY69" s="59">
        <f ca="1">AVERAGE(OFFSET($CX$3,0,0,'Données projet'!$E$13+1,1))-AVERAGE(OFFSET($H$3,0,0,'Données projet'!$E$13+1,1))</f>
        <v>120.26681323682763</v>
      </c>
      <c r="CZ69" s="59">
        <f t="shared" ref="CZ69:CZ132" si="96">$CZ$3</f>
        <v>344.92933166159389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16.782841568164692</v>
      </c>
      <c r="DG69" s="21">
        <f>EXP(-LN(2)/25)*DG68+(1-EXP(-LN(2)/25))/(LN(2)/25)*Calculateur!DB69*Calculateur!DD69*VLOOKUP('Données projet'!$B$13,Paramètres!$A$1:$I$89,3,0)*0.475*44/12</f>
        <v>4.9867327067040934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21.769574274868784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114.4650227251685</v>
      </c>
      <c r="T70" s="59">
        <f t="shared" si="88"/>
        <v>386.57315604590599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18.624719902015947</v>
      </c>
      <c r="AA70" s="21">
        <f>EXP(-LN(2)/25)*AA69+(1-EXP(-LN(2)/25))/(LN(2)/25)*Calculateur!V70*Calculateur!X70*VLOOKUP('Données projet'!$B$9,Paramètres!$A$1:$I$89,3,0)*0.475*44/12</f>
        <v>5.4903496450801255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24.115069547096073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>
        <f>AI70*VLOOKUP('Données projet'!$B$10,Paramètres!$A$1:$I$89,3,0)*VLOOKUP('Données projet'!$B$10,Paramètres!$A$1:$I$89,5,0)</f>
        <v>0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114.4650227251685</v>
      </c>
      <c r="AO70" s="59">
        <f t="shared" si="90"/>
        <v>386.57315604590599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18.624719902015947</v>
      </c>
      <c r="AV70" s="21">
        <f>EXP(-LN(2)/25)*AV69+(1-EXP(-LN(2)/25))/(LN(2)/25)*Calculateur!AQ70*Calculateur!AS70*VLOOKUP('Données projet'!$B$10,Paramètres!$A$1:$I$89,3,0)*0.475*44/12</f>
        <v>5.4903496450801255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24.115069547096073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>
        <f>BD70*VLOOKUP('Données projet'!$B$11,Paramètres!$A$1:$I$89,3,0)*VLOOKUP('Données projet'!$B$11,Paramètres!$A$1:$I$89,5,0)</f>
        <v>0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68.944412338382023</v>
      </c>
      <c r="BJ70" s="59">
        <f t="shared" si="92"/>
        <v>281.00389700159246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13.133541085920051</v>
      </c>
      <c r="BQ70" s="21">
        <f>EXP(-LN(2)/25)*BQ69+(1-EXP(-LN(2)/25))/(LN(2)/25)*Calculateur!BL70*Calculateur!BN70*VLOOKUP('Données projet'!$B$11,Paramètres!$A$1:$I$89,3,0)*0.475*44/12</f>
        <v>3.8716143393878135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17.005155425307866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>
        <f>BY70*VLOOKUP('Données projet'!$B$12,Paramètres!$A$1:$I$89,3,0)*VLOOKUP('Données projet'!$B$12,Paramètres!$A$1:$I$89,5,0)</f>
        <v>0</v>
      </c>
      <c r="CA70" s="13" t="e">
        <f t="shared" si="93"/>
        <v>#NUM!</v>
      </c>
      <c r="CB70" s="20" t="e">
        <f t="shared" si="64"/>
        <v>#NUM!</v>
      </c>
      <c r="CC70" s="59" t="e">
        <f t="shared" si="65"/>
        <v>#NUM!</v>
      </c>
      <c r="CD70" s="59">
        <f ca="1">AVERAGE(OFFSET($CC$3,0,0,'Données projet'!$E$12+1,1))-AVERAGE(OFFSET($H$3,0,0,'Données projet'!$E$12+1,1))</f>
        <v>120.26681323682763</v>
      </c>
      <c r="CE70" s="59">
        <f t="shared" si="94"/>
        <v>344.92933166159389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16.453740281535566</v>
      </c>
      <c r="CL70" s="21">
        <f>EXP(-LN(2)/25)*CL69+(1-EXP(-LN(2)/25))/(LN(2)/25)*Calculateur!CG70*Calculateur!CI70*VLOOKUP('Données projet'!$B$12,Paramètres!$A$1:$I$89,3,0)*0.475*44/12</f>
        <v>4.8503702385983942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21.30411052013396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>
        <f>CT70*VLOOKUP('Données projet'!$B$13,Paramètres!$A$1:$I$89,3,0)*VLOOKUP('Données projet'!$B$13,Paramètres!$A$1:$I$89,5,0)</f>
        <v>0</v>
      </c>
      <c r="CV70" s="13" t="e">
        <f t="shared" si="95"/>
        <v>#NUM!</v>
      </c>
      <c r="CW70" s="20" t="e">
        <f t="shared" si="67"/>
        <v>#NUM!</v>
      </c>
      <c r="CX70" s="59" t="e">
        <f t="shared" si="68"/>
        <v>#NUM!</v>
      </c>
      <c r="CY70" s="59">
        <f ca="1">AVERAGE(OFFSET($CX$3,0,0,'Données projet'!$E$13+1,1))-AVERAGE(OFFSET($H$3,0,0,'Données projet'!$E$13+1,1))</f>
        <v>120.26681323682763</v>
      </c>
      <c r="CZ70" s="59">
        <f t="shared" si="96"/>
        <v>344.92933166159389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16.453740281535566</v>
      </c>
      <c r="DG70" s="21">
        <f>EXP(-LN(2)/25)*DG69+(1-EXP(-LN(2)/25))/(LN(2)/25)*Calculateur!DB70*Calculateur!DD70*VLOOKUP('Données projet'!$B$13,Paramètres!$A$1:$I$89,3,0)*0.475*44/12</f>
        <v>4.8503702385983942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21.30411052013396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114.4650227251685</v>
      </c>
      <c r="T71" s="59">
        <f t="shared" si="88"/>
        <v>386.57315604590599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18.259500504694852</v>
      </c>
      <c r="AA71" s="21">
        <f>EXP(-LN(2)/25)*AA70+(1-EXP(-LN(2)/25))/(LN(2)/25)*Calculateur!V71*Calculateur!X71*VLOOKUP('Données projet'!$B$9,Paramètres!$A$1:$I$89,3,0)*0.475*44/12</f>
        <v>5.3402157453104699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23.599716250005322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>
        <f>AI71*VLOOKUP('Données projet'!$B$10,Paramètres!$A$1:$I$89,3,0)*VLOOKUP('Données projet'!$B$10,Paramètres!$A$1:$I$89,5,0)</f>
        <v>0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114.4650227251685</v>
      </c>
      <c r="AO71" s="59">
        <f t="shared" si="90"/>
        <v>386.57315604590599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18.259500504694852</v>
      </c>
      <c r="AV71" s="21">
        <f>EXP(-LN(2)/25)*AV70+(1-EXP(-LN(2)/25))/(LN(2)/25)*Calculateur!AQ71*Calculateur!AS71*VLOOKUP('Données projet'!$B$10,Paramètres!$A$1:$I$89,3,0)*0.475*44/12</f>
        <v>5.3402157453104699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23.599716250005322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>
        <f>BD71*VLOOKUP('Données projet'!$B$11,Paramètres!$A$1:$I$89,3,0)*VLOOKUP('Données projet'!$B$11,Paramètres!$A$1:$I$89,5,0)</f>
        <v>0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68.944412338382023</v>
      </c>
      <c r="BJ71" s="59">
        <f t="shared" si="92"/>
        <v>281.00389700159246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12.876000355894233</v>
      </c>
      <c r="BQ71" s="21">
        <f>EXP(-LN(2)/25)*BQ70+(1-EXP(-LN(2)/25))/(LN(2)/25)*Calculateur!BL71*Calculateur!BN71*VLOOKUP('Données projet'!$B$11,Paramètres!$A$1:$I$89,3,0)*0.475*44/12</f>
        <v>3.7657448416779045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16.641745197572138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>
        <f>BY71*VLOOKUP('Données projet'!$B$12,Paramètres!$A$1:$I$89,3,0)*VLOOKUP('Données projet'!$B$12,Paramètres!$A$1:$I$89,5,0)</f>
        <v>0</v>
      </c>
      <c r="CA71" s="13" t="e">
        <f t="shared" si="93"/>
        <v>#NUM!</v>
      </c>
      <c r="CB71" s="20" t="e">
        <f t="shared" si="64"/>
        <v>#NUM!</v>
      </c>
      <c r="CC71" s="59" t="e">
        <f t="shared" si="65"/>
        <v>#NUM!</v>
      </c>
      <c r="CD71" s="59">
        <f ca="1">AVERAGE(OFFSET($CC$3,0,0,'Données projet'!$E$12+1,1))-AVERAGE(OFFSET($H$3,0,0,'Données projet'!$E$12+1,1))</f>
        <v>120.26681323682763</v>
      </c>
      <c r="CE71" s="59">
        <f t="shared" si="94"/>
        <v>344.92933166159389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16.131092470405274</v>
      </c>
      <c r="CL71" s="21">
        <f>EXP(-LN(2)/25)*CL70+(1-EXP(-LN(2)/25))/(LN(2)/25)*Calculateur!CG71*Calculateur!CI71*VLOOKUP('Données projet'!$B$12,Paramètres!$A$1:$I$89,3,0)*0.475*44/12</f>
        <v>4.717736609354036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20.848829079759312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>
        <f>CT71*VLOOKUP('Données projet'!$B$13,Paramètres!$A$1:$I$89,3,0)*VLOOKUP('Données projet'!$B$13,Paramètres!$A$1:$I$89,5,0)</f>
        <v>0</v>
      </c>
      <c r="CV71" s="13" t="e">
        <f t="shared" si="95"/>
        <v>#NUM!</v>
      </c>
      <c r="CW71" s="20" t="e">
        <f t="shared" si="67"/>
        <v>#NUM!</v>
      </c>
      <c r="CX71" s="59" t="e">
        <f t="shared" si="68"/>
        <v>#NUM!</v>
      </c>
      <c r="CY71" s="59">
        <f ca="1">AVERAGE(OFFSET($CX$3,0,0,'Données projet'!$E$13+1,1))-AVERAGE(OFFSET($H$3,0,0,'Données projet'!$E$13+1,1))</f>
        <v>120.26681323682763</v>
      </c>
      <c r="CZ71" s="59">
        <f t="shared" si="96"/>
        <v>344.92933166159389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16.131092470405274</v>
      </c>
      <c r="DG71" s="21">
        <f>EXP(-LN(2)/25)*DG70+(1-EXP(-LN(2)/25))/(LN(2)/25)*Calculateur!DB71*Calculateur!DD71*VLOOKUP('Données projet'!$B$13,Paramètres!$A$1:$I$89,3,0)*0.475*44/12</f>
        <v>4.717736609354036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20.848829079759312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114.4650227251685</v>
      </c>
      <c r="T72" s="59">
        <f t="shared" si="88"/>
        <v>386.57315604590599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17.901442836993386</v>
      </c>
      <c r="AA72" s="21">
        <f>EXP(-LN(2)/25)*AA71+(1-EXP(-LN(2)/25))/(LN(2)/25)*Calculateur!V72*Calculateur!X72*VLOOKUP('Données projet'!$B$9,Paramètres!$A$1:$I$89,3,0)*0.475*44/12</f>
        <v>5.1941872649252145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23.095630101918601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>
        <f>AI72*VLOOKUP('Données projet'!$B$10,Paramètres!$A$1:$I$89,3,0)*VLOOKUP('Données projet'!$B$10,Paramètres!$A$1:$I$89,5,0)</f>
        <v>0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114.4650227251685</v>
      </c>
      <c r="AO72" s="59">
        <f t="shared" si="90"/>
        <v>386.57315604590599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17.901442836993386</v>
      </c>
      <c r="AV72" s="21">
        <f>EXP(-LN(2)/25)*AV71+(1-EXP(-LN(2)/25))/(LN(2)/25)*Calculateur!AQ72*Calculateur!AS72*VLOOKUP('Données projet'!$B$10,Paramètres!$A$1:$I$89,3,0)*0.475*44/12</f>
        <v>5.1941872649252145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23.095630101918601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>
        <f>BD72*VLOOKUP('Données projet'!$B$11,Paramètres!$A$1:$I$89,3,0)*VLOOKUP('Données projet'!$B$11,Paramètres!$A$1:$I$89,5,0)</f>
        <v>0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68.944412338382023</v>
      </c>
      <c r="BJ72" s="59">
        <f t="shared" si="92"/>
        <v>281.00389700159246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12.623509842499887</v>
      </c>
      <c r="BQ72" s="21">
        <f>EXP(-LN(2)/25)*BQ71+(1-EXP(-LN(2)/25))/(LN(2)/25)*Calculateur!BL72*Calculateur!BN72*VLOOKUP('Données projet'!$B$11,Paramètres!$A$1:$I$89,3,0)*0.475*44/12</f>
        <v>3.6627703509503076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16.286280193450196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>
        <f>BY72*VLOOKUP('Données projet'!$B$12,Paramètres!$A$1:$I$89,3,0)*VLOOKUP('Données projet'!$B$12,Paramètres!$A$1:$I$89,5,0)</f>
        <v>0</v>
      </c>
      <c r="CA72" s="13" t="e">
        <f t="shared" si="93"/>
        <v>#NUM!</v>
      </c>
      <c r="CB72" s="20" t="e">
        <f t="shared" si="64"/>
        <v>#NUM!</v>
      </c>
      <c r="CC72" s="59" t="e">
        <f t="shared" si="65"/>
        <v>#NUM!</v>
      </c>
      <c r="CD72" s="59">
        <f ca="1">AVERAGE(OFFSET($CC$3,0,0,'Données projet'!$E$12+1,1))-AVERAGE(OFFSET($H$3,0,0,'Données projet'!$E$12+1,1))</f>
        <v>120.26681323682763</v>
      </c>
      <c r="CE72" s="59">
        <f t="shared" si="94"/>
        <v>344.92933166159389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15.814771586055514</v>
      </c>
      <c r="CL72" s="21">
        <f>EXP(-LN(2)/25)*CL71+(1-EXP(-LN(2)/25))/(LN(2)/25)*Calculateur!CG72*Calculateur!CI72*VLOOKUP('Données projet'!$B$12,Paramètres!$A$1:$I$89,3,0)*0.475*44/12</f>
        <v>4.5887298536762637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20.403501439731777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>
        <f>CT72*VLOOKUP('Données projet'!$B$13,Paramètres!$A$1:$I$89,3,0)*VLOOKUP('Données projet'!$B$13,Paramètres!$A$1:$I$89,5,0)</f>
        <v>0</v>
      </c>
      <c r="CV72" s="13" t="e">
        <f t="shared" si="95"/>
        <v>#NUM!</v>
      </c>
      <c r="CW72" s="20" t="e">
        <f t="shared" si="67"/>
        <v>#NUM!</v>
      </c>
      <c r="CX72" s="59" t="e">
        <f t="shared" si="68"/>
        <v>#NUM!</v>
      </c>
      <c r="CY72" s="59">
        <f ca="1">AVERAGE(OFFSET($CX$3,0,0,'Données projet'!$E$13+1,1))-AVERAGE(OFFSET($H$3,0,0,'Données projet'!$E$13+1,1))</f>
        <v>120.26681323682763</v>
      </c>
      <c r="CZ72" s="59">
        <f t="shared" si="96"/>
        <v>344.92933166159389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15.814771586055514</v>
      </c>
      <c r="DG72" s="21">
        <f>EXP(-LN(2)/25)*DG71+(1-EXP(-LN(2)/25))/(LN(2)/25)*Calculateur!DB72*Calculateur!DD72*VLOOKUP('Données projet'!$B$13,Paramètres!$A$1:$I$89,3,0)*0.475*44/12</f>
        <v>4.5887298536762637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20.403501439731777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114.4650227251685</v>
      </c>
      <c r="T73" s="59">
        <f t="shared" si="88"/>
        <v>386.57315604590599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17.550406461761934</v>
      </c>
      <c r="AA73" s="21">
        <f>EXP(-LN(2)/25)*AA72+(1-EXP(-LN(2)/25))/(LN(2)/25)*Calculateur!V73*Calculateur!X73*VLOOKUP('Données projet'!$B$9,Paramètres!$A$1:$I$89,3,0)*0.475*44/12</f>
        <v>5.0521519410153974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22.602558402777333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>
        <f>AI73*VLOOKUP('Données projet'!$B$10,Paramètres!$A$1:$I$89,3,0)*VLOOKUP('Données projet'!$B$10,Paramètres!$A$1:$I$89,5,0)</f>
        <v>0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114.4650227251685</v>
      </c>
      <c r="AO73" s="59">
        <f t="shared" si="90"/>
        <v>386.57315604590599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17.550406461761934</v>
      </c>
      <c r="AV73" s="21">
        <f>EXP(-LN(2)/25)*AV72+(1-EXP(-LN(2)/25))/(LN(2)/25)*Calculateur!AQ73*Calculateur!AS73*VLOOKUP('Données projet'!$B$10,Paramètres!$A$1:$I$89,3,0)*0.475*44/12</f>
        <v>5.0521519410153974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22.602558402777333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>
        <f>BD73*VLOOKUP('Données projet'!$B$11,Paramètres!$A$1:$I$89,3,0)*VLOOKUP('Données projet'!$B$11,Paramètres!$A$1:$I$89,5,0)</f>
        <v>0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68.944412338382023</v>
      </c>
      <c r="BJ73" s="59">
        <f t="shared" si="92"/>
        <v>281.00389700159246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12.375970514069198</v>
      </c>
      <c r="BQ73" s="21">
        <f>EXP(-LN(2)/25)*BQ72+(1-EXP(-LN(2)/25))/(LN(2)/25)*Calculateur!BL73*Calculateur!BN73*VLOOKUP('Données projet'!$B$11,Paramètres!$A$1:$I$89,3,0)*0.475*44/12</f>
        <v>3.56261170308685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15.938582217156048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>
        <f>BY73*VLOOKUP('Données projet'!$B$12,Paramètres!$A$1:$I$89,3,0)*VLOOKUP('Données projet'!$B$12,Paramètres!$A$1:$I$89,5,0)</f>
        <v>0</v>
      </c>
      <c r="CA73" s="13" t="e">
        <f t="shared" si="93"/>
        <v>#NUM!</v>
      </c>
      <c r="CB73" s="20" t="e">
        <f t="shared" si="64"/>
        <v>#NUM!</v>
      </c>
      <c r="CC73" s="59" t="e">
        <f t="shared" si="65"/>
        <v>#NUM!</v>
      </c>
      <c r="CD73" s="59">
        <f ca="1">AVERAGE(OFFSET($CC$3,0,0,'Données projet'!$E$12+1,1))-AVERAGE(OFFSET($H$3,0,0,'Données projet'!$E$12+1,1))</f>
        <v>120.26681323682763</v>
      </c>
      <c r="CE73" s="59">
        <f t="shared" si="94"/>
        <v>344.92933166159389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15.504653561311164</v>
      </c>
      <c r="CL73" s="21">
        <f>EXP(-LN(2)/25)*CL72+(1-EXP(-LN(2)/25))/(LN(2)/25)*Calculateur!CG73*Calculateur!CI73*VLOOKUP('Données projet'!$B$12,Paramètres!$A$1:$I$89,3,0)*0.475*44/12</f>
        <v>4.4632507945166706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19.967904355827834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>
        <f>CT73*VLOOKUP('Données projet'!$B$13,Paramètres!$A$1:$I$89,3,0)*VLOOKUP('Données projet'!$B$13,Paramètres!$A$1:$I$89,5,0)</f>
        <v>0</v>
      </c>
      <c r="CV73" s="13" t="e">
        <f t="shared" si="95"/>
        <v>#NUM!</v>
      </c>
      <c r="CW73" s="20" t="e">
        <f t="shared" si="67"/>
        <v>#NUM!</v>
      </c>
      <c r="CX73" s="59" t="e">
        <f t="shared" si="68"/>
        <v>#NUM!</v>
      </c>
      <c r="CY73" s="59">
        <f ca="1">AVERAGE(OFFSET($CX$3,0,0,'Données projet'!$E$13+1,1))-AVERAGE(OFFSET($H$3,0,0,'Données projet'!$E$13+1,1))</f>
        <v>120.26681323682763</v>
      </c>
      <c r="CZ73" s="59">
        <f t="shared" si="96"/>
        <v>344.92933166159389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15.504653561311164</v>
      </c>
      <c r="DG73" s="21">
        <f>EXP(-LN(2)/25)*DG72+(1-EXP(-LN(2)/25))/(LN(2)/25)*Calculateur!DB73*Calculateur!DD73*VLOOKUP('Données projet'!$B$13,Paramètres!$A$1:$I$89,3,0)*0.475*44/12</f>
        <v>4.4632507945166706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19.967904355827834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114.4650227251685</v>
      </c>
      <c r="T74" s="59">
        <f t="shared" si="88"/>
        <v>386.57315604590599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17.206253695737725</v>
      </c>
      <c r="AA74" s="21">
        <f>EXP(-LN(2)/25)*AA73+(1-EXP(-LN(2)/25))/(LN(2)/25)*Calculateur!V74*Calculateur!X74*VLOOKUP('Données projet'!$B$9,Paramètres!$A$1:$I$89,3,0)*0.475*44/12</f>
        <v>4.9140005805072073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22.120254276244932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>
        <f>AI74*VLOOKUP('Données projet'!$B$10,Paramètres!$A$1:$I$89,3,0)*VLOOKUP('Données projet'!$B$10,Paramètres!$A$1:$I$89,5,0)</f>
        <v>0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114.4650227251685</v>
      </c>
      <c r="AO74" s="59">
        <f t="shared" si="90"/>
        <v>386.57315604590599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17.206253695737725</v>
      </c>
      <c r="AV74" s="21">
        <f>EXP(-LN(2)/25)*AV73+(1-EXP(-LN(2)/25))/(LN(2)/25)*Calculateur!AQ74*Calculateur!AS74*VLOOKUP('Données projet'!$B$10,Paramètres!$A$1:$I$89,3,0)*0.475*44/12</f>
        <v>4.9140005805072073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22.120254276244932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>
        <f>BD74*VLOOKUP('Données projet'!$B$11,Paramètres!$A$1:$I$89,3,0)*VLOOKUP('Données projet'!$B$11,Paramètres!$A$1:$I$89,5,0)</f>
        <v>0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68.944412338382023</v>
      </c>
      <c r="BJ74" s="59">
        <f t="shared" si="92"/>
        <v>281.00389700159246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12.133285280884953</v>
      </c>
      <c r="BQ74" s="21">
        <f>EXP(-LN(2)/25)*BQ73+(1-EXP(-LN(2)/25))/(LN(2)/25)*Calculateur!BL74*Calculateur!BN74*VLOOKUP('Données projet'!$B$11,Paramètres!$A$1:$I$89,3,0)*0.475*44/12</f>
        <v>3.4651918987163333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15.598477179601286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>
        <f>BY74*VLOOKUP('Données projet'!$B$12,Paramètres!$A$1:$I$89,3,0)*VLOOKUP('Données projet'!$B$12,Paramètres!$A$1:$I$89,5,0)</f>
        <v>0</v>
      </c>
      <c r="CA74" s="13" t="e">
        <f t="shared" si="93"/>
        <v>#NUM!</v>
      </c>
      <c r="CB74" s="20" t="e">
        <f t="shared" si="64"/>
        <v>#NUM!</v>
      </c>
      <c r="CC74" s="59" t="e">
        <f t="shared" si="65"/>
        <v>#NUM!</v>
      </c>
      <c r="CD74" s="59">
        <f ca="1">AVERAGE(OFFSET($CC$3,0,0,'Données projet'!$E$12+1,1))-AVERAGE(OFFSET($H$3,0,0,'Données projet'!$E$12+1,1))</f>
        <v>120.26681323682763</v>
      </c>
      <c r="CE74" s="59">
        <f t="shared" si="94"/>
        <v>344.92933166159389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15.200616761878733</v>
      </c>
      <c r="CL74" s="21">
        <f>EXP(-LN(2)/25)*CL73+(1-EXP(-LN(2)/25))/(LN(2)/25)*Calculateur!CG74*Calculateur!CI74*VLOOKUP('Données projet'!$B$12,Paramètres!$A$1:$I$89,3,0)*0.475*44/12</f>
        <v>4.3412029668284537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19.541819728707186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>
        <f>CT74*VLOOKUP('Données projet'!$B$13,Paramètres!$A$1:$I$89,3,0)*VLOOKUP('Données projet'!$B$13,Paramètres!$A$1:$I$89,5,0)</f>
        <v>0</v>
      </c>
      <c r="CV74" s="13" t="e">
        <f t="shared" si="95"/>
        <v>#NUM!</v>
      </c>
      <c r="CW74" s="20" t="e">
        <f t="shared" si="67"/>
        <v>#NUM!</v>
      </c>
      <c r="CX74" s="59" t="e">
        <f t="shared" si="68"/>
        <v>#NUM!</v>
      </c>
      <c r="CY74" s="59">
        <f ca="1">AVERAGE(OFFSET($CX$3,0,0,'Données projet'!$E$13+1,1))-AVERAGE(OFFSET($H$3,0,0,'Données projet'!$E$13+1,1))</f>
        <v>120.26681323682763</v>
      </c>
      <c r="CZ74" s="59">
        <f t="shared" si="96"/>
        <v>344.92933166159389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15.200616761878733</v>
      </c>
      <c r="DG74" s="21">
        <f>EXP(-LN(2)/25)*DG73+(1-EXP(-LN(2)/25))/(LN(2)/25)*Calculateur!DB74*Calculateur!DD74*VLOOKUP('Données projet'!$B$13,Paramètres!$A$1:$I$89,3,0)*0.475*44/12</f>
        <v>4.3412029668284537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19.541819728707186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114.4650227251685</v>
      </c>
      <c r="T75" s="59">
        <f t="shared" si="88"/>
        <v>386.57315604590599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16.868849555542791</v>
      </c>
      <c r="AA75" s="21">
        <f>EXP(-LN(2)/25)*AA74+(1-EXP(-LN(2)/25))/(LN(2)/25)*Calculateur!V75*Calculateur!X75*VLOOKUP('Données projet'!$B$9,Paramètres!$A$1:$I$89,3,0)*0.475*44/12</f>
        <v>4.7796269762171786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21.648476531759968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>
        <f>AI75*VLOOKUP('Données projet'!$B$10,Paramètres!$A$1:$I$89,3,0)*VLOOKUP('Données projet'!$B$10,Paramètres!$A$1:$I$89,5,0)</f>
        <v>0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114.4650227251685</v>
      </c>
      <c r="AO75" s="59">
        <f t="shared" si="90"/>
        <v>386.57315604590599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16.868849555542791</v>
      </c>
      <c r="AV75" s="21">
        <f>EXP(-LN(2)/25)*AV74+(1-EXP(-LN(2)/25))/(LN(2)/25)*Calculateur!AQ75*Calculateur!AS75*VLOOKUP('Données projet'!$B$10,Paramètres!$A$1:$I$89,3,0)*0.475*44/12</f>
        <v>4.7796269762171786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21.648476531759968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>
        <f>BD75*VLOOKUP('Données projet'!$B$11,Paramètres!$A$1:$I$89,3,0)*VLOOKUP('Données projet'!$B$11,Paramètres!$A$1:$I$89,5,0)</f>
        <v>0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68.944412338382023</v>
      </c>
      <c r="BJ75" s="59">
        <f t="shared" si="92"/>
        <v>281.00389700159246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11.895358957100076</v>
      </c>
      <c r="BQ75" s="21">
        <f>EXP(-LN(2)/25)*BQ74+(1-EXP(-LN(2)/25))/(LN(2)/25)*Calculateur!BL75*Calculateur!BN75*VLOOKUP('Données projet'!$B$11,Paramètres!$A$1:$I$89,3,0)*0.475*44/12</f>
        <v>3.3704360440194128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15.265795001119489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>
        <f>BY75*VLOOKUP('Données projet'!$B$12,Paramètres!$A$1:$I$89,3,0)*VLOOKUP('Données projet'!$B$12,Paramètres!$A$1:$I$89,5,0)</f>
        <v>0</v>
      </c>
      <c r="CA75" s="13" t="e">
        <f t="shared" si="93"/>
        <v>#NUM!</v>
      </c>
      <c r="CB75" s="20" t="e">
        <f t="shared" si="64"/>
        <v>#NUM!</v>
      </c>
      <c r="CC75" s="59" t="e">
        <f t="shared" si="65"/>
        <v>#NUM!</v>
      </c>
      <c r="CD75" s="59">
        <f ca="1">AVERAGE(OFFSET($CC$3,0,0,'Données projet'!$E$12+1,1))-AVERAGE(OFFSET($H$3,0,0,'Données projet'!$E$12+1,1))</f>
        <v>120.26681323682763</v>
      </c>
      <c r="CE75" s="59">
        <f t="shared" si="94"/>
        <v>344.92933166159389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14.902541938639034</v>
      </c>
      <c r="CL75" s="21">
        <f>EXP(-LN(2)/25)*CL74+(1-EXP(-LN(2)/25))/(LN(2)/25)*Calculateur!CG75*Calculateur!CI75*VLOOKUP('Données projet'!$B$12,Paramètres!$A$1:$I$89,3,0)*0.475*44/12</f>
        <v>4.2224925434065872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19.125034482045621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>
        <f>CT75*VLOOKUP('Données projet'!$B$13,Paramètres!$A$1:$I$89,3,0)*VLOOKUP('Données projet'!$B$13,Paramètres!$A$1:$I$89,5,0)</f>
        <v>0</v>
      </c>
      <c r="CV75" s="13" t="e">
        <f t="shared" si="95"/>
        <v>#NUM!</v>
      </c>
      <c r="CW75" s="20" t="e">
        <f t="shared" si="67"/>
        <v>#NUM!</v>
      </c>
      <c r="CX75" s="59" t="e">
        <f t="shared" si="68"/>
        <v>#NUM!</v>
      </c>
      <c r="CY75" s="59">
        <f ca="1">AVERAGE(OFFSET($CX$3,0,0,'Données projet'!$E$13+1,1))-AVERAGE(OFFSET($H$3,0,0,'Données projet'!$E$13+1,1))</f>
        <v>120.26681323682763</v>
      </c>
      <c r="CZ75" s="59">
        <f t="shared" si="96"/>
        <v>344.92933166159389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14.902541938639034</v>
      </c>
      <c r="DG75" s="21">
        <f>EXP(-LN(2)/25)*DG74+(1-EXP(-LN(2)/25))/(LN(2)/25)*Calculateur!DB75*Calculateur!DD75*VLOOKUP('Données projet'!$B$13,Paramètres!$A$1:$I$89,3,0)*0.475*44/12</f>
        <v>4.2224925434065872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19.125034482045621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114.4650227251685</v>
      </c>
      <c r="T76" s="59">
        <f t="shared" si="88"/>
        <v>386.57315604590599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16.538061704740873</v>
      </c>
      <c r="AA76" s="21">
        <f>EXP(-LN(2)/25)*AA75+(1-EXP(-LN(2)/25))/(LN(2)/25)*Calculateur!V76*Calculateur!X76*VLOOKUP('Données projet'!$B$9,Paramètres!$A$1:$I$89,3,0)*0.475*44/12</f>
        <v>4.6489278252028612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21.186989529943734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>
        <f>AI76*VLOOKUP('Données projet'!$B$10,Paramètres!$A$1:$I$89,3,0)*VLOOKUP('Données projet'!$B$10,Paramètres!$A$1:$I$89,5,0)</f>
        <v>0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114.4650227251685</v>
      </c>
      <c r="AO76" s="59">
        <f t="shared" si="90"/>
        <v>386.57315604590599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16.538061704740873</v>
      </c>
      <c r="AV76" s="21">
        <f>EXP(-LN(2)/25)*AV75+(1-EXP(-LN(2)/25))/(LN(2)/25)*Calculateur!AQ76*Calculateur!AS76*VLOOKUP('Données projet'!$B$10,Paramètres!$A$1:$I$89,3,0)*0.475*44/12</f>
        <v>4.6489278252028612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21.186989529943734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>
        <f>BD76*VLOOKUP('Données projet'!$B$11,Paramètres!$A$1:$I$89,3,0)*VLOOKUP('Données projet'!$B$11,Paramètres!$A$1:$I$89,5,0)</f>
        <v>0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68.944412338382023</v>
      </c>
      <c r="BJ76" s="59">
        <f t="shared" si="92"/>
        <v>281.00389700159246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11.662098223403891</v>
      </c>
      <c r="BQ76" s="21">
        <f>EXP(-LN(2)/25)*BQ75+(1-EXP(-LN(2)/25))/(LN(2)/25)*Calculateur!BL76*Calculateur!BN76*VLOOKUP('Données projet'!$B$11,Paramètres!$A$1:$I$89,3,0)*0.475*44/12</f>
        <v>3.2782712931521738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14.940369516556064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>
        <f>BY76*VLOOKUP('Données projet'!$B$12,Paramètres!$A$1:$I$89,3,0)*VLOOKUP('Données projet'!$B$12,Paramètres!$A$1:$I$89,5,0)</f>
        <v>0</v>
      </c>
      <c r="CA76" s="13" t="e">
        <f t="shared" si="93"/>
        <v>#NUM!</v>
      </c>
      <c r="CB76" s="20" t="e">
        <f t="shared" si="64"/>
        <v>#NUM!</v>
      </c>
      <c r="CC76" s="59" t="e">
        <f t="shared" si="65"/>
        <v>#NUM!</v>
      </c>
      <c r="CD76" s="59">
        <f ca="1">AVERAGE(OFFSET($CC$3,0,0,'Données projet'!$E$12+1,1))-AVERAGE(OFFSET($H$3,0,0,'Données projet'!$E$12+1,1))</f>
        <v>120.26681323682763</v>
      </c>
      <c r="CE76" s="59">
        <f t="shared" si="94"/>
        <v>344.92933166159389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14.610312180875377</v>
      </c>
      <c r="CL76" s="21">
        <f>EXP(-LN(2)/25)*CL75+(1-EXP(-LN(2)/25))/(LN(2)/25)*Calculateur!CG76*Calculateur!CI76*VLOOKUP('Données projet'!$B$12,Paramètres!$A$1:$I$89,3,0)*0.475*44/12</f>
        <v>4.107028262755902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18.717340443631279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>
        <f>CT76*VLOOKUP('Données projet'!$B$13,Paramètres!$A$1:$I$89,3,0)*VLOOKUP('Données projet'!$B$13,Paramètres!$A$1:$I$89,5,0)</f>
        <v>0</v>
      </c>
      <c r="CV76" s="13" t="e">
        <f t="shared" si="95"/>
        <v>#NUM!</v>
      </c>
      <c r="CW76" s="20" t="e">
        <f t="shared" si="67"/>
        <v>#NUM!</v>
      </c>
      <c r="CX76" s="59" t="e">
        <f t="shared" si="68"/>
        <v>#NUM!</v>
      </c>
      <c r="CY76" s="59">
        <f ca="1">AVERAGE(OFFSET($CX$3,0,0,'Données projet'!$E$13+1,1))-AVERAGE(OFFSET($H$3,0,0,'Données projet'!$E$13+1,1))</f>
        <v>120.26681323682763</v>
      </c>
      <c r="CZ76" s="59">
        <f t="shared" si="96"/>
        <v>344.92933166159389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14.610312180875377</v>
      </c>
      <c r="DG76" s="21">
        <f>EXP(-LN(2)/25)*DG75+(1-EXP(-LN(2)/25))/(LN(2)/25)*Calculateur!DB76*Calculateur!DD76*VLOOKUP('Données projet'!$B$13,Paramètres!$A$1:$I$89,3,0)*0.475*44/12</f>
        <v>4.107028262755902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18.717340443631279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114.4650227251685</v>
      </c>
      <c r="T77" s="59">
        <f t="shared" si="88"/>
        <v>386.57315604590599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16.213760401932515</v>
      </c>
      <c r="AA77" s="21">
        <f>EXP(-LN(2)/25)*AA76+(1-EXP(-LN(2)/25))/(LN(2)/25)*Calculateur!V77*Calculateur!X77*VLOOKUP('Données projet'!$B$9,Paramètres!$A$1:$I$89,3,0)*0.475*44/12</f>
        <v>4.5218026493462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20.735563051278714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>
        <f>AI77*VLOOKUP('Données projet'!$B$10,Paramètres!$A$1:$I$89,3,0)*VLOOKUP('Données projet'!$B$10,Paramètres!$A$1:$I$89,5,0)</f>
        <v>0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114.4650227251685</v>
      </c>
      <c r="AO77" s="59">
        <f t="shared" si="90"/>
        <v>386.57315604590599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16.213760401932515</v>
      </c>
      <c r="AV77" s="21">
        <f>EXP(-LN(2)/25)*AV76+(1-EXP(-LN(2)/25))/(LN(2)/25)*Calculateur!AQ77*Calculateur!AS77*VLOOKUP('Données projet'!$B$10,Paramètres!$A$1:$I$89,3,0)*0.475*44/12</f>
        <v>4.5218026493462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20.735563051278714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>
        <f>BD77*VLOOKUP('Données projet'!$B$11,Paramètres!$A$1:$I$89,3,0)*VLOOKUP('Données projet'!$B$11,Paramètres!$A$1:$I$89,5,0)</f>
        <v>0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68.944412338382023</v>
      </c>
      <c r="BJ77" s="59">
        <f t="shared" si="92"/>
        <v>281.00389700159246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11.433411590420489</v>
      </c>
      <c r="BQ77" s="21">
        <f>EXP(-LN(2)/25)*BQ76+(1-EXP(-LN(2)/25))/(LN(2)/25)*Calculateur!BL77*Calculateur!BN77*VLOOKUP('Données projet'!$B$11,Paramètres!$A$1:$I$89,3,0)*0.475*44/12</f>
        <v>3.1886267922441327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14.622038382664622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>
        <f>BY77*VLOOKUP('Données projet'!$B$12,Paramètres!$A$1:$I$89,3,0)*VLOOKUP('Données projet'!$B$12,Paramètres!$A$1:$I$89,5,0)</f>
        <v>0</v>
      </c>
      <c r="CA77" s="13" t="e">
        <f t="shared" si="93"/>
        <v>#NUM!</v>
      </c>
      <c r="CB77" s="20" t="e">
        <f t="shared" si="64"/>
        <v>#NUM!</v>
      </c>
      <c r="CC77" s="59" t="e">
        <f t="shared" si="65"/>
        <v>#NUM!</v>
      </c>
      <c r="CD77" s="59">
        <f ca="1">AVERAGE(OFFSET($CC$3,0,0,'Données projet'!$E$12+1,1))-AVERAGE(OFFSET($H$3,0,0,'Données projet'!$E$12+1,1))</f>
        <v>120.26681323682763</v>
      </c>
      <c r="CE77" s="59">
        <f t="shared" si="94"/>
        <v>344.92933166159389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14.323812870418912</v>
      </c>
      <c r="CL77" s="21">
        <f>EXP(-LN(2)/25)*CL76+(1-EXP(-LN(2)/25))/(LN(2)/25)*Calculateur!CG77*Calculateur!CI77*VLOOKUP('Données projet'!$B$12,Paramètres!$A$1:$I$89,3,0)*0.475*44/12</f>
        <v>3.9947213589316122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18.318534229350526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>
        <f>CT77*VLOOKUP('Données projet'!$B$13,Paramètres!$A$1:$I$89,3,0)*VLOOKUP('Données projet'!$B$13,Paramètres!$A$1:$I$89,5,0)</f>
        <v>0</v>
      </c>
      <c r="CV77" s="13" t="e">
        <f t="shared" si="95"/>
        <v>#NUM!</v>
      </c>
      <c r="CW77" s="20" t="e">
        <f t="shared" si="67"/>
        <v>#NUM!</v>
      </c>
      <c r="CX77" s="59" t="e">
        <f t="shared" si="68"/>
        <v>#NUM!</v>
      </c>
      <c r="CY77" s="59">
        <f ca="1">AVERAGE(OFFSET($CX$3,0,0,'Données projet'!$E$13+1,1))-AVERAGE(OFFSET($H$3,0,0,'Données projet'!$E$13+1,1))</f>
        <v>120.26681323682763</v>
      </c>
      <c r="CZ77" s="59">
        <f t="shared" si="96"/>
        <v>344.92933166159389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14.323812870418912</v>
      </c>
      <c r="DG77" s="21">
        <f>EXP(-LN(2)/25)*DG76+(1-EXP(-LN(2)/25))/(LN(2)/25)*Calculateur!DB77*Calculateur!DD77*VLOOKUP('Données projet'!$B$13,Paramètres!$A$1:$I$89,3,0)*0.475*44/12</f>
        <v>3.9947213589316122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18.318534229350526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114.4650227251685</v>
      </c>
      <c r="T78" s="59">
        <f t="shared" si="88"/>
        <v>386.57315604590599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15.895818449867964</v>
      </c>
      <c r="AA78" s="21">
        <f>EXP(-LN(2)/25)*AA77+(1-EXP(-LN(2)/25))/(LN(2)/25)*Calculateur!V78*Calculateur!X78*VLOOKUP('Données projet'!$B$9,Paramètres!$A$1:$I$89,3,0)*0.475*44/12</f>
        <v>4.3981537181085617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20.293972167976527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>
        <f>AI78*VLOOKUP('Données projet'!$B$10,Paramètres!$A$1:$I$89,3,0)*VLOOKUP('Données projet'!$B$10,Paramètres!$A$1:$I$89,5,0)</f>
        <v>0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114.4650227251685</v>
      </c>
      <c r="AO78" s="59">
        <f t="shared" si="90"/>
        <v>386.57315604590599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15.895818449867964</v>
      </c>
      <c r="AV78" s="21">
        <f>EXP(-LN(2)/25)*AV77+(1-EXP(-LN(2)/25))/(LN(2)/25)*Calculateur!AQ78*Calculateur!AS78*VLOOKUP('Données projet'!$B$10,Paramètres!$A$1:$I$89,3,0)*0.475*44/12</f>
        <v>4.3981537181085617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20.293972167976527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>
        <f>BD78*VLOOKUP('Données projet'!$B$11,Paramètres!$A$1:$I$89,3,0)*VLOOKUP('Données projet'!$B$11,Paramètres!$A$1:$I$89,5,0)</f>
        <v>0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68.944412338382023</v>
      </c>
      <c r="BJ78" s="59">
        <f t="shared" si="92"/>
        <v>281.00389700159246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11.209209362824819</v>
      </c>
      <c r="BQ78" s="21">
        <f>EXP(-LN(2)/25)*BQ77+(1-EXP(-LN(2)/25))/(LN(2)/25)*Calculateur!BL78*Calculateur!BN78*VLOOKUP('Données projet'!$B$11,Paramètres!$A$1:$I$89,3,0)*0.475*44/12</f>
        <v>3.1014336249276218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14.310642987752441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>
        <f>BY78*VLOOKUP('Données projet'!$B$12,Paramètres!$A$1:$I$89,3,0)*VLOOKUP('Données projet'!$B$12,Paramètres!$A$1:$I$89,5,0)</f>
        <v>0</v>
      </c>
      <c r="CA78" s="13" t="e">
        <f t="shared" si="93"/>
        <v>#NUM!</v>
      </c>
      <c r="CB78" s="20" t="e">
        <f t="shared" si="64"/>
        <v>#NUM!</v>
      </c>
      <c r="CC78" s="59" t="e">
        <f t="shared" si="65"/>
        <v>#NUM!</v>
      </c>
      <c r="CD78" s="59">
        <f ca="1">AVERAGE(OFFSET($CC$3,0,0,'Données projet'!$E$12+1,1))-AVERAGE(OFFSET($H$3,0,0,'Données projet'!$E$12+1,1))</f>
        <v>120.26681323682763</v>
      </c>
      <c r="CE78" s="59">
        <f t="shared" si="94"/>
        <v>344.92933166159389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14.042931636693174</v>
      </c>
      <c r="CL78" s="21">
        <f>EXP(-LN(2)/25)*CL77+(1-EXP(-LN(2)/25))/(LN(2)/25)*Calculateur!CG78*Calculateur!CI78*VLOOKUP('Données projet'!$B$12,Paramètres!$A$1:$I$89,3,0)*0.475*44/12</f>
        <v>3.8854854932983609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17.928417129991534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>
        <f>CT78*VLOOKUP('Données projet'!$B$13,Paramètres!$A$1:$I$89,3,0)*VLOOKUP('Données projet'!$B$13,Paramètres!$A$1:$I$89,5,0)</f>
        <v>0</v>
      </c>
      <c r="CV78" s="13" t="e">
        <f t="shared" si="95"/>
        <v>#NUM!</v>
      </c>
      <c r="CW78" s="20" t="e">
        <f t="shared" si="67"/>
        <v>#NUM!</v>
      </c>
      <c r="CX78" s="59" t="e">
        <f t="shared" si="68"/>
        <v>#NUM!</v>
      </c>
      <c r="CY78" s="59">
        <f ca="1">AVERAGE(OFFSET($CX$3,0,0,'Données projet'!$E$13+1,1))-AVERAGE(OFFSET($H$3,0,0,'Données projet'!$E$13+1,1))</f>
        <v>120.26681323682763</v>
      </c>
      <c r="CZ78" s="59">
        <f t="shared" si="96"/>
        <v>344.92933166159389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14.042931636693174</v>
      </c>
      <c r="DG78" s="21">
        <f>EXP(-LN(2)/25)*DG77+(1-EXP(-LN(2)/25))/(LN(2)/25)*Calculateur!DB78*Calculateur!DD78*VLOOKUP('Données projet'!$B$13,Paramètres!$A$1:$I$89,3,0)*0.475*44/12</f>
        <v>3.8854854932983609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17.928417129991534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114.4650227251685</v>
      </c>
      <c r="T79" s="59">
        <f t="shared" si="88"/>
        <v>386.57315604590599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15.584111145557957</v>
      </c>
      <c r="AA79" s="21">
        <f>EXP(-LN(2)/25)*AA78+(1-EXP(-LN(2)/25))/(LN(2)/25)*Calculateur!V79*Calculateur!X79*VLOOKUP('Données projet'!$B$9,Paramètres!$A$1:$I$89,3,0)*0.475*44/12</f>
        <v>4.277885973398031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19.861997118955987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>
        <f>AI79*VLOOKUP('Données projet'!$B$10,Paramètres!$A$1:$I$89,3,0)*VLOOKUP('Données projet'!$B$10,Paramètres!$A$1:$I$89,5,0)</f>
        <v>0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114.4650227251685</v>
      </c>
      <c r="AO79" s="59">
        <f t="shared" si="90"/>
        <v>386.57315604590599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15.584111145557957</v>
      </c>
      <c r="AV79" s="21">
        <f>EXP(-LN(2)/25)*AV78+(1-EXP(-LN(2)/25))/(LN(2)/25)*Calculateur!AQ79*Calculateur!AS79*VLOOKUP('Données projet'!$B$10,Paramètres!$A$1:$I$89,3,0)*0.475*44/12</f>
        <v>4.277885973398031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19.861997118955987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>
        <f>BD79*VLOOKUP('Données projet'!$B$11,Paramètres!$A$1:$I$89,3,0)*VLOOKUP('Données projet'!$B$11,Paramètres!$A$1:$I$89,5,0)</f>
        <v>0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68.944412338382023</v>
      </c>
      <c r="BJ79" s="59">
        <f t="shared" si="92"/>
        <v>281.00389700159246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10.989403604162444</v>
      </c>
      <c r="BQ79" s="21">
        <f>EXP(-LN(2)/25)*BQ78+(1-EXP(-LN(2)/25))/(LN(2)/25)*Calculateur!BL79*Calculateur!BN79*VLOOKUP('Données projet'!$B$11,Paramètres!$A$1:$I$89,3,0)*0.475*44/12</f>
        <v>3.0166247593566702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14.006028363519114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>
        <f>BY79*VLOOKUP('Données projet'!$B$12,Paramètres!$A$1:$I$89,3,0)*VLOOKUP('Données projet'!$B$12,Paramètres!$A$1:$I$89,5,0)</f>
        <v>0</v>
      </c>
      <c r="CA79" s="13" t="e">
        <f t="shared" si="93"/>
        <v>#NUM!</v>
      </c>
      <c r="CB79" s="20" t="e">
        <f t="shared" si="64"/>
        <v>#NUM!</v>
      </c>
      <c r="CC79" s="59" t="e">
        <f t="shared" si="65"/>
        <v>#NUM!</v>
      </c>
      <c r="CD79" s="59">
        <f ca="1">AVERAGE(OFFSET($CC$3,0,0,'Données projet'!$E$12+1,1))-AVERAGE(OFFSET($H$3,0,0,'Données projet'!$E$12+1,1))</f>
        <v>120.26681323682763</v>
      </c>
      <c r="CE79" s="59">
        <f t="shared" si="94"/>
        <v>344.92933166159389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13.767558312640162</v>
      </c>
      <c r="CL79" s="21">
        <f>EXP(-LN(2)/25)*CL78+(1-EXP(-LN(2)/25))/(LN(2)/25)*Calculateur!CG79*Calculateur!CI79*VLOOKUP('Données projet'!$B$12,Paramètres!$A$1:$I$89,3,0)*0.475*44/12</f>
        <v>3.7792366881553154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17.546795000795477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>
        <f>CT79*VLOOKUP('Données projet'!$B$13,Paramètres!$A$1:$I$89,3,0)*VLOOKUP('Données projet'!$B$13,Paramètres!$A$1:$I$89,5,0)</f>
        <v>0</v>
      </c>
      <c r="CV79" s="13" t="e">
        <f t="shared" si="95"/>
        <v>#NUM!</v>
      </c>
      <c r="CW79" s="20" t="e">
        <f t="shared" si="67"/>
        <v>#NUM!</v>
      </c>
      <c r="CX79" s="59" t="e">
        <f t="shared" si="68"/>
        <v>#NUM!</v>
      </c>
      <c r="CY79" s="59">
        <f ca="1">AVERAGE(OFFSET($CX$3,0,0,'Données projet'!$E$13+1,1))-AVERAGE(OFFSET($H$3,0,0,'Données projet'!$E$13+1,1))</f>
        <v>120.26681323682763</v>
      </c>
      <c r="CZ79" s="59">
        <f t="shared" si="96"/>
        <v>344.92933166159389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13.767558312640162</v>
      </c>
      <c r="DG79" s="21">
        <f>EXP(-LN(2)/25)*DG78+(1-EXP(-LN(2)/25))/(LN(2)/25)*Calculateur!DB79*Calculateur!DD79*VLOOKUP('Données projet'!$B$13,Paramètres!$A$1:$I$89,3,0)*0.475*44/12</f>
        <v>3.7792366881553154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17.546795000795477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114.4650227251685</v>
      </c>
      <c r="T80" s="59">
        <f t="shared" si="88"/>
        <v>386.57315604590599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15.278516231362786</v>
      </c>
      <c r="AA80" s="21">
        <f>EXP(-LN(2)/25)*AA79+(1-EXP(-LN(2)/25))/(LN(2)/25)*Calculateur!V80*Calculateur!X80*VLOOKUP('Données projet'!$B$9,Paramètres!$A$1:$I$89,3,0)*0.475*44/12</f>
        <v>4.1609069564912158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19.439423187854004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>
        <f>AI80*VLOOKUP('Données projet'!$B$10,Paramètres!$A$1:$I$89,3,0)*VLOOKUP('Données projet'!$B$10,Paramètres!$A$1:$I$89,5,0)</f>
        <v>0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114.4650227251685</v>
      </c>
      <c r="AO80" s="59">
        <f t="shared" si="90"/>
        <v>386.57315604590599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15.278516231362786</v>
      </c>
      <c r="AV80" s="21">
        <f>EXP(-LN(2)/25)*AV79+(1-EXP(-LN(2)/25))/(LN(2)/25)*Calculateur!AQ80*Calculateur!AS80*VLOOKUP('Données projet'!$B$10,Paramètres!$A$1:$I$89,3,0)*0.475*44/12</f>
        <v>4.1609069564912158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19.439423187854004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>
        <f>BD80*VLOOKUP('Données projet'!$B$11,Paramètres!$A$1:$I$89,3,0)*VLOOKUP('Données projet'!$B$11,Paramètres!$A$1:$I$89,5,0)</f>
        <v>0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68.944412338382023</v>
      </c>
      <c r="BJ80" s="59">
        <f t="shared" si="92"/>
        <v>281.00389700159246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10.773908102359163</v>
      </c>
      <c r="BQ80" s="21">
        <f>EXP(-LN(2)/25)*BQ79+(1-EXP(-LN(2)/25))/(LN(2)/25)*Calculateur!BL80*Calculateur!BN80*VLOOKUP('Données projet'!$B$11,Paramètres!$A$1:$I$89,3,0)*0.475*44/12</f>
        <v>2.9341349966746604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13.708043099033823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>
        <f>BY80*VLOOKUP('Données projet'!$B$12,Paramètres!$A$1:$I$89,3,0)*VLOOKUP('Données projet'!$B$12,Paramètres!$A$1:$I$89,5,0)</f>
        <v>0</v>
      </c>
      <c r="CA80" s="13" t="e">
        <f t="shared" si="93"/>
        <v>#NUM!</v>
      </c>
      <c r="CB80" s="20" t="e">
        <f t="shared" si="64"/>
        <v>#NUM!</v>
      </c>
      <c r="CC80" s="59" t="e">
        <f t="shared" si="65"/>
        <v>#NUM!</v>
      </c>
      <c r="CD80" s="59">
        <f ca="1">AVERAGE(OFFSET($CC$3,0,0,'Données projet'!$E$12+1,1))-AVERAGE(OFFSET($H$3,0,0,'Données projet'!$E$12+1,1))</f>
        <v>120.26681323682763</v>
      </c>
      <c r="CE80" s="59">
        <f t="shared" si="94"/>
        <v>344.92933166159389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13.497584891510687</v>
      </c>
      <c r="CL80" s="21">
        <f>EXP(-LN(2)/25)*CL79+(1-EXP(-LN(2)/25))/(LN(2)/25)*Calculateur!CG80*Calculateur!CI80*VLOOKUP('Données projet'!$B$12,Paramètres!$A$1:$I$89,3,0)*0.475*44/12</f>
        <v>3.6758932621762885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17.173478153686975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>
        <f>CT80*VLOOKUP('Données projet'!$B$13,Paramètres!$A$1:$I$89,3,0)*VLOOKUP('Données projet'!$B$13,Paramètres!$A$1:$I$89,5,0)</f>
        <v>0</v>
      </c>
      <c r="CV80" s="13" t="e">
        <f t="shared" si="95"/>
        <v>#NUM!</v>
      </c>
      <c r="CW80" s="20" t="e">
        <f t="shared" si="67"/>
        <v>#NUM!</v>
      </c>
      <c r="CX80" s="59" t="e">
        <f t="shared" si="68"/>
        <v>#NUM!</v>
      </c>
      <c r="CY80" s="59">
        <f ca="1">AVERAGE(OFFSET($CX$3,0,0,'Données projet'!$E$13+1,1))-AVERAGE(OFFSET($H$3,0,0,'Données projet'!$E$13+1,1))</f>
        <v>120.26681323682763</v>
      </c>
      <c r="CZ80" s="59">
        <f t="shared" si="96"/>
        <v>344.92933166159389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13.497584891510687</v>
      </c>
      <c r="DG80" s="21">
        <f>EXP(-LN(2)/25)*DG79+(1-EXP(-LN(2)/25))/(LN(2)/25)*Calculateur!DB80*Calculateur!DD80*VLOOKUP('Données projet'!$B$13,Paramètres!$A$1:$I$89,3,0)*0.475*44/12</f>
        <v>3.6758932621762885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17.173478153686975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114.4650227251685</v>
      </c>
      <c r="T81" s="59">
        <f t="shared" si="88"/>
        <v>386.57315604590599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14.978913847040491</v>
      </c>
      <c r="AA81" s="21">
        <f>EXP(-LN(2)/25)*AA80+(1-EXP(-LN(2)/25))/(LN(2)/25)*Calculateur!V81*Calculateur!X81*VLOOKUP('Données projet'!$B$9,Paramètres!$A$1:$I$89,3,0)*0.475*44/12</f>
        <v>4.0471267369533761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19.026040583993868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>
        <f>AI81*VLOOKUP('Données projet'!$B$10,Paramètres!$A$1:$I$89,3,0)*VLOOKUP('Données projet'!$B$10,Paramètres!$A$1:$I$89,5,0)</f>
        <v>0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114.4650227251685</v>
      </c>
      <c r="AO81" s="59">
        <f t="shared" si="90"/>
        <v>386.57315604590599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14.978913847040491</v>
      </c>
      <c r="AV81" s="21">
        <f>EXP(-LN(2)/25)*AV80+(1-EXP(-LN(2)/25))/(LN(2)/25)*Calculateur!AQ81*Calculateur!AS81*VLOOKUP('Données projet'!$B$10,Paramètres!$A$1:$I$89,3,0)*0.475*44/12</f>
        <v>4.0471267369533761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19.026040583993868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>
        <f>BD81*VLOOKUP('Données projet'!$B$11,Paramètres!$A$1:$I$89,3,0)*VLOOKUP('Données projet'!$B$11,Paramètres!$A$1:$I$89,5,0)</f>
        <v>0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68.944412338382023</v>
      </c>
      <c r="BJ81" s="59">
        <f t="shared" si="92"/>
        <v>281.00389700159246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10.562638335906968</v>
      </c>
      <c r="BQ81" s="21">
        <f>EXP(-LN(2)/25)*BQ80+(1-EXP(-LN(2)/25))/(LN(2)/25)*Calculateur!BL81*Calculateur!BN81*VLOOKUP('Données projet'!$B$11,Paramètres!$A$1:$I$89,3,0)*0.475*44/12</f>
        <v>2.8539009208911383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13.416539256798107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>
        <f>BY81*VLOOKUP('Données projet'!$B$12,Paramètres!$A$1:$I$89,3,0)*VLOOKUP('Données projet'!$B$12,Paramètres!$A$1:$I$89,5,0)</f>
        <v>0</v>
      </c>
      <c r="CA81" s="13" t="e">
        <f t="shared" si="93"/>
        <v>#NUM!</v>
      </c>
      <c r="CB81" s="20" t="e">
        <f t="shared" si="64"/>
        <v>#NUM!</v>
      </c>
      <c r="CC81" s="59" t="e">
        <f t="shared" si="65"/>
        <v>#NUM!</v>
      </c>
      <c r="CD81" s="59">
        <f ca="1">AVERAGE(OFFSET($CC$3,0,0,'Données projet'!$E$12+1,1))-AVERAGE(OFFSET($H$3,0,0,'Données projet'!$E$12+1,1))</f>
        <v>120.26681323682763</v>
      </c>
      <c r="CE81" s="59">
        <f t="shared" si="94"/>
        <v>344.92933166159389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13.232905484502034</v>
      </c>
      <c r="CL81" s="21">
        <f>EXP(-LN(2)/25)*CL80+(1-EXP(-LN(2)/25))/(LN(2)/25)*Calculateur!CG81*Calculateur!CI81*VLOOKUP('Données projet'!$B$12,Paramètres!$A$1:$I$89,3,0)*0.475*44/12</f>
        <v>3.5753757676152524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16.808281252117286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>
        <f>CT81*VLOOKUP('Données projet'!$B$13,Paramètres!$A$1:$I$89,3,0)*VLOOKUP('Données projet'!$B$13,Paramètres!$A$1:$I$89,5,0)</f>
        <v>0</v>
      </c>
      <c r="CV81" s="13" t="e">
        <f t="shared" si="95"/>
        <v>#NUM!</v>
      </c>
      <c r="CW81" s="20" t="e">
        <f t="shared" si="67"/>
        <v>#NUM!</v>
      </c>
      <c r="CX81" s="59" t="e">
        <f t="shared" si="68"/>
        <v>#NUM!</v>
      </c>
      <c r="CY81" s="59">
        <f ca="1">AVERAGE(OFFSET($CX$3,0,0,'Données projet'!$E$13+1,1))-AVERAGE(OFFSET($H$3,0,0,'Données projet'!$E$13+1,1))</f>
        <v>120.26681323682763</v>
      </c>
      <c r="CZ81" s="59">
        <f t="shared" si="96"/>
        <v>344.92933166159389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13.232905484502034</v>
      </c>
      <c r="DG81" s="21">
        <f>EXP(-LN(2)/25)*DG80+(1-EXP(-LN(2)/25))/(LN(2)/25)*Calculateur!DB81*Calculateur!DD81*VLOOKUP('Données projet'!$B$13,Paramètres!$A$1:$I$89,3,0)*0.475*44/12</f>
        <v>3.5753757676152524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16.808281252117286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114.4650227251685</v>
      </c>
      <c r="T82" s="59">
        <f t="shared" si="88"/>
        <v>386.57315604590599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14.685186482735347</v>
      </c>
      <c r="AA82" s="21">
        <f>EXP(-LN(2)/25)*AA81+(1-EXP(-LN(2)/25))/(LN(2)/25)*Calculateur!V82*Calculateur!X82*VLOOKUP('Données projet'!$B$9,Paramètres!$A$1:$I$89,3,0)*0.475*44/12</f>
        <v>3.9364578435022408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18.621644326237586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>
        <f>AI82*VLOOKUP('Données projet'!$B$10,Paramètres!$A$1:$I$89,3,0)*VLOOKUP('Données projet'!$B$10,Paramètres!$A$1:$I$89,5,0)</f>
        <v>0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114.4650227251685</v>
      </c>
      <c r="AO82" s="59">
        <f t="shared" si="90"/>
        <v>386.57315604590599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14.685186482735347</v>
      </c>
      <c r="AV82" s="21">
        <f>EXP(-LN(2)/25)*AV81+(1-EXP(-LN(2)/25))/(LN(2)/25)*Calculateur!AQ82*Calculateur!AS82*VLOOKUP('Données projet'!$B$10,Paramètres!$A$1:$I$89,3,0)*0.475*44/12</f>
        <v>3.9364578435022408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18.621644326237586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>
        <f>BD82*VLOOKUP('Données projet'!$B$11,Paramètres!$A$1:$I$89,3,0)*VLOOKUP('Données projet'!$B$11,Paramètres!$A$1:$I$89,5,0)</f>
        <v>0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68.944412338382023</v>
      </c>
      <c r="BJ82" s="59">
        <f t="shared" si="92"/>
        <v>281.00389700159246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10.355511440713066</v>
      </c>
      <c r="BQ82" s="21">
        <f>EXP(-LN(2)/25)*BQ81+(1-EXP(-LN(2)/25))/(LN(2)/25)*Calculateur!BL82*Calculateur!BN82*VLOOKUP('Données projet'!$B$11,Paramètres!$A$1:$I$89,3,0)*0.475*44/12</f>
        <v>2.7758608501292432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13.131372290842309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>
        <f>BY82*VLOOKUP('Données projet'!$B$12,Paramètres!$A$1:$I$89,3,0)*VLOOKUP('Données projet'!$B$12,Paramètres!$A$1:$I$89,5,0)</f>
        <v>0</v>
      </c>
      <c r="CA82" s="13" t="e">
        <f t="shared" si="93"/>
        <v>#NUM!</v>
      </c>
      <c r="CB82" s="20" t="e">
        <f t="shared" si="64"/>
        <v>#NUM!</v>
      </c>
      <c r="CC82" s="59" t="e">
        <f t="shared" si="65"/>
        <v>#NUM!</v>
      </c>
      <c r="CD82" s="59">
        <f ca="1">AVERAGE(OFFSET($CC$3,0,0,'Données projet'!$E$12+1,1))-AVERAGE(OFFSET($H$3,0,0,'Données projet'!$E$12+1,1))</f>
        <v>120.26681323682763</v>
      </c>
      <c r="CE82" s="59">
        <f t="shared" si="94"/>
        <v>344.92933166159389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12.973416279226322</v>
      </c>
      <c r="CL82" s="21">
        <f>EXP(-LN(2)/25)*CL81+(1-EXP(-LN(2)/25))/(LN(2)/25)*Calculateur!CG82*Calculateur!CI82*VLOOKUP('Données projet'!$B$12,Paramètres!$A$1:$I$89,3,0)*0.475*44/12</f>
        <v>3.4776069292289735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16.451023208455297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>
        <f>CT82*VLOOKUP('Données projet'!$B$13,Paramètres!$A$1:$I$89,3,0)*VLOOKUP('Données projet'!$B$13,Paramètres!$A$1:$I$89,5,0)</f>
        <v>0</v>
      </c>
      <c r="CV82" s="13" t="e">
        <f t="shared" si="95"/>
        <v>#NUM!</v>
      </c>
      <c r="CW82" s="20" t="e">
        <f t="shared" si="67"/>
        <v>#NUM!</v>
      </c>
      <c r="CX82" s="59" t="e">
        <f t="shared" si="68"/>
        <v>#NUM!</v>
      </c>
      <c r="CY82" s="59">
        <f ca="1">AVERAGE(OFFSET($CX$3,0,0,'Données projet'!$E$13+1,1))-AVERAGE(OFFSET($H$3,0,0,'Données projet'!$E$13+1,1))</f>
        <v>120.26681323682763</v>
      </c>
      <c r="CZ82" s="59">
        <f t="shared" si="96"/>
        <v>344.92933166159389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12.973416279226322</v>
      </c>
      <c r="DG82" s="21">
        <f>EXP(-LN(2)/25)*DG81+(1-EXP(-LN(2)/25))/(LN(2)/25)*Calculateur!DB82*Calculateur!DD82*VLOOKUP('Données projet'!$B$13,Paramètres!$A$1:$I$89,3,0)*0.475*44/12</f>
        <v>3.4776069292289735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16.451023208455297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114.4650227251685</v>
      </c>
      <c r="T83" s="59">
        <f t="shared" si="88"/>
        <v>386.57315604590599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14.397218932888222</v>
      </c>
      <c r="AA83" s="21">
        <f>EXP(-LN(2)/25)*AA82+(1-EXP(-LN(2)/25))/(LN(2)/25)*Calculateur!V83*Calculateur!X83*VLOOKUP('Données projet'!$B$9,Paramètres!$A$1:$I$89,3,0)*0.475*44/12</f>
        <v>3.8288151967623509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18.226034129650571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>
        <f>AI83*VLOOKUP('Données projet'!$B$10,Paramètres!$A$1:$I$89,3,0)*VLOOKUP('Données projet'!$B$10,Paramètres!$A$1:$I$89,5,0)</f>
        <v>0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114.4650227251685</v>
      </c>
      <c r="AO83" s="59">
        <f t="shared" si="90"/>
        <v>386.57315604590599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14.397218932888222</v>
      </c>
      <c r="AV83" s="21">
        <f>EXP(-LN(2)/25)*AV82+(1-EXP(-LN(2)/25))/(LN(2)/25)*Calculateur!AQ83*Calculateur!AS83*VLOOKUP('Données projet'!$B$10,Paramètres!$A$1:$I$89,3,0)*0.475*44/12</f>
        <v>3.8288151967623509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18.226034129650571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>
        <f>BD83*VLOOKUP('Données projet'!$B$11,Paramètres!$A$1:$I$89,3,0)*VLOOKUP('Données projet'!$B$11,Paramètres!$A$1:$I$89,5,0)</f>
        <v>0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68.944412338382023</v>
      </c>
      <c r="BJ83" s="59">
        <f t="shared" si="92"/>
        <v>281.00389700159246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10.152446177598986</v>
      </c>
      <c r="BQ83" s="21">
        <f>EXP(-LN(2)/25)*BQ82+(1-EXP(-LN(2)/25))/(LN(2)/25)*Calculateur!BL83*Calculateur!BN83*VLOOKUP('Données projet'!$B$11,Paramètres!$A$1:$I$89,3,0)*0.475*44/12</f>
        <v>2.6999547892062812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12.852400966805266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>
        <f>BY83*VLOOKUP('Données projet'!$B$12,Paramètres!$A$1:$I$89,3,0)*VLOOKUP('Données projet'!$B$12,Paramètres!$A$1:$I$89,5,0)</f>
        <v>0</v>
      </c>
      <c r="CA83" s="13" t="e">
        <f t="shared" si="93"/>
        <v>#NUM!</v>
      </c>
      <c r="CB83" s="20" t="e">
        <f t="shared" si="64"/>
        <v>#NUM!</v>
      </c>
      <c r="CC83" s="59" t="e">
        <f t="shared" si="65"/>
        <v>#NUM!</v>
      </c>
      <c r="CD83" s="59">
        <f ca="1">AVERAGE(OFFSET($CC$3,0,0,'Données projet'!$E$12+1,1))-AVERAGE(OFFSET($H$3,0,0,'Données projet'!$E$12+1,1))</f>
        <v>120.26681323682763</v>
      </c>
      <c r="CE83" s="59">
        <f t="shared" si="94"/>
        <v>344.92933166159389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12.719015498993281</v>
      </c>
      <c r="CL83" s="21">
        <f>EXP(-LN(2)/25)*CL82+(1-EXP(-LN(2)/25))/(LN(2)/25)*Calculateur!CG83*Calculateur!CI83*VLOOKUP('Données projet'!$B$12,Paramètres!$A$1:$I$89,3,0)*0.475*44/12</f>
        <v>3.3825115848698069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16.10152708386309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>
        <f>CT83*VLOOKUP('Données projet'!$B$13,Paramètres!$A$1:$I$89,3,0)*VLOOKUP('Données projet'!$B$13,Paramètres!$A$1:$I$89,5,0)</f>
        <v>0</v>
      </c>
      <c r="CV83" s="13" t="e">
        <f t="shared" si="95"/>
        <v>#NUM!</v>
      </c>
      <c r="CW83" s="20" t="e">
        <f t="shared" si="67"/>
        <v>#NUM!</v>
      </c>
      <c r="CX83" s="59" t="e">
        <f t="shared" si="68"/>
        <v>#NUM!</v>
      </c>
      <c r="CY83" s="59">
        <f ca="1">AVERAGE(OFFSET($CX$3,0,0,'Données projet'!$E$13+1,1))-AVERAGE(OFFSET($H$3,0,0,'Données projet'!$E$13+1,1))</f>
        <v>120.26681323682763</v>
      </c>
      <c r="CZ83" s="59">
        <f t="shared" si="96"/>
        <v>344.92933166159389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12.719015498993281</v>
      </c>
      <c r="DG83" s="21">
        <f>EXP(-LN(2)/25)*DG82+(1-EXP(-LN(2)/25))/(LN(2)/25)*Calculateur!DB83*Calculateur!DD83*VLOOKUP('Données projet'!$B$13,Paramètres!$A$1:$I$89,3,0)*0.475*44/12</f>
        <v>3.3825115848698069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16.10152708386309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114.4650227251685</v>
      </c>
      <c r="T84" s="59">
        <f t="shared" si="88"/>
        <v>386.57315604590599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14.114898251050738</v>
      </c>
      <c r="AA84" s="21">
        <f>EXP(-LN(2)/25)*AA83+(1-EXP(-LN(2)/25))/(LN(2)/25)*Calculateur!V84*Calculateur!X84*VLOOKUP('Données projet'!$B$9,Paramètres!$A$1:$I$89,3,0)*0.475*44/12</f>
        <v>3.7241160438582441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17.839014294908981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114.4650227251685</v>
      </c>
      <c r="AO84" s="59">
        <f t="shared" si="90"/>
        <v>386.57315604590599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14.114898251050738</v>
      </c>
      <c r="AV84" s="21">
        <f>EXP(-LN(2)/25)*AV83+(1-EXP(-LN(2)/25))/(LN(2)/25)*Calculateur!AQ84*Calculateur!AS84*VLOOKUP('Données projet'!$B$10,Paramètres!$A$1:$I$89,3,0)*0.475*44/12</f>
        <v>3.7241160438582441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17.839014294908981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68.944412338382023</v>
      </c>
      <c r="BJ84" s="59">
        <f t="shared" si="92"/>
        <v>281.00389700159246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9.953362900436991</v>
      </c>
      <c r="BQ84" s="21">
        <f>EXP(-LN(2)/25)*BQ83+(1-EXP(-LN(2)/25))/(LN(2)/25)*Calculateur!BL84*Calculateur!BN84*VLOOKUP('Données projet'!$B$11,Paramètres!$A$1:$I$89,3,0)*0.475*44/12</f>
        <v>2.6261243835109838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12.579487283947975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>
        <f>BY84*VLOOKUP('Données projet'!$B$12,Paramètres!$A$1:$I$89,3,0)*VLOOKUP('Données projet'!$B$12,Paramètres!$A$1:$I$89,5,0)</f>
        <v>0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120.26681323682763</v>
      </c>
      <c r="CE84" s="59">
        <f t="shared" si="94"/>
        <v>344.92933166159389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12.469603362891455</v>
      </c>
      <c r="CL84" s="21">
        <f>EXP(-LN(2)/25)*CL83+(1-EXP(-LN(2)/25))/(LN(2)/25)*Calculateur!CG84*Calculateur!CI84*VLOOKUP('Données projet'!$B$12,Paramètres!$A$1:$I$89,3,0)*0.475*44/12</f>
        <v>3.2900166277029887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15.759619990594445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>
        <f>CT84*VLOOKUP('Données projet'!$B$13,Paramètres!$A$1:$I$89,3,0)*VLOOKUP('Données projet'!$B$13,Paramètres!$A$1:$I$89,5,0)</f>
        <v>0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120.26681323682763</v>
      </c>
      <c r="CZ84" s="59">
        <f t="shared" si="96"/>
        <v>344.92933166159389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12.469603362891455</v>
      </c>
      <c r="DG84" s="21">
        <f>EXP(-LN(2)/25)*DG83+(1-EXP(-LN(2)/25))/(LN(2)/25)*Calculateur!DB84*Calculateur!DD84*VLOOKUP('Données projet'!$B$13,Paramètres!$A$1:$I$89,3,0)*0.475*44/12</f>
        <v>3.2900166277029887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15.759619990594445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114.4650227251685</v>
      </c>
      <c r="T85" s="59">
        <f t="shared" si="88"/>
        <v>386.57315604590599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13.838113705585474</v>
      </c>
      <c r="AA85" s="21">
        <f>EXP(-LN(2)/25)*AA84+(1-EXP(-LN(2)/25))/(LN(2)/25)*Calculateur!V85*Calculateur!X85*VLOOKUP('Données projet'!$B$9,Paramètres!$A$1:$I$89,3,0)*0.475*44/12</f>
        <v>3.6222798947961894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17.460393600381664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114.4650227251685</v>
      </c>
      <c r="AO85" s="59">
        <f t="shared" si="90"/>
        <v>386.57315604590599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13.838113705585474</v>
      </c>
      <c r="AV85" s="21">
        <f>EXP(-LN(2)/25)*AV84+(1-EXP(-LN(2)/25))/(LN(2)/25)*Calculateur!AQ85*Calculateur!AS85*VLOOKUP('Données projet'!$B$10,Paramètres!$A$1:$I$89,3,0)*0.475*44/12</f>
        <v>3.6222798947961894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17.460393600381664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68.944412338382023</v>
      </c>
      <c r="BJ85" s="59">
        <f t="shared" si="92"/>
        <v>281.00389700159246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9.7581835249113347</v>
      </c>
      <c r="BQ85" s="21">
        <f>EXP(-LN(2)/25)*BQ84+(1-EXP(-LN(2)/25))/(LN(2)/25)*Calculateur!BL85*Calculateur!BN85*VLOOKUP('Données projet'!$B$11,Paramètres!$A$1:$I$89,3,0)*0.475*44/12</f>
        <v>2.5543128741419965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12.31249639905333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>
        <f>BY85*VLOOKUP('Données projet'!$B$12,Paramètres!$A$1:$I$89,3,0)*VLOOKUP('Données projet'!$B$12,Paramètres!$A$1:$I$89,5,0)</f>
        <v>0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120.26681323682763</v>
      </c>
      <c r="CE85" s="59">
        <f t="shared" si="94"/>
        <v>344.92933166159389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12.225082046652204</v>
      </c>
      <c r="CL85" s="21">
        <f>EXP(-LN(2)/25)*CL84+(1-EXP(-LN(2)/25))/(LN(2)/25)*Calculateur!CG85*Calculateur!CI85*VLOOKUP('Données projet'!$B$12,Paramètres!$A$1:$I$89,3,0)*0.475*44/12</f>
        <v>3.2000509500039955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15.425132996656199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>
        <f>CT85*VLOOKUP('Données projet'!$B$13,Paramètres!$A$1:$I$89,3,0)*VLOOKUP('Données projet'!$B$13,Paramètres!$A$1:$I$89,5,0)</f>
        <v>0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120.26681323682763</v>
      </c>
      <c r="CZ85" s="59">
        <f t="shared" si="96"/>
        <v>344.92933166159389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12.225082046652204</v>
      </c>
      <c r="DG85" s="21">
        <f>EXP(-LN(2)/25)*DG84+(1-EXP(-LN(2)/25))/(LN(2)/25)*Calculateur!DB85*Calculateur!DD85*VLOOKUP('Données projet'!$B$13,Paramètres!$A$1:$I$89,3,0)*0.475*44/12</f>
        <v>3.2000509500039955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15.425132996656199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114.4650227251685</v>
      </c>
      <c r="T86" s="59">
        <f t="shared" si="88"/>
        <v>386.57315604590599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13.566756736234883</v>
      </c>
      <c r="AA86" s="21">
        <f>EXP(-LN(2)/25)*AA85+(1-EXP(-LN(2)/25))/(LN(2)/25)*Calculateur!V86*Calculateur!X86*VLOOKUP('Données projet'!$B$9,Paramètres!$A$1:$I$89,3,0)*0.475*44/12</f>
        <v>3.5232284605855666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17.08998519682045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114.4650227251685</v>
      </c>
      <c r="AO86" s="59">
        <f t="shared" si="90"/>
        <v>386.57315604590599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13.566756736234883</v>
      </c>
      <c r="AV86" s="21">
        <f>EXP(-LN(2)/25)*AV85+(1-EXP(-LN(2)/25))/(LN(2)/25)*Calculateur!AQ86*Calculateur!AS86*VLOOKUP('Données projet'!$B$10,Paramètres!$A$1:$I$89,3,0)*0.475*44/12</f>
        <v>3.5232284605855666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17.08998519682045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68.944412338382023</v>
      </c>
      <c r="BJ86" s="59">
        <f t="shared" si="92"/>
        <v>281.00389700159246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9.5668314978920712</v>
      </c>
      <c r="BQ86" s="21">
        <f>EXP(-LN(2)/25)*BQ85+(1-EXP(-LN(2)/25))/(LN(2)/25)*Calculateur!BL86*Calculateur!BN86*VLOOKUP('Données projet'!$B$11,Paramètres!$A$1:$I$89,3,0)*0.475*44/12</f>
        <v>2.4844650542731075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12.051296552165178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>
        <f>BY86*VLOOKUP('Données projet'!$B$12,Paramètres!$A$1:$I$89,3,0)*VLOOKUP('Données projet'!$B$12,Paramètres!$A$1:$I$89,5,0)</f>
        <v>0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120.26681323682763</v>
      </c>
      <c r="CE86" s="59">
        <f t="shared" si="94"/>
        <v>344.92933166159389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11.985355644281128</v>
      </c>
      <c r="CL86" s="21">
        <f>EXP(-LN(2)/25)*CL85+(1-EXP(-LN(2)/25))/(LN(2)/25)*Calculateur!CG86*Calculateur!CI86*VLOOKUP('Données projet'!$B$12,Paramètres!$A$1:$I$89,3,0)*0.475*44/12</f>
        <v>3.1125453884927707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15.097901032773899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>
        <f>CT86*VLOOKUP('Données projet'!$B$13,Paramètres!$A$1:$I$89,3,0)*VLOOKUP('Données projet'!$B$13,Paramètres!$A$1:$I$89,5,0)</f>
        <v>0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120.26681323682763</v>
      </c>
      <c r="CZ86" s="59">
        <f t="shared" si="96"/>
        <v>344.92933166159389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11.985355644281128</v>
      </c>
      <c r="DG86" s="21">
        <f>EXP(-LN(2)/25)*DG85+(1-EXP(-LN(2)/25))/(LN(2)/25)*Calculateur!DB86*Calculateur!DD86*VLOOKUP('Données projet'!$B$13,Paramètres!$A$1:$I$89,3,0)*0.475*44/12</f>
        <v>3.1125453884927707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15.097901032773899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114.4650227251685</v>
      </c>
      <c r="T87" s="59">
        <f t="shared" si="88"/>
        <v>386.57315604590599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13.300720911541847</v>
      </c>
      <c r="AA87" s="21">
        <f>EXP(-LN(2)/25)*AA86+(1-EXP(-LN(2)/25))/(LN(2)/25)*Calculateur!V87*Calculateur!X87*VLOOKUP('Données projet'!$B$9,Paramètres!$A$1:$I$89,3,0)*0.475*44/12</f>
        <v>3.4268855930523219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16.727606504594167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114.4650227251685</v>
      </c>
      <c r="AO87" s="59">
        <f t="shared" si="90"/>
        <v>386.57315604590599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13.300720911541847</v>
      </c>
      <c r="AV87" s="21">
        <f>EXP(-LN(2)/25)*AV86+(1-EXP(-LN(2)/25))/(LN(2)/25)*Calculateur!AQ87*Calculateur!AS87*VLOOKUP('Données projet'!$B$10,Paramètres!$A$1:$I$89,3,0)*0.475*44/12</f>
        <v>3.4268855930523219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16.727606504594167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68.944412338382023</v>
      </c>
      <c r="BJ87" s="59">
        <f t="shared" si="92"/>
        <v>281.00389700159246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9.3792317674094434</v>
      </c>
      <c r="BQ87" s="21">
        <f>EXP(-LN(2)/25)*BQ86+(1-EXP(-LN(2)/25))/(LN(2)/25)*Calculateur!BL87*Calculateur!BN87*VLOOKUP('Données projet'!$B$11,Paramètres!$A$1:$I$89,3,0)*0.475*44/12</f>
        <v>2.4165272267116706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11.795758994121114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>
        <f>BY87*VLOOKUP('Données projet'!$B$12,Paramètres!$A$1:$I$89,3,0)*VLOOKUP('Données projet'!$B$12,Paramètres!$A$1:$I$89,5,0)</f>
        <v>0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120.26681323682763</v>
      </c>
      <c r="CE87" s="59">
        <f t="shared" si="94"/>
        <v>344.92933166159389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11.750330130441881</v>
      </c>
      <c r="CL87" s="21">
        <f>EXP(-LN(2)/25)*CL86+(1-EXP(-LN(2)/25))/(LN(2)/25)*Calculateur!CG87*Calculateur!CI87*VLOOKUP('Données projet'!$B$12,Paramètres!$A$1:$I$89,3,0)*0.475*44/12</f>
        <v>3.0274326711627877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14.77776280160467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>
        <f>CT87*VLOOKUP('Données projet'!$B$13,Paramètres!$A$1:$I$89,3,0)*VLOOKUP('Données projet'!$B$13,Paramètres!$A$1:$I$89,5,0)</f>
        <v>0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120.26681323682763</v>
      </c>
      <c r="CZ87" s="59">
        <f t="shared" si="96"/>
        <v>344.92933166159389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11.750330130441881</v>
      </c>
      <c r="DG87" s="21">
        <f>EXP(-LN(2)/25)*DG86+(1-EXP(-LN(2)/25))/(LN(2)/25)*Calculateur!DB87*Calculateur!DD87*VLOOKUP('Données projet'!$B$13,Paramètres!$A$1:$I$89,3,0)*0.475*44/12</f>
        <v>3.0274326711627877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14.77776280160467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114.4650227251685</v>
      </c>
      <c r="T88" s="59">
        <f t="shared" si="88"/>
        <v>386.57315604590599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13.039901887105211</v>
      </c>
      <c r="AA88" s="21">
        <f>EXP(-LN(2)/25)*AA87+(1-EXP(-LN(2)/25))/(LN(2)/25)*Calculateur!V88*Calculateur!X88*VLOOKUP('Données projet'!$B$9,Paramètres!$A$1:$I$89,3,0)*0.475*44/12</f>
        <v>3.3331772262982251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16.373079113403435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114.4650227251685</v>
      </c>
      <c r="AO88" s="59">
        <f t="shared" si="90"/>
        <v>386.57315604590599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13.039901887105211</v>
      </c>
      <c r="AV88" s="21">
        <f>EXP(-LN(2)/25)*AV87+(1-EXP(-LN(2)/25))/(LN(2)/25)*Calculateur!AQ88*Calculateur!AS88*VLOOKUP('Données projet'!$B$10,Paramètres!$A$1:$I$89,3,0)*0.475*44/12</f>
        <v>3.3331772262982251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16.373079113403435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68.944412338382023</v>
      </c>
      <c r="BJ88" s="59">
        <f t="shared" si="92"/>
        <v>281.00389700159246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9.1953107532170435</v>
      </c>
      <c r="BQ88" s="21">
        <f>EXP(-LN(2)/25)*BQ87+(1-EXP(-LN(2)/25))/(LN(2)/25)*Calculateur!BL88*Calculateur!BN88*VLOOKUP('Données projet'!$B$11,Paramètres!$A$1:$I$89,3,0)*0.475*44/12</f>
        <v>2.3504471626175962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11.54575791583464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>
        <f>BY88*VLOOKUP('Données projet'!$B$12,Paramètres!$A$1:$I$89,3,0)*VLOOKUP('Données projet'!$B$12,Paramètres!$A$1:$I$89,5,0)</f>
        <v>0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120.26681323682763</v>
      </c>
      <c r="CE88" s="59">
        <f t="shared" si="94"/>
        <v>344.92933166159389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11.519913323577613</v>
      </c>
      <c r="CL88" s="21">
        <f>EXP(-LN(2)/25)*CL87+(1-EXP(-LN(2)/25))/(LN(2)/25)*Calculateur!CG88*Calculateur!CI88*VLOOKUP('Données projet'!$B$12,Paramètres!$A$1:$I$89,3,0)*0.475*44/12</f>
        <v>2.9446473655640766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14.46456068914169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>
        <f>CT88*VLOOKUP('Données projet'!$B$13,Paramètres!$A$1:$I$89,3,0)*VLOOKUP('Données projet'!$B$13,Paramètres!$A$1:$I$89,5,0)</f>
        <v>0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120.26681323682763</v>
      </c>
      <c r="CZ88" s="59">
        <f t="shared" si="96"/>
        <v>344.92933166159389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11.519913323577613</v>
      </c>
      <c r="DG88" s="21">
        <f>EXP(-LN(2)/25)*DG87+(1-EXP(-LN(2)/25))/(LN(2)/25)*Calculateur!DB88*Calculateur!DD88*VLOOKUP('Données projet'!$B$13,Paramètres!$A$1:$I$89,3,0)*0.475*44/12</f>
        <v>2.9446473655640766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14.46456068914169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114.4650227251685</v>
      </c>
      <c r="T89" s="59">
        <f t="shared" si="88"/>
        <v>386.57315604590599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12.784197364653881</v>
      </c>
      <c r="AA89" s="21">
        <f>EXP(-LN(2)/25)*AA88+(1-EXP(-LN(2)/25))/(LN(2)/25)*Calculateur!V89*Calculateur!X89*VLOOKUP('Données projet'!$B$9,Paramètres!$A$1:$I$89,3,0)*0.475*44/12</f>
        <v>3.2420313197609278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16.026228684414811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114.4650227251685</v>
      </c>
      <c r="AO89" s="59">
        <f t="shared" si="90"/>
        <v>386.57315604590599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12.784197364653881</v>
      </c>
      <c r="AV89" s="21">
        <f>EXP(-LN(2)/25)*AV88+(1-EXP(-LN(2)/25))/(LN(2)/25)*Calculateur!AQ89*Calculateur!AS89*VLOOKUP('Données projet'!$B$10,Paramètres!$A$1:$I$89,3,0)*0.475*44/12</f>
        <v>3.2420313197609278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16.026228684414811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68.944412338382023</v>
      </c>
      <c r="BJ89" s="59">
        <f t="shared" si="92"/>
        <v>281.00389700159246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9.0149963179322157</v>
      </c>
      <c r="BQ89" s="21">
        <f>EXP(-LN(2)/25)*BQ88+(1-EXP(-LN(2)/25))/(LN(2)/25)*Calculateur!BL89*Calculateur!BN89*VLOOKUP('Données projet'!$B$11,Paramètres!$A$1:$I$89,3,0)*0.475*44/12</f>
        <v>2.2861740613511738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11.30117037928339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>
        <f>BY89*VLOOKUP('Données projet'!$B$12,Paramètres!$A$1:$I$89,3,0)*VLOOKUP('Données projet'!$B$12,Paramètres!$A$1:$I$89,5,0)</f>
        <v>0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120.26681323682763</v>
      </c>
      <c r="CE89" s="59">
        <f t="shared" si="94"/>
        <v>344.92933166159389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11.294014849755579</v>
      </c>
      <c r="CL89" s="21">
        <f>EXP(-LN(2)/25)*CL88+(1-EXP(-LN(2)/25))/(LN(2)/25)*Calculateur!CG89*Calculateur!CI89*VLOOKUP('Données projet'!$B$12,Paramètres!$A$1:$I$89,3,0)*0.475*44/12</f>
        <v>2.8641258285004518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14.15814067825603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>
        <f>CT89*VLOOKUP('Données projet'!$B$13,Paramètres!$A$1:$I$89,3,0)*VLOOKUP('Données projet'!$B$13,Paramètres!$A$1:$I$89,5,0)</f>
        <v>0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120.26681323682763</v>
      </c>
      <c r="CZ89" s="59">
        <f t="shared" si="96"/>
        <v>344.92933166159389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11.294014849755579</v>
      </c>
      <c r="DG89" s="21">
        <f>EXP(-LN(2)/25)*DG88+(1-EXP(-LN(2)/25))/(LN(2)/25)*Calculateur!DB89*Calculateur!DD89*VLOOKUP('Données projet'!$B$13,Paramètres!$A$1:$I$89,3,0)*0.475*44/12</f>
        <v>2.8641258285004518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14.15814067825603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114.4650227251685</v>
      </c>
      <c r="T90" s="59">
        <f t="shared" si="88"/>
        <v>386.57315604590599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12.533507051923463</v>
      </c>
      <c r="AA90" s="21">
        <f>EXP(-LN(2)/25)*AA89+(1-EXP(-LN(2)/25))/(LN(2)/25)*Calculateur!V90*Calculateur!X90*VLOOKUP('Données projet'!$B$9,Paramètres!$A$1:$I$89,3,0)*0.475*44/12</f>
        <v>3.1533778028310477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15.68688485475451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114.4650227251685</v>
      </c>
      <c r="AO90" s="59">
        <f t="shared" si="90"/>
        <v>386.57315604590599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12.533507051923463</v>
      </c>
      <c r="AV90" s="21">
        <f>EXP(-LN(2)/25)*AV89+(1-EXP(-LN(2)/25))/(LN(2)/25)*Calculateur!AQ90*Calculateur!AS90*VLOOKUP('Données projet'!$B$10,Paramètres!$A$1:$I$89,3,0)*0.475*44/12</f>
        <v>3.1533778028310477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15.68688485475451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68.944412338382023</v>
      </c>
      <c r="BJ90" s="59">
        <f t="shared" si="92"/>
        <v>281.00389700159246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8.8382177387423759</v>
      </c>
      <c r="BQ90" s="21">
        <f>EXP(-LN(2)/25)*BQ89+(1-EXP(-LN(2)/25))/(LN(2)/25)*Calculateur!BL90*Calculateur!BN90*VLOOKUP('Données projet'!$B$11,Paramètres!$A$1:$I$89,3,0)*0.475*44/12</f>
        <v>2.2236585114188574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11.061876250161234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>
        <f>BY90*VLOOKUP('Données projet'!$B$12,Paramètres!$A$1:$I$89,3,0)*VLOOKUP('Données projet'!$B$12,Paramètres!$A$1:$I$89,5,0)</f>
        <v>0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120.26681323682763</v>
      </c>
      <c r="CE90" s="59">
        <f t="shared" si="94"/>
        <v>344.92933166159389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11.072546107220731</v>
      </c>
      <c r="CL90" s="21">
        <f>EXP(-LN(2)/25)*CL89+(1-EXP(-LN(2)/25))/(LN(2)/25)*Calculateur!CG90*Calculateur!CI90*VLOOKUP('Données projet'!$B$12,Paramètres!$A$1:$I$89,3,0)*0.475*44/12</f>
        <v>2.7858061571022756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13.858352264323006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>
        <f>CT90*VLOOKUP('Données projet'!$B$13,Paramètres!$A$1:$I$89,3,0)*VLOOKUP('Données projet'!$B$13,Paramètres!$A$1:$I$89,5,0)</f>
        <v>0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120.26681323682763</v>
      </c>
      <c r="CZ90" s="59">
        <f t="shared" si="96"/>
        <v>344.92933166159389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11.072546107220731</v>
      </c>
      <c r="DG90" s="21">
        <f>EXP(-LN(2)/25)*DG89+(1-EXP(-LN(2)/25))/(LN(2)/25)*Calculateur!DB90*Calculateur!DD90*VLOOKUP('Données projet'!$B$13,Paramètres!$A$1:$I$89,3,0)*0.475*44/12</f>
        <v>2.7858061571022756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13.858352264323006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114.4650227251685</v>
      </c>
      <c r="T91" s="59">
        <f t="shared" si="88"/>
        <v>386.57315604590599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12.287732623319696</v>
      </c>
      <c r="AA91" s="21">
        <f>EXP(-LN(2)/25)*AA90+(1-EXP(-LN(2)/25))/(LN(2)/25)*Calculateur!V91*Calculateur!X91*VLOOKUP('Données projet'!$B$9,Paramètres!$A$1:$I$89,3,0)*0.475*44/12</f>
        <v>3.0671485209837011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15.354881144303398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114.4650227251685</v>
      </c>
      <c r="AO91" s="59">
        <f t="shared" si="90"/>
        <v>386.57315604590599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12.287732623319696</v>
      </c>
      <c r="AV91" s="21">
        <f>EXP(-LN(2)/25)*AV90+(1-EXP(-LN(2)/25))/(LN(2)/25)*Calculateur!AQ91*Calculateur!AS91*VLOOKUP('Données projet'!$B$10,Paramètres!$A$1:$I$89,3,0)*0.475*44/12</f>
        <v>3.0671485209837011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15.354881144303398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68.944412338382023</v>
      </c>
      <c r="BJ91" s="59">
        <f t="shared" si="92"/>
        <v>281.00389700159246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8.6649056796661625</v>
      </c>
      <c r="BQ91" s="21">
        <f>EXP(-LN(2)/25)*BQ90+(1-EXP(-LN(2)/25))/(LN(2)/25)*Calculateur!BL91*Calculateur!BN91*VLOOKUP('Données projet'!$B$11,Paramètres!$A$1:$I$89,3,0)*0.475*44/12</f>
        <v>2.1628524524869897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10.827758132153152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>
        <f>BY91*VLOOKUP('Données projet'!$B$12,Paramètres!$A$1:$I$89,3,0)*VLOOKUP('Données projet'!$B$12,Paramètres!$A$1:$I$89,5,0)</f>
        <v>0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120.26681323682763</v>
      </c>
      <c r="CE91" s="59">
        <f t="shared" si="94"/>
        <v>344.92933166159389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10.855420231644397</v>
      </c>
      <c r="CL91" s="21">
        <f>EXP(-LN(2)/25)*CL90+(1-EXP(-LN(2)/25))/(LN(2)/25)*Calculateur!CG91*Calculateur!CI91*VLOOKUP('Données projet'!$B$12,Paramètres!$A$1:$I$89,3,0)*0.475*44/12</f>
        <v>2.7096281412371352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13.565048372881531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>
        <f>CT91*VLOOKUP('Données projet'!$B$13,Paramètres!$A$1:$I$89,3,0)*VLOOKUP('Données projet'!$B$13,Paramètres!$A$1:$I$89,5,0)</f>
        <v>0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120.26681323682763</v>
      </c>
      <c r="CZ91" s="59">
        <f t="shared" si="96"/>
        <v>344.92933166159389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10.855420231644397</v>
      </c>
      <c r="DG91" s="21">
        <f>EXP(-LN(2)/25)*DG90+(1-EXP(-LN(2)/25))/(LN(2)/25)*Calculateur!DB91*Calculateur!DD91*VLOOKUP('Données projet'!$B$13,Paramètres!$A$1:$I$89,3,0)*0.475*44/12</f>
        <v>2.7096281412371352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13.565048372881531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114.4650227251685</v>
      </c>
      <c r="T92" s="59">
        <f t="shared" si="88"/>
        <v>386.57315604590599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12.04677768135325</v>
      </c>
      <c r="AA92" s="21">
        <f>EXP(-LN(2)/25)*AA91+(1-EXP(-LN(2)/25))/(LN(2)/25)*Calculateur!V92*Calculateur!X92*VLOOKUP('Données projet'!$B$9,Paramètres!$A$1:$I$89,3,0)*0.475*44/12</f>
        <v>2.9832771833830711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15.030054864736321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114.4650227251685</v>
      </c>
      <c r="AO92" s="59">
        <f t="shared" si="90"/>
        <v>386.57315604590599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12.04677768135325</v>
      </c>
      <c r="AV92" s="21">
        <f>EXP(-LN(2)/25)*AV91+(1-EXP(-LN(2)/25))/(LN(2)/25)*Calculateur!AQ92*Calculateur!AS92*VLOOKUP('Données projet'!$B$10,Paramètres!$A$1:$I$89,3,0)*0.475*44/12</f>
        <v>2.9832771833830711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15.030054864736321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68.944412338382023</v>
      </c>
      <c r="BJ92" s="59">
        <f t="shared" si="92"/>
        <v>281.00389700159246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8.494992164358516</v>
      </c>
      <c r="BQ92" s="21">
        <f>EXP(-LN(2)/25)*BQ91+(1-EXP(-LN(2)/25))/(LN(2)/25)*Calculateur!BL92*Calculateur!BN92*VLOOKUP('Données projet'!$B$11,Paramètres!$A$1:$I$89,3,0)*0.475*44/12</f>
        <v>2.1037091384342657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10.598701302792781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>
        <f>BY92*VLOOKUP('Données projet'!$B$12,Paramètres!$A$1:$I$89,3,0)*VLOOKUP('Données projet'!$B$12,Paramètres!$A$1:$I$89,5,0)</f>
        <v>0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120.26681323682763</v>
      </c>
      <c r="CE92" s="59">
        <f t="shared" si="94"/>
        <v>344.92933166159389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10.642552062054406</v>
      </c>
      <c r="CL92" s="21">
        <f>EXP(-LN(2)/25)*CL91+(1-EXP(-LN(2)/25))/(LN(2)/25)*Calculateur!CG92*Calculateur!CI92*VLOOKUP('Données projet'!$B$12,Paramètres!$A$1:$I$89,3,0)*0.475*44/12</f>
        <v>2.6355332172218549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13.278085279276262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>
        <f>CT92*VLOOKUP('Données projet'!$B$13,Paramètres!$A$1:$I$89,3,0)*VLOOKUP('Données projet'!$B$13,Paramètres!$A$1:$I$89,5,0)</f>
        <v>0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120.26681323682763</v>
      </c>
      <c r="CZ92" s="59">
        <f t="shared" si="96"/>
        <v>344.92933166159389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10.642552062054406</v>
      </c>
      <c r="DG92" s="21">
        <f>EXP(-LN(2)/25)*DG91+(1-EXP(-LN(2)/25))/(LN(2)/25)*Calculateur!DB92*Calculateur!DD92*VLOOKUP('Données projet'!$B$13,Paramètres!$A$1:$I$89,3,0)*0.475*44/12</f>
        <v>2.6355332172218549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13.278085279276262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114.4650227251685</v>
      </c>
      <c r="T93" s="59">
        <f t="shared" si="88"/>
        <v>386.57315604590599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11.810547718830762</v>
      </c>
      <c r="AA93" s="21">
        <f>EXP(-LN(2)/25)*AA92+(1-EXP(-LN(2)/25))/(LN(2)/25)*Calculateur!V93*Calculateur!X93*VLOOKUP('Données projet'!$B$9,Paramètres!$A$1:$I$89,3,0)*0.475*44/12</f>
        <v>2.9016993119197325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14.712247030750493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114.4650227251685</v>
      </c>
      <c r="AO93" s="59">
        <f t="shared" si="90"/>
        <v>386.57315604590599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11.810547718830762</v>
      </c>
      <c r="AV93" s="21">
        <f>EXP(-LN(2)/25)*AV92+(1-EXP(-LN(2)/25))/(LN(2)/25)*Calculateur!AQ93*Calculateur!AS93*VLOOKUP('Données projet'!$B$10,Paramètres!$A$1:$I$89,3,0)*0.475*44/12</f>
        <v>2.9016993119197325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14.712247030750493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68.944412338382023</v>
      </c>
      <c r="BJ93" s="59">
        <f t="shared" si="92"/>
        <v>281.00389700159246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8.3284105494490426</v>
      </c>
      <c r="BQ93" s="21">
        <f>EXP(-LN(2)/25)*BQ92+(1-EXP(-LN(2)/25))/(LN(2)/25)*Calculateur!BL93*Calculateur!BN93*VLOOKUP('Données projet'!$B$11,Paramètres!$A$1:$I$89,3,0)*0.475*44/12</f>
        <v>2.0461831014145253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10.374593650863568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>
        <f>BY93*VLOOKUP('Données projet'!$B$12,Paramètres!$A$1:$I$89,3,0)*VLOOKUP('Données projet'!$B$12,Paramètres!$A$1:$I$89,5,0)</f>
        <v>0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120.26681323682763</v>
      </c>
      <c r="CE93" s="59">
        <f t="shared" si="94"/>
        <v>344.92933166159389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10.433858107433313</v>
      </c>
      <c r="CL93" s="21">
        <f>EXP(-LN(2)/25)*CL92+(1-EXP(-LN(2)/25))/(LN(2)/25)*Calculateur!CG93*Calculateur!CI93*VLOOKUP('Données projet'!$B$12,Paramètres!$A$1:$I$89,3,0)*0.475*44/12</f>
        <v>2.563464422800255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12.997322530233568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>
        <f>CT93*VLOOKUP('Données projet'!$B$13,Paramètres!$A$1:$I$89,3,0)*VLOOKUP('Données projet'!$B$13,Paramètres!$A$1:$I$89,5,0)</f>
        <v>0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120.26681323682763</v>
      </c>
      <c r="CZ93" s="59">
        <f t="shared" si="96"/>
        <v>344.92933166159389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10.433858107433313</v>
      </c>
      <c r="DG93" s="21">
        <f>EXP(-LN(2)/25)*DG92+(1-EXP(-LN(2)/25))/(LN(2)/25)*Calculateur!DB93*Calculateur!DD93*VLOOKUP('Données projet'!$B$13,Paramètres!$A$1:$I$89,3,0)*0.475*44/12</f>
        <v>2.563464422800255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12.997322530233568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114.4650227251685</v>
      </c>
      <c r="T94" s="59">
        <f t="shared" si="88"/>
        <v>386.57315604590599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11.578950081787291</v>
      </c>
      <c r="AA94" s="21">
        <f>EXP(-LN(2)/25)*AA93+(1-EXP(-LN(2)/25))/(LN(2)/25)*Calculateur!V94*Calculateur!X94*VLOOKUP('Données projet'!$B$9,Paramètres!$A$1:$I$89,3,0)*0.475*44/12</f>
        <v>2.8223521916415524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14.401302273428843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114.4650227251685</v>
      </c>
      <c r="AO94" s="59">
        <f t="shared" si="90"/>
        <v>386.57315604590599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11.578950081787291</v>
      </c>
      <c r="AV94" s="21">
        <f>EXP(-LN(2)/25)*AV93+(1-EXP(-LN(2)/25))/(LN(2)/25)*Calculateur!AQ94*Calculateur!AS94*VLOOKUP('Données projet'!$B$10,Paramètres!$A$1:$I$89,3,0)*0.475*44/12</f>
        <v>2.8223521916415524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14.401302273428843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68.944412338382023</v>
      </c>
      <c r="BJ94" s="59">
        <f t="shared" si="92"/>
        <v>281.00389700159246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8.1650954984031898</v>
      </c>
      <c r="BQ94" s="21">
        <f>EXP(-LN(2)/25)*BQ93+(1-EXP(-LN(2)/25))/(LN(2)/25)*Calculateur!BL94*Calculateur!BN94*VLOOKUP('Données projet'!$B$11,Paramètres!$A$1:$I$89,3,0)*0.475*44/12</f>
        <v>1.9902301169022525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10.155325615305442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>
        <f>BY94*VLOOKUP('Données projet'!$B$12,Paramètres!$A$1:$I$89,3,0)*VLOOKUP('Données projet'!$B$12,Paramètres!$A$1:$I$89,5,0)</f>
        <v>0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120.26681323682763</v>
      </c>
      <c r="CE94" s="59">
        <f t="shared" si="94"/>
        <v>344.92933166159389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10.229256513971595</v>
      </c>
      <c r="CL94" s="21">
        <f>EXP(-LN(2)/25)*CL93+(1-EXP(-LN(2)/25))/(LN(2)/25)*Calculateur!CG94*Calculateur!CI94*VLOOKUP('Données projet'!$B$12,Paramètres!$A$1:$I$89,3,0)*0.475*44/12</f>
        <v>2.4933663533520467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12.722622867323642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>
        <f>CT94*VLOOKUP('Données projet'!$B$13,Paramètres!$A$1:$I$89,3,0)*VLOOKUP('Données projet'!$B$13,Paramètres!$A$1:$I$89,5,0)</f>
        <v>0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120.26681323682763</v>
      </c>
      <c r="CZ94" s="59">
        <f t="shared" si="96"/>
        <v>344.92933166159389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10.229256513971595</v>
      </c>
      <c r="DG94" s="21">
        <f>EXP(-LN(2)/25)*DG93+(1-EXP(-LN(2)/25))/(LN(2)/25)*Calculateur!DB94*Calculateur!DD94*VLOOKUP('Données projet'!$B$13,Paramètres!$A$1:$I$89,3,0)*0.475*44/12</f>
        <v>2.4933663533520467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12.722622867323642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114.4650227251685</v>
      </c>
      <c r="T95" s="59">
        <f t="shared" si="88"/>
        <v>386.57315604590599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11.351893933145632</v>
      </c>
      <c r="AA95" s="21">
        <f>EXP(-LN(2)/25)*AA94+(1-EXP(-LN(2)/25))/(LN(2)/25)*Calculateur!V95*Calculateur!X95*VLOOKUP('Données projet'!$B$9,Paramètres!$A$1:$I$89,3,0)*0.475*44/12</f>
        <v>2.7451748225400627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14.097068755685696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114.4650227251685</v>
      </c>
      <c r="AO95" s="59">
        <f t="shared" si="90"/>
        <v>386.57315604590599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11.351893933145632</v>
      </c>
      <c r="AV95" s="21">
        <f>EXP(-LN(2)/25)*AV94+(1-EXP(-LN(2)/25))/(LN(2)/25)*Calculateur!AQ95*Calculateur!AS95*VLOOKUP('Données projet'!$B$10,Paramètres!$A$1:$I$89,3,0)*0.475*44/12</f>
        <v>2.7451748225400627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14.097068755685696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68.944412338382023</v>
      </c>
      <c r="BJ95" s="59">
        <f t="shared" si="92"/>
        <v>281.00389700159246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8.0049829558960024</v>
      </c>
      <c r="BQ95" s="21">
        <f>EXP(-LN(2)/25)*BQ94+(1-EXP(-LN(2)/25))/(LN(2)/25)*Calculateur!BL95*Calculateur!BN95*VLOOKUP('Données projet'!$B$11,Paramètres!$A$1:$I$89,3,0)*0.475*44/12</f>
        <v>1.9358071696939072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9.9407901255899098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>
        <f>BY95*VLOOKUP('Données projet'!$B$12,Paramètres!$A$1:$I$89,3,0)*VLOOKUP('Données projet'!$B$12,Paramètres!$A$1:$I$89,5,0)</f>
        <v>0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120.26681323682763</v>
      </c>
      <c r="CE95" s="59">
        <f t="shared" si="94"/>
        <v>344.92933166159389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10.028667032963012</v>
      </c>
      <c r="CL95" s="21">
        <f>EXP(-LN(2)/25)*CL94+(1-EXP(-LN(2)/25))/(LN(2)/25)*Calculateur!CG95*Calculateur!CI95*VLOOKUP('Données projet'!$B$12,Paramètres!$A$1:$I$89,3,0)*0.475*44/12</f>
        <v>2.4251851192991971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12.453852152262209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>
        <f>CT95*VLOOKUP('Données projet'!$B$13,Paramètres!$A$1:$I$89,3,0)*VLOOKUP('Données projet'!$B$13,Paramètres!$A$1:$I$89,5,0)</f>
        <v>0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120.26681323682763</v>
      </c>
      <c r="CZ95" s="59">
        <f t="shared" si="96"/>
        <v>344.92933166159389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10.028667032963012</v>
      </c>
      <c r="DG95" s="21">
        <f>EXP(-LN(2)/25)*DG94+(1-EXP(-LN(2)/25))/(LN(2)/25)*Calculateur!DB95*Calculateur!DD95*VLOOKUP('Données projet'!$B$13,Paramètres!$A$1:$I$89,3,0)*0.475*44/12</f>
        <v>2.4251851192991971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12.453852152262209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114.4650227251685</v>
      </c>
      <c r="T96" s="59">
        <f t="shared" si="88"/>
        <v>386.57315604590599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11.129290217088259</v>
      </c>
      <c r="AA96" s="21">
        <f>EXP(-LN(2)/25)*AA95+(1-EXP(-LN(2)/25))/(LN(2)/25)*Calculateur!V96*Calculateur!X96*VLOOKUP('Données projet'!$B$9,Paramètres!$A$1:$I$89,3,0)*0.475*44/12</f>
        <v>2.670107872655235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13.799398089743494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114.4650227251685</v>
      </c>
      <c r="AO96" s="59">
        <f t="shared" si="90"/>
        <v>386.57315604590599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11.129290217088259</v>
      </c>
      <c r="AV96" s="21">
        <f>EXP(-LN(2)/25)*AV95+(1-EXP(-LN(2)/25))/(LN(2)/25)*Calculateur!AQ96*Calculateur!AS96*VLOOKUP('Données projet'!$B$10,Paramètres!$A$1:$I$89,3,0)*0.475*44/12</f>
        <v>2.670107872655235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13.799398089743494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68.944412338382023</v>
      </c>
      <c r="BJ96" s="59">
        <f t="shared" si="92"/>
        <v>281.00389700159246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7.8480101226883727</v>
      </c>
      <c r="BQ96" s="21">
        <f>EXP(-LN(2)/25)*BQ95+(1-EXP(-LN(2)/25))/(LN(2)/25)*Calculateur!BL96*Calculateur!BN96*VLOOKUP('Données projet'!$B$11,Paramètres!$A$1:$I$89,3,0)*0.475*44/12</f>
        <v>1.8828724208389527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9.7308825435273256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>
        <f>BY96*VLOOKUP('Données projet'!$B$12,Paramètres!$A$1:$I$89,3,0)*VLOOKUP('Données projet'!$B$12,Paramètres!$A$1:$I$89,5,0)</f>
        <v>0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120.26681323682763</v>
      </c>
      <c r="CE96" s="59">
        <f t="shared" si="94"/>
        <v>344.92933166159389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9.8320109893295058</v>
      </c>
      <c r="CL96" s="21">
        <f>EXP(-LN(2)/25)*CL95+(1-EXP(-LN(2)/25))/(LN(2)/25)*Calculateur!CG96*Calculateur!CI96*VLOOKUP('Données projet'!$B$12,Paramètres!$A$1:$I$89,3,0)*0.475*44/12</f>
        <v>2.358868304677018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12.190879294006525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>
        <f>CT96*VLOOKUP('Données projet'!$B$13,Paramètres!$A$1:$I$89,3,0)*VLOOKUP('Données projet'!$B$13,Paramètres!$A$1:$I$89,5,0)</f>
        <v>0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120.26681323682763</v>
      </c>
      <c r="CZ96" s="59">
        <f t="shared" si="96"/>
        <v>344.92933166159389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9.8320109893295058</v>
      </c>
      <c r="DG96" s="21">
        <f>EXP(-LN(2)/25)*DG95+(1-EXP(-LN(2)/25))/(LN(2)/25)*Calculateur!DB96*Calculateur!DD96*VLOOKUP('Données projet'!$B$13,Paramètres!$A$1:$I$89,3,0)*0.475*44/12</f>
        <v>2.358868304677018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12.190879294006525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114.4650227251685</v>
      </c>
      <c r="T97" s="59">
        <f t="shared" si="88"/>
        <v>386.57315604590599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10.911051624127913</v>
      </c>
      <c r="AA97" s="21">
        <f>EXP(-LN(2)/25)*AA96+(1-EXP(-LN(2)/25))/(LN(2)/25)*Calculateur!V97*Calculateur!X97*VLOOKUP('Données projet'!$B$9,Paramètres!$A$1:$I$89,3,0)*0.475*44/12</f>
        <v>2.5970936324626073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13.50814525659052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114.4650227251685</v>
      </c>
      <c r="AO97" s="59">
        <f t="shared" si="90"/>
        <v>386.57315604590599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10.911051624127913</v>
      </c>
      <c r="AV97" s="21">
        <f>EXP(-LN(2)/25)*AV96+(1-EXP(-LN(2)/25))/(LN(2)/25)*Calculateur!AQ97*Calculateur!AS97*VLOOKUP('Données projet'!$B$10,Paramètres!$A$1:$I$89,3,0)*0.475*44/12</f>
        <v>2.5970936324626073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13.50814525659052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68.944412338382023</v>
      </c>
      <c r="BJ97" s="59">
        <f t="shared" si="92"/>
        <v>281.00389700159246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7.6941154309959696</v>
      </c>
      <c r="BQ97" s="21">
        <f>EXP(-LN(2)/25)*BQ96+(1-EXP(-LN(2)/25))/(LN(2)/25)*Calculateur!BL97*Calculateur!BN97*VLOOKUP('Données projet'!$B$11,Paramètres!$A$1:$I$89,3,0)*0.475*44/12</f>
        <v>1.8313851754751542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9.5255006064711232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>
        <f>BY97*VLOOKUP('Données projet'!$B$12,Paramètres!$A$1:$I$89,3,0)*VLOOKUP('Données projet'!$B$12,Paramètres!$A$1:$I$89,5,0)</f>
        <v>0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120.26681323682763</v>
      </c>
      <c r="CE97" s="59">
        <f t="shared" si="94"/>
        <v>344.92933166159389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9.6392112507633101</v>
      </c>
      <c r="CL97" s="21">
        <f>EXP(-LN(2)/25)*CL96+(1-EXP(-LN(2)/25))/(LN(2)/25)*Calculateur!CG97*Calculateur!CI97*VLOOKUP('Données projet'!$B$12,Paramètres!$A$1:$I$89,3,0)*0.475*44/12</f>
        <v>2.2943649268381319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11.933576177601442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>
        <f>CT97*VLOOKUP('Données projet'!$B$13,Paramètres!$A$1:$I$89,3,0)*VLOOKUP('Données projet'!$B$13,Paramètres!$A$1:$I$89,5,0)</f>
        <v>0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120.26681323682763</v>
      </c>
      <c r="CZ97" s="59">
        <f t="shared" si="96"/>
        <v>344.92933166159389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9.6392112507633101</v>
      </c>
      <c r="DG97" s="21">
        <f>EXP(-LN(2)/25)*DG96+(1-EXP(-LN(2)/25))/(LN(2)/25)*Calculateur!DB97*Calculateur!DD97*VLOOKUP('Données projet'!$B$13,Paramètres!$A$1:$I$89,3,0)*0.475*44/12</f>
        <v>2.2943649268381319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11.933576177601442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114.4650227251685</v>
      </c>
      <c r="T98" s="59">
        <f t="shared" si="88"/>
        <v>386.57315604590599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10.697092556863121</v>
      </c>
      <c r="AA98" s="21">
        <f>EXP(-LN(2)/25)*AA97+(1-EXP(-LN(2)/25))/(LN(2)/25)*Calculateur!V98*Calculateur!X98*VLOOKUP('Données projet'!$B$9,Paramètres!$A$1:$I$89,3,0)*0.475*44/12</f>
        <v>2.5260759705076987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13.22316852737082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114.4650227251685</v>
      </c>
      <c r="AO98" s="59">
        <f t="shared" si="90"/>
        <v>386.57315604590599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10.697092556863121</v>
      </c>
      <c r="AV98" s="21">
        <f>EXP(-LN(2)/25)*AV97+(1-EXP(-LN(2)/25))/(LN(2)/25)*Calculateur!AQ98*Calculateur!AS98*VLOOKUP('Données projet'!$B$10,Paramètres!$A$1:$I$89,3,0)*0.475*44/12</f>
        <v>2.5260759705076987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13.22316852737082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68.944412338382023</v>
      </c>
      <c r="BJ98" s="59">
        <f t="shared" si="92"/>
        <v>281.00389700159246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7.5432385203411618</v>
      </c>
      <c r="BQ98" s="21">
        <f>EXP(-LN(2)/25)*BQ97+(1-EXP(-LN(2)/25))/(LN(2)/25)*Calculateur!BL98*Calculateur!BN98*VLOOKUP('Données projet'!$B$11,Paramètres!$A$1:$I$89,3,0)*0.475*44/12</f>
        <v>1.7813058515434255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9.3245443718845866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>
        <f>BY98*VLOOKUP('Données projet'!$B$12,Paramètres!$A$1:$I$89,3,0)*VLOOKUP('Données projet'!$B$12,Paramètres!$A$1:$I$89,5,0)</f>
        <v>0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120.26681323682763</v>
      </c>
      <c r="CE98" s="59">
        <f t="shared" si="94"/>
        <v>344.92933166159389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9.4501921974741681</v>
      </c>
      <c r="CL98" s="21">
        <f>EXP(-LN(2)/25)*CL97+(1-EXP(-LN(2)/25))/(LN(2)/25)*Calculateur!CG98*Calculateur!CI98*VLOOKUP('Données projet'!$B$12,Paramètres!$A$1:$I$89,3,0)*0.475*44/12</f>
        <v>2.2316253972583353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11.681817594732504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>
        <f>CT98*VLOOKUP('Données projet'!$B$13,Paramètres!$A$1:$I$89,3,0)*VLOOKUP('Données projet'!$B$13,Paramètres!$A$1:$I$89,5,0)</f>
        <v>0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120.26681323682763</v>
      </c>
      <c r="CZ98" s="59">
        <f t="shared" si="96"/>
        <v>344.92933166159389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9.4501921974741681</v>
      </c>
      <c r="DG98" s="21">
        <f>EXP(-LN(2)/25)*DG97+(1-EXP(-LN(2)/25))/(LN(2)/25)*Calculateur!DB98*Calculateur!DD98*VLOOKUP('Données projet'!$B$13,Paramètres!$A$1:$I$89,3,0)*0.475*44/12</f>
        <v>2.2316253972583353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11.681817594732504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114.4650227251685</v>
      </c>
      <c r="T99" s="59">
        <f t="shared" si="88"/>
        <v>386.57315604590599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10.487329096405245</v>
      </c>
      <c r="AA99" s="21">
        <f>EXP(-LN(2)/25)*AA98+(1-EXP(-LN(2)/25))/(LN(2)/25)*Calculateur!V99*Calculateur!X99*VLOOKUP('Données projet'!$B$9,Paramètres!$A$1:$I$89,3,0)*0.475*44/12</f>
        <v>2.4570002902536037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12.944329386658849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114.4650227251685</v>
      </c>
      <c r="AO99" s="59">
        <f t="shared" si="90"/>
        <v>386.57315604590599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10.487329096405245</v>
      </c>
      <c r="AV99" s="21">
        <f>EXP(-LN(2)/25)*AV98+(1-EXP(-LN(2)/25))/(LN(2)/25)*Calculateur!AQ99*Calculateur!AS99*VLOOKUP('Données projet'!$B$10,Paramètres!$A$1:$I$89,3,0)*0.475*44/12</f>
        <v>2.4570002902536037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12.944329386658849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68.944412338382023</v>
      </c>
      <c r="BJ99" s="59">
        <f t="shared" si="92"/>
        <v>281.00389700159246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7.3953202138784659</v>
      </c>
      <c r="BQ99" s="21">
        <f>EXP(-LN(2)/25)*BQ98+(1-EXP(-LN(2)/25))/(LN(2)/25)*Calculateur!BL99*Calculateur!BN99*VLOOKUP('Données projet'!$B$11,Paramètres!$A$1:$I$89,3,0)*0.475*44/12</f>
        <v>1.7325959493581671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9.1279161632366339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>
        <f>BY99*VLOOKUP('Données projet'!$B$12,Paramètres!$A$1:$I$89,3,0)*VLOOKUP('Données projet'!$B$12,Paramètres!$A$1:$I$89,5,0)</f>
        <v>0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120.26681323682763</v>
      </c>
      <c r="CE99" s="59">
        <f t="shared" si="94"/>
        <v>344.92933166159389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9.2648796925297869</v>
      </c>
      <c r="CL99" s="21">
        <f>EXP(-LN(2)/25)*CL98+(1-EXP(-LN(2)/25))/(LN(2)/25)*Calculateur!CG99*Calculateur!CI99*VLOOKUP('Données projet'!$B$12,Paramètres!$A$1:$I$89,3,0)*0.475*44/12</f>
        <v>2.1706014834142269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11.435481175944014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>
        <f>CT99*VLOOKUP('Données projet'!$B$13,Paramètres!$A$1:$I$89,3,0)*VLOOKUP('Données projet'!$B$13,Paramètres!$A$1:$I$89,5,0)</f>
        <v>0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120.26681323682763</v>
      </c>
      <c r="CZ99" s="59">
        <f t="shared" si="96"/>
        <v>344.92933166159389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9.2648796925297869</v>
      </c>
      <c r="DG99" s="21">
        <f>EXP(-LN(2)/25)*DG98+(1-EXP(-LN(2)/25))/(LN(2)/25)*Calculateur!DB99*Calculateur!DD99*VLOOKUP('Données projet'!$B$13,Paramètres!$A$1:$I$89,3,0)*0.475*44/12</f>
        <v>2.1706014834142269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11.435481175944014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114.4650227251685</v>
      </c>
      <c r="T100" s="59">
        <f t="shared" si="88"/>
        <v>386.57315604590599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10.281678969463872</v>
      </c>
      <c r="AA100" s="21">
        <f>EXP(-LN(2)/25)*AA99+(1-EXP(-LN(2)/25))/(LN(2)/25)*Calculateur!V100*Calculateur!X100*VLOOKUP('Données projet'!$B$9,Paramètres!$A$1:$I$89,3,0)*0.475*44/12</f>
        <v>2.3898134881085893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12.671492457572462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114.4650227251685</v>
      </c>
      <c r="AO100" s="59">
        <f t="shared" si="90"/>
        <v>386.57315604590599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10.281678969463872</v>
      </c>
      <c r="AV100" s="21">
        <f>EXP(-LN(2)/25)*AV99+(1-EXP(-LN(2)/25))/(LN(2)/25)*Calculateur!AQ100*Calculateur!AS100*VLOOKUP('Données projet'!$B$10,Paramètres!$A$1:$I$89,3,0)*0.475*44/12</f>
        <v>2.3898134881085893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12.671492457572462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68.944412338382023</v>
      </c>
      <c r="BJ100" s="59">
        <f t="shared" si="92"/>
        <v>281.00389700159246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7.2503024951842452</v>
      </c>
      <c r="BQ100" s="21">
        <f>EXP(-LN(2)/25)*BQ99+(1-EXP(-LN(2)/25))/(LN(2)/25)*Calculateur!BL100*Calculateur!BN100*VLOOKUP('Données projet'!$B$11,Paramètres!$A$1:$I$89,3,0)*0.475*44/12</f>
        <v>1.6852180220097068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8.935520517193952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>
        <f>BY100*VLOOKUP('Données projet'!$B$12,Paramètres!$A$1:$I$89,3,0)*VLOOKUP('Données projet'!$B$12,Paramètres!$A$1:$I$89,5,0)</f>
        <v>0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120.26681323682763</v>
      </c>
      <c r="CE100" s="59">
        <f t="shared" si="94"/>
        <v>344.92933166159389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9.0832010527778984</v>
      </c>
      <c r="CL100" s="21">
        <f>EXP(-LN(2)/25)*CL99+(1-EXP(-LN(2)/25))/(LN(2)/25)*Calculateur!CG100*Calculateur!CI100*VLOOKUP('Données projet'!$B$12,Paramètres!$A$1:$I$89,3,0)*0.475*44/12</f>
        <v>2.1112462717032936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11.194447324481192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>
        <f>CT100*VLOOKUP('Données projet'!$B$13,Paramètres!$A$1:$I$89,3,0)*VLOOKUP('Données projet'!$B$13,Paramètres!$A$1:$I$89,5,0)</f>
        <v>0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120.26681323682763</v>
      </c>
      <c r="CZ100" s="59">
        <f t="shared" si="96"/>
        <v>344.92933166159389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9.0832010527778984</v>
      </c>
      <c r="DG100" s="21">
        <f>EXP(-LN(2)/25)*DG99+(1-EXP(-LN(2)/25))/(LN(2)/25)*Calculateur!DB100*Calculateur!DD100*VLOOKUP('Données projet'!$B$13,Paramètres!$A$1:$I$89,3,0)*0.475*44/12</f>
        <v>2.1112462717032936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11.194447324481192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114.4650227251685</v>
      </c>
      <c r="T101" s="59">
        <f t="shared" si="88"/>
        <v>386.57315604590599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10.080061516077627</v>
      </c>
      <c r="AA101" s="21">
        <f>EXP(-LN(2)/25)*AA100+(1-EXP(-LN(2)/25))/(LN(2)/25)*Calculateur!V101*Calculateur!X101*VLOOKUP('Données projet'!$B$9,Paramètres!$A$1:$I$89,3,0)*0.475*44/12</f>
        <v>2.3244639126014306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12.404525428679058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114.4650227251685</v>
      </c>
      <c r="AO101" s="59">
        <f t="shared" si="90"/>
        <v>386.57315604590599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10.080061516077627</v>
      </c>
      <c r="AV101" s="21">
        <f>EXP(-LN(2)/25)*AV100+(1-EXP(-LN(2)/25))/(LN(2)/25)*Calculateur!AQ101*Calculateur!AS101*VLOOKUP('Données projet'!$B$10,Paramètres!$A$1:$I$89,3,0)*0.475*44/12</f>
        <v>2.3244639126014306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12.404525428679058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68.944412338382023</v>
      </c>
      <c r="BJ101" s="59">
        <f t="shared" si="92"/>
        <v>281.00389700159246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7.1081284855015436</v>
      </c>
      <c r="BQ101" s="21">
        <f>EXP(-LN(2)/25)*BQ100+(1-EXP(-LN(2)/25))/(LN(2)/25)*Calculateur!BL101*Calculateur!BN101*VLOOKUP('Données projet'!$B$11,Paramètres!$A$1:$I$89,3,0)*0.475*44/12</f>
        <v>1.6391356465760873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8.7472641320776319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>
        <f>BY101*VLOOKUP('Données projet'!$B$12,Paramètres!$A$1:$I$89,3,0)*VLOOKUP('Données projet'!$B$12,Paramètres!$A$1:$I$89,5,0)</f>
        <v>0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120.26681323682763</v>
      </c>
      <c r="CE101" s="59">
        <f t="shared" si="94"/>
        <v>344.92933166159389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8.9050850203385163</v>
      </c>
      <c r="CL101" s="21">
        <f>EXP(-LN(2)/25)*CL100+(1-EXP(-LN(2)/25))/(LN(2)/25)*Calculateur!CG101*Calculateur!CI101*VLOOKUP('Données projet'!$B$12,Paramètres!$A$1:$I$89,3,0)*0.475*44/12</f>
        <v>2.053514131377951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10.958599151716466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>
        <f>CT101*VLOOKUP('Données projet'!$B$13,Paramètres!$A$1:$I$89,3,0)*VLOOKUP('Données projet'!$B$13,Paramètres!$A$1:$I$89,5,0)</f>
        <v>0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120.26681323682763</v>
      </c>
      <c r="CZ101" s="59">
        <f t="shared" si="96"/>
        <v>344.92933166159389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8.9050850203385163</v>
      </c>
      <c r="DG101" s="21">
        <f>EXP(-LN(2)/25)*DG100+(1-EXP(-LN(2)/25))/(LN(2)/25)*Calculateur!DB101*Calculateur!DD101*VLOOKUP('Données projet'!$B$13,Paramètres!$A$1:$I$89,3,0)*0.475*44/12</f>
        <v>2.053514131377951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10.958599151716466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114.4650227251685</v>
      </c>
      <c r="T102" s="59">
        <f t="shared" si="88"/>
        <v>386.57315604590599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9.8823976579777835</v>
      </c>
      <c r="AA102" s="21">
        <f>EXP(-LN(2)/25)*AA101+(1-EXP(-LN(2)/25))/(LN(2)/25)*Calculateur!V102*Calculateur!X102*VLOOKUP('Données projet'!$B$9,Paramètres!$A$1:$I$89,3,0)*0.475*44/12</f>
        <v>2.2609013246731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12.143298982650883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114.4650227251685</v>
      </c>
      <c r="AO102" s="59">
        <f t="shared" si="90"/>
        <v>386.57315604590599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9.8823976579777835</v>
      </c>
      <c r="AV102" s="21">
        <f>EXP(-LN(2)/25)*AV101+(1-EXP(-LN(2)/25))/(LN(2)/25)*Calculateur!AQ102*Calculateur!AS102*VLOOKUP('Données projet'!$B$10,Paramètres!$A$1:$I$89,3,0)*0.475*44/12</f>
        <v>2.2609013246731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12.143298982650883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68.944412338382023</v>
      </c>
      <c r="BJ102" s="59">
        <f t="shared" si="92"/>
        <v>281.00389700159246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6.9687424214311369</v>
      </c>
      <c r="BQ102" s="21">
        <f>EXP(-LN(2)/25)*BQ101+(1-EXP(-LN(2)/25))/(LN(2)/25)*Calculateur!BL102*Calculateur!BN102*VLOOKUP('Données projet'!$B$11,Paramètres!$A$1:$I$89,3,0)*0.475*44/12</f>
        <v>1.5943133961220668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8.5630558175532041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>
        <f>BY102*VLOOKUP('Données projet'!$B$12,Paramètres!$A$1:$I$89,3,0)*VLOOKUP('Données projet'!$B$12,Paramètres!$A$1:$I$89,5,0)</f>
        <v>0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120.26681323682763</v>
      </c>
      <c r="CE102" s="59">
        <f t="shared" si="94"/>
        <v>344.92933166159389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8.7304617346552185</v>
      </c>
      <c r="CL102" s="21">
        <f>EXP(-LN(2)/25)*CL101+(1-EXP(-LN(2)/25))/(LN(2)/25)*Calculateur!CG102*Calculateur!CI102*VLOOKUP('Données projet'!$B$12,Paramètres!$A$1:$I$89,3,0)*0.475*44/12</f>
        <v>1.9973606794658061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10.727822414121025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>
        <f>CT102*VLOOKUP('Données projet'!$B$13,Paramètres!$A$1:$I$89,3,0)*VLOOKUP('Données projet'!$B$13,Paramètres!$A$1:$I$89,5,0)</f>
        <v>0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120.26681323682763</v>
      </c>
      <c r="CZ102" s="59">
        <f t="shared" si="96"/>
        <v>344.92933166159389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8.7304617346552185</v>
      </c>
      <c r="DG102" s="21">
        <f>EXP(-LN(2)/25)*DG101+(1-EXP(-LN(2)/25))/(LN(2)/25)*Calculateur!DB102*Calculateur!DD102*VLOOKUP('Données projet'!$B$13,Paramètres!$A$1:$I$89,3,0)*0.475*44/12</f>
        <v>1.9973606794658061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10.727822414121025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114.4650227251685</v>
      </c>
      <c r="T103" s="59">
        <f t="shared" si="88"/>
        <v>386.57315604590599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9.688609867572227</v>
      </c>
      <c r="AA103" s="21">
        <f>EXP(-LN(2)/25)*AA102+(1-EXP(-LN(2)/25))/(LN(2)/25)*Calculateur!V103*Calculateur!X103*VLOOKUP('Données projet'!$B$9,Paramètres!$A$1:$I$89,3,0)*0.475*44/12</f>
        <v>2.1990768590542809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11.887686726626509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114.4650227251685</v>
      </c>
      <c r="AO103" s="59">
        <f t="shared" si="90"/>
        <v>386.57315604590599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9.688609867572227</v>
      </c>
      <c r="AV103" s="21">
        <f>EXP(-LN(2)/25)*AV102+(1-EXP(-LN(2)/25))/(LN(2)/25)*Calculateur!AQ103*Calculateur!AS103*VLOOKUP('Données projet'!$B$10,Paramètres!$A$1:$I$89,3,0)*0.475*44/12</f>
        <v>2.1990768590542809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11.887686726626509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68.944412338382023</v>
      </c>
      <c r="BJ103" s="59">
        <f t="shared" si="92"/>
        <v>281.00389700159246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6.832089633060046</v>
      </c>
      <c r="BQ103" s="21">
        <f>EXP(-LN(2)/25)*BQ102+(1-EXP(-LN(2)/25))/(LN(2)/25)*Calculateur!BL103*Calculateur!BN103*VLOOKUP('Données projet'!$B$11,Paramètres!$A$1:$I$89,3,0)*0.475*44/12</f>
        <v>1.5507168124638113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8.3828064455238582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>
        <f>BY103*VLOOKUP('Données projet'!$B$12,Paramètres!$A$1:$I$89,3,0)*VLOOKUP('Données projet'!$B$12,Paramètres!$A$1:$I$89,5,0)</f>
        <v>0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120.26681323682763</v>
      </c>
      <c r="CE103" s="59">
        <f t="shared" si="94"/>
        <v>344.92933166159389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8.5592627050944827</v>
      </c>
      <c r="CL103" s="21">
        <f>EXP(-LN(2)/25)*CL102+(1-EXP(-LN(2)/25))/(LN(2)/25)*Calculateur!CG103*Calculateur!CI103*VLOOKUP('Données projet'!$B$12,Paramètres!$A$1:$I$89,3,0)*0.475*44/12</f>
        <v>1.9427427466491805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10.502005451743663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>
        <f>CT103*VLOOKUP('Données projet'!$B$13,Paramètres!$A$1:$I$89,3,0)*VLOOKUP('Données projet'!$B$13,Paramètres!$A$1:$I$89,5,0)</f>
        <v>0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120.26681323682763</v>
      </c>
      <c r="CZ103" s="59">
        <f t="shared" si="96"/>
        <v>344.92933166159389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8.5592627050944827</v>
      </c>
      <c r="DG103" s="21">
        <f>EXP(-LN(2)/25)*DG102+(1-EXP(-LN(2)/25))/(LN(2)/25)*Calculateur!DB103*Calculateur!DD103*VLOOKUP('Données projet'!$B$13,Paramètres!$A$1:$I$89,3,0)*0.475*44/12</f>
        <v>1.9427427466491805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10.502005451743663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114.4650227251685</v>
      </c>
      <c r="T104" s="59">
        <f t="shared" si="88"/>
        <v>386.57315604590599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9.4986221375376427</v>
      </c>
      <c r="AA104" s="21">
        <f>EXP(-LN(2)/25)*AA103+(1-EXP(-LN(2)/25))/(LN(2)/25)*Calculateur!V104*Calculateur!X104*VLOOKUP('Données projet'!$B$9,Paramètres!$A$1:$I$89,3,0)*0.475*44/12</f>
        <v>2.1389429866990155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11.637565124236659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114.4650227251685</v>
      </c>
      <c r="AO104" s="59">
        <f t="shared" si="90"/>
        <v>386.57315604590599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9.4986221375376427</v>
      </c>
      <c r="AV104" s="21">
        <f>EXP(-LN(2)/25)*AV103+(1-EXP(-LN(2)/25))/(LN(2)/25)*Calculateur!AQ104*Calculateur!AS104*VLOOKUP('Données projet'!$B$10,Paramètres!$A$1:$I$89,3,0)*0.475*44/12</f>
        <v>2.1389429866990155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11.637565124236659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68.944412338382023</v>
      </c>
      <c r="BJ104" s="59">
        <f t="shared" si="92"/>
        <v>281.00389700159246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6.6981165225189416</v>
      </c>
      <c r="BQ104" s="21">
        <f>EXP(-LN(2)/25)*BQ103+(1-EXP(-LN(2)/25))/(LN(2)/25)*Calculateur!BL104*Calculateur!BN104*VLOOKUP('Données projet'!$B$11,Paramètres!$A$1:$I$89,3,0)*0.475*44/12</f>
        <v>1.5083123796783355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8.2064289021972776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>
        <f>BY104*VLOOKUP('Données projet'!$B$12,Paramètres!$A$1:$I$89,3,0)*VLOOKUP('Données projet'!$B$12,Paramètres!$A$1:$I$89,5,0)</f>
        <v>0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120.26681323682763</v>
      </c>
      <c r="CE104" s="59">
        <f t="shared" si="94"/>
        <v>344.92933166159389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8.3914207840823352</v>
      </c>
      <c r="CL104" s="21">
        <f>EXP(-LN(2)/25)*CL103+(1-EXP(-LN(2)/25))/(LN(2)/25)*Calculateur!CG104*Calculateur!CI104*VLOOKUP('Données projet'!$B$12,Paramètres!$A$1:$I$89,3,0)*0.475*44/12</f>
        <v>1.8896183440776577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10.281039128159993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>
        <f>CT104*VLOOKUP('Données projet'!$B$13,Paramètres!$A$1:$I$89,3,0)*VLOOKUP('Données projet'!$B$13,Paramètres!$A$1:$I$89,5,0)</f>
        <v>0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120.26681323682763</v>
      </c>
      <c r="CZ104" s="59">
        <f t="shared" si="96"/>
        <v>344.92933166159389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8.3914207840823352</v>
      </c>
      <c r="DG104" s="21">
        <f>EXP(-LN(2)/25)*DG103+(1-EXP(-LN(2)/25))/(LN(2)/25)*Calculateur!DB104*Calculateur!DD104*VLOOKUP('Données projet'!$B$13,Paramètres!$A$1:$I$89,3,0)*0.475*44/12</f>
        <v>1.8896183440776577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10.281039128159993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114.4650227251685</v>
      </c>
      <c r="T105" s="59">
        <f t="shared" si="88"/>
        <v>386.57315604590599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9.3123599510079647</v>
      </c>
      <c r="AA105" s="21">
        <f>EXP(-LN(2)/25)*AA104+(1-EXP(-LN(2)/25))/(LN(2)/25)*Calculateur!V105*Calculateur!X105*VLOOKUP('Données projet'!$B$9,Paramètres!$A$1:$I$89,3,0)*0.475*44/12</f>
        <v>2.0804534782456079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11.392813429253572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114.4650227251685</v>
      </c>
      <c r="AO105" s="59">
        <f t="shared" si="90"/>
        <v>386.57315604590599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9.3123599510079647</v>
      </c>
      <c r="AV105" s="21">
        <f>EXP(-LN(2)/25)*AV104+(1-EXP(-LN(2)/25))/(LN(2)/25)*Calculateur!AQ105*Calculateur!AS105*VLOOKUP('Données projet'!$B$10,Paramètres!$A$1:$I$89,3,0)*0.475*44/12</f>
        <v>2.0804534782456079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11.392813429253572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68.944412338382023</v>
      </c>
      <c r="BJ105" s="59">
        <f t="shared" si="92"/>
        <v>281.00389700159246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6.5667705429600192</v>
      </c>
      <c r="BQ105" s="21">
        <f>EXP(-LN(2)/25)*BQ104+(1-EXP(-LN(2)/25))/(LN(2)/25)*Calculateur!BL105*Calculateur!BN105*VLOOKUP('Données projet'!$B$11,Paramètres!$A$1:$I$89,3,0)*0.475*44/12</f>
        <v>1.4670674983373306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8.0338380412973507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>
        <f>BY105*VLOOKUP('Données projet'!$B$12,Paramètres!$A$1:$I$89,3,0)*VLOOKUP('Données projet'!$B$12,Paramètres!$A$1:$I$89,5,0)</f>
        <v>0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120.26681323682763</v>
      </c>
      <c r="CE105" s="59">
        <f t="shared" si="94"/>
        <v>344.92933166159389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8.2268701407677725</v>
      </c>
      <c r="CL105" s="21">
        <f>EXP(-LN(2)/25)*CL104+(1-EXP(-LN(2)/25))/(LN(2)/25)*Calculateur!CG105*Calculateur!CI105*VLOOKUP('Données projet'!$B$12,Paramètres!$A$1:$I$89,3,0)*0.475*44/12</f>
        <v>1.8379466310881443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10.064816771855916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>
        <f>CT105*VLOOKUP('Données projet'!$B$13,Paramètres!$A$1:$I$89,3,0)*VLOOKUP('Données projet'!$B$13,Paramètres!$A$1:$I$89,5,0)</f>
        <v>0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120.26681323682763</v>
      </c>
      <c r="CZ105" s="59">
        <f t="shared" si="96"/>
        <v>344.92933166159389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8.2268701407677725</v>
      </c>
      <c r="DG105" s="21">
        <f>EXP(-LN(2)/25)*DG104+(1-EXP(-LN(2)/25))/(LN(2)/25)*Calculateur!DB105*Calculateur!DD105*VLOOKUP('Données projet'!$B$13,Paramètres!$A$1:$I$89,3,0)*0.475*44/12</f>
        <v>1.8379466310881443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10.064816771855916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114.4650227251685</v>
      </c>
      <c r="T106" s="59">
        <f t="shared" si="88"/>
        <v>386.57315604590599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9.1297502523474172</v>
      </c>
      <c r="AA106" s="21">
        <f>EXP(-LN(2)/25)*AA105+(1-EXP(-LN(2)/25))/(LN(2)/25)*Calculateur!V106*Calculateur!X106*VLOOKUP('Données projet'!$B$9,Paramètres!$A$1:$I$89,3,0)*0.475*44/12</f>
        <v>2.0235633684766881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11.153313620824106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114.4650227251685</v>
      </c>
      <c r="AO106" s="59">
        <f t="shared" si="90"/>
        <v>386.57315604590599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9.1297502523474172</v>
      </c>
      <c r="AV106" s="21">
        <f>EXP(-LN(2)/25)*AV105+(1-EXP(-LN(2)/25))/(LN(2)/25)*Calculateur!AQ106*Calculateur!AS106*VLOOKUP('Données projet'!$B$10,Paramètres!$A$1:$I$89,3,0)*0.475*44/12</f>
        <v>2.0235633684766881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11.153313620824106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68.944412338382023</v>
      </c>
      <c r="BJ106" s="59">
        <f t="shared" si="92"/>
        <v>281.00389700159246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6.4380001779471101</v>
      </c>
      <c r="BQ106" s="21">
        <f>EXP(-LN(2)/25)*BQ105+(1-EXP(-LN(2)/25))/(LN(2)/25)*Calculateur!BL106*Calculateur!BN106*VLOOKUP('Données projet'!$B$11,Paramètres!$A$1:$I$89,3,0)*0.475*44/12</f>
        <v>1.4269504604455696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7.8649506383926795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>
        <f>BY106*VLOOKUP('Données projet'!$B$12,Paramètres!$A$1:$I$89,3,0)*VLOOKUP('Données projet'!$B$12,Paramètres!$A$1:$I$89,5,0)</f>
        <v>0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120.26681323682763</v>
      </c>
      <c r="CE106" s="59">
        <f t="shared" si="94"/>
        <v>344.92933166159389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8.0655462352026266</v>
      </c>
      <c r="CL106" s="21">
        <f>EXP(-LN(2)/25)*CL105+(1-EXP(-LN(2)/25))/(LN(2)/25)*Calculateur!CG106*Calculateur!CI106*VLOOKUP('Données projet'!$B$12,Paramètres!$A$1:$I$89,3,0)*0.475*44/12</f>
        <v>1.7876878838076262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9.8532341190102528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>
        <f>CT106*VLOOKUP('Données projet'!$B$13,Paramètres!$A$1:$I$89,3,0)*VLOOKUP('Données projet'!$B$13,Paramètres!$A$1:$I$89,5,0)</f>
        <v>0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120.26681323682763</v>
      </c>
      <c r="CZ106" s="59">
        <f t="shared" si="96"/>
        <v>344.92933166159389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8.0655462352026266</v>
      </c>
      <c r="DG106" s="21">
        <f>EXP(-LN(2)/25)*DG105+(1-EXP(-LN(2)/25))/(LN(2)/25)*Calculateur!DB106*Calculateur!DD106*VLOOKUP('Données projet'!$B$13,Paramètres!$A$1:$I$89,3,0)*0.475*44/12</f>
        <v>1.7876878838076262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9.8532341190102528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114.4650227251685</v>
      </c>
      <c r="T107" s="59">
        <f t="shared" si="88"/>
        <v>386.57315604590599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8.9507214184966841</v>
      </c>
      <c r="AA107" s="21">
        <f>EXP(-LN(2)/25)*AA106+(1-EXP(-LN(2)/25))/(LN(2)/25)*Calculateur!V107*Calculateur!X107*VLOOKUP('Données projet'!$B$9,Paramètres!$A$1:$I$89,3,0)*0.475*44/12</f>
        <v>1.9682289217511204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10.918950340247804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114.4650227251685</v>
      </c>
      <c r="AO107" s="59">
        <f t="shared" si="90"/>
        <v>386.57315604590599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8.9507214184966841</v>
      </c>
      <c r="AV107" s="21">
        <f>EXP(-LN(2)/25)*AV106+(1-EXP(-LN(2)/25))/(LN(2)/25)*Calculateur!AQ107*Calculateur!AS107*VLOOKUP('Données projet'!$B$10,Paramètres!$A$1:$I$89,3,0)*0.475*44/12</f>
        <v>1.9682289217511204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10.918950340247804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68.944412338382023</v>
      </c>
      <c r="BJ107" s="59">
        <f t="shared" si="92"/>
        <v>281.00389700159246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6.3117549212499373</v>
      </c>
      <c r="BQ107" s="21">
        <f>EXP(-LN(2)/25)*BQ106+(1-EXP(-LN(2)/25))/(LN(2)/25)*Calculateur!BL107*Calculateur!BN107*VLOOKUP('Données projet'!$B$11,Paramètres!$A$1:$I$89,3,0)*0.475*44/12</f>
        <v>1.3879304250646221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7.6996853463145598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>
        <f>BY107*VLOOKUP('Données projet'!$B$12,Paramètres!$A$1:$I$89,3,0)*VLOOKUP('Données projet'!$B$12,Paramètres!$A$1:$I$89,5,0)</f>
        <v>0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120.26681323682763</v>
      </c>
      <c r="CE107" s="59">
        <f t="shared" si="94"/>
        <v>344.92933166159389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7.9073857930277462</v>
      </c>
      <c r="CL107" s="21">
        <f>EXP(-LN(2)/25)*CL106+(1-EXP(-LN(2)/25))/(LN(2)/25)*Calculateur!CG107*Calculateur!CI107*VLOOKUP('Données projet'!$B$12,Paramètres!$A$1:$I$89,3,0)*0.475*44/12</f>
        <v>1.7388034646144868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9.6461892576422326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>
        <f>CT107*VLOOKUP('Données projet'!$B$13,Paramètres!$A$1:$I$89,3,0)*VLOOKUP('Données projet'!$B$13,Paramètres!$A$1:$I$89,5,0)</f>
        <v>0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120.26681323682763</v>
      </c>
      <c r="CZ107" s="59">
        <f t="shared" si="96"/>
        <v>344.92933166159389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7.9073857930277462</v>
      </c>
      <c r="DG107" s="21">
        <f>EXP(-LN(2)/25)*DG106+(1-EXP(-LN(2)/25))/(LN(2)/25)*Calculateur!DB107*Calculateur!DD107*VLOOKUP('Données projet'!$B$13,Paramètres!$A$1:$I$89,3,0)*0.475*44/12</f>
        <v>1.7388034646144868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9.6461892576422326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114.4650227251685</v>
      </c>
      <c r="T108" s="59">
        <f t="shared" si="88"/>
        <v>386.57315604590599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8.7752032308809582</v>
      </c>
      <c r="AA108" s="21">
        <f>EXP(-LN(2)/25)*AA107+(1-EXP(-LN(2)/25))/(LN(2)/25)*Calculateur!V108*Calculateur!X108*VLOOKUP('Données projet'!$B$9,Paramètres!$A$1:$I$89,3,0)*0.475*44/12</f>
        <v>1.9144075983811755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10.689610829262133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114.4650227251685</v>
      </c>
      <c r="AO108" s="59">
        <f t="shared" si="90"/>
        <v>386.57315604590599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8.7752032308809582</v>
      </c>
      <c r="AV108" s="21">
        <f>EXP(-LN(2)/25)*AV107+(1-EXP(-LN(2)/25))/(LN(2)/25)*Calculateur!AQ108*Calculateur!AS108*VLOOKUP('Données projet'!$B$10,Paramètres!$A$1:$I$89,3,0)*0.475*44/12</f>
        <v>1.9144075983811755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10.689610829262133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68.944412338382023</v>
      </c>
      <c r="BJ108" s="59">
        <f t="shared" si="92"/>
        <v>281.00389700159246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6.187985257034593</v>
      </c>
      <c r="BQ108" s="21">
        <f>EXP(-LN(2)/25)*BQ107+(1-EXP(-LN(2)/25))/(LN(2)/25)*Calculateur!BL108*Calculateur!BN108*VLOOKUP('Données projet'!$B$11,Paramètres!$A$1:$I$89,3,0)*0.475*44/12</f>
        <v>1.349977394603141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7.5379626516377343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>
        <f>BY108*VLOOKUP('Données projet'!$B$12,Paramètres!$A$1:$I$89,3,0)*VLOOKUP('Données projet'!$B$12,Paramètres!$A$1:$I$89,5,0)</f>
        <v>0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120.26681323682763</v>
      </c>
      <c r="CE108" s="59">
        <f t="shared" si="94"/>
        <v>344.92933166159389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7.7523267806555713</v>
      </c>
      <c r="CL108" s="21">
        <f>EXP(-LN(2)/25)*CL107+(1-EXP(-LN(2)/25))/(LN(2)/25)*Calculateur!CG108*Calculateur!CI108*VLOOKUP('Données projet'!$B$12,Paramètres!$A$1:$I$89,3,0)*0.475*44/12</f>
        <v>1.6912557924349034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9.4435825730904739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>
        <f>CT108*VLOOKUP('Données projet'!$B$13,Paramètres!$A$1:$I$89,3,0)*VLOOKUP('Données projet'!$B$13,Paramètres!$A$1:$I$89,5,0)</f>
        <v>0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120.26681323682763</v>
      </c>
      <c r="CZ108" s="59">
        <f t="shared" si="96"/>
        <v>344.92933166159389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7.7523267806555713</v>
      </c>
      <c r="DG108" s="21">
        <f>EXP(-LN(2)/25)*DG107+(1-EXP(-LN(2)/25))/(LN(2)/25)*Calculateur!DB108*Calculateur!DD108*VLOOKUP('Données projet'!$B$13,Paramètres!$A$1:$I$89,3,0)*0.475*44/12</f>
        <v>1.6912557924349034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9.4435825730904739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114.4650227251685</v>
      </c>
      <c r="T109" s="59">
        <f t="shared" si="88"/>
        <v>386.57315604590599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8.6031268478688538</v>
      </c>
      <c r="AA109" s="21">
        <f>EXP(-LN(2)/25)*AA108+(1-EXP(-LN(2)/25))/(LN(2)/25)*Calculateur!V109*Calculateur!X109*VLOOKUP('Données projet'!$B$9,Paramètres!$A$1:$I$89,3,0)*0.475*44/12</f>
        <v>1.8620580219291221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10.465184869797977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114.4650227251685</v>
      </c>
      <c r="AO109" s="59">
        <f t="shared" si="90"/>
        <v>386.57315604590599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8.6031268478688538</v>
      </c>
      <c r="AV109" s="21">
        <f>EXP(-LN(2)/25)*AV108+(1-EXP(-LN(2)/25))/(LN(2)/25)*Calculateur!AQ109*Calculateur!AS109*VLOOKUP('Données projet'!$B$10,Paramètres!$A$1:$I$89,3,0)*0.475*44/12</f>
        <v>1.8620580219291221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10.465184869797977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68.944412338382023</v>
      </c>
      <c r="BJ109" s="59">
        <f t="shared" si="92"/>
        <v>281.00389700159246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6.0666426404424705</v>
      </c>
      <c r="BQ109" s="21">
        <f>EXP(-LN(2)/25)*BQ108+(1-EXP(-LN(2)/25))/(LN(2)/25)*Calculateur!BL109*Calculateur!BN109*VLOOKUP('Données projet'!$B$11,Paramètres!$A$1:$I$89,3,0)*0.475*44/12</f>
        <v>1.3130621917554923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7.3797048321979624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>
        <f>BY109*VLOOKUP('Données projet'!$B$12,Paramètres!$A$1:$I$89,3,0)*VLOOKUP('Données projet'!$B$12,Paramètres!$A$1:$I$89,5,0)</f>
        <v>0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120.26681323682763</v>
      </c>
      <c r="CE109" s="59">
        <f t="shared" si="94"/>
        <v>344.92933166159389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7.6003083809393557</v>
      </c>
      <c r="CL109" s="21">
        <f>EXP(-LN(2)/25)*CL108+(1-EXP(-LN(2)/25))/(LN(2)/25)*Calculateur!CG109*Calculateur!CI109*VLOOKUP('Données projet'!$B$12,Paramètres!$A$1:$I$89,3,0)*0.475*44/12</f>
        <v>1.6450083138514944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9.2453166947908496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>
        <f>CT109*VLOOKUP('Données projet'!$B$13,Paramètres!$A$1:$I$89,3,0)*VLOOKUP('Données projet'!$B$13,Paramètres!$A$1:$I$89,5,0)</f>
        <v>0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120.26681323682763</v>
      </c>
      <c r="CZ109" s="59">
        <f t="shared" si="96"/>
        <v>344.92933166159389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7.6003083809393557</v>
      </c>
      <c r="DG109" s="21">
        <f>EXP(-LN(2)/25)*DG108+(1-EXP(-LN(2)/25))/(LN(2)/25)*Calculateur!DB109*Calculateur!DD109*VLOOKUP('Données projet'!$B$13,Paramètres!$A$1:$I$89,3,0)*0.475*44/12</f>
        <v>1.6450083138514944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9.2453166947908496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114.4650227251685</v>
      </c>
      <c r="T110" s="59">
        <f t="shared" si="88"/>
        <v>386.57315604590599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8.4344247777713868</v>
      </c>
      <c r="AA110" s="21">
        <f>EXP(-LN(2)/25)*AA109+(1-EXP(-LN(2)/25))/(LN(2)/25)*Calculateur!V110*Calculateur!X110*VLOOKUP('Données projet'!$B$9,Paramètres!$A$1:$I$89,3,0)*0.475*44/12</f>
        <v>1.8111399473980947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10.245564725169482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114.4650227251685</v>
      </c>
      <c r="AO110" s="59">
        <f t="shared" si="90"/>
        <v>386.57315604590599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8.4344247777713868</v>
      </c>
      <c r="AV110" s="21">
        <f>EXP(-LN(2)/25)*AV109+(1-EXP(-LN(2)/25))/(LN(2)/25)*Calculateur!AQ110*Calculateur!AS110*VLOOKUP('Données projet'!$B$10,Paramètres!$A$1:$I$89,3,0)*0.475*44/12</f>
        <v>1.8111399473980947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10.245564725169482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68.944412338382023</v>
      </c>
      <c r="BJ110" s="59">
        <f t="shared" si="92"/>
        <v>281.00389700159246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5.9476794785500315</v>
      </c>
      <c r="BQ110" s="21">
        <f>EXP(-LN(2)/25)*BQ109+(1-EXP(-LN(2)/25))/(LN(2)/25)*Calculateur!BL110*Calculateur!BN110*VLOOKUP('Données projet'!$B$11,Paramètres!$A$1:$I$89,3,0)*0.475*44/12</f>
        <v>1.2771564370709987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7.2248359156210302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>
        <f>BY110*VLOOKUP('Données projet'!$B$12,Paramètres!$A$1:$I$89,3,0)*VLOOKUP('Données projet'!$B$12,Paramètres!$A$1:$I$89,5,0)</f>
        <v>0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120.26681323682763</v>
      </c>
      <c r="CE110" s="59">
        <f t="shared" si="94"/>
        <v>344.92933166159389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7.4512709693195065</v>
      </c>
      <c r="CL110" s="21">
        <f>EXP(-LN(2)/25)*CL109+(1-EXP(-LN(2)/25))/(LN(2)/25)*Calculateur!CG110*Calculateur!CI110*VLOOKUP('Données projet'!$B$12,Paramètres!$A$1:$I$89,3,0)*0.475*44/12</f>
        <v>1.6000254750019978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9.0512964443215047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>
        <f>CT110*VLOOKUP('Données projet'!$B$13,Paramètres!$A$1:$I$89,3,0)*VLOOKUP('Données projet'!$B$13,Paramètres!$A$1:$I$89,5,0)</f>
        <v>0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120.26681323682763</v>
      </c>
      <c r="CZ110" s="59">
        <f t="shared" si="96"/>
        <v>344.92933166159389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7.4512709693195065</v>
      </c>
      <c r="DG110" s="21">
        <f>EXP(-LN(2)/25)*DG109+(1-EXP(-LN(2)/25))/(LN(2)/25)*Calculateur!DB110*Calculateur!DD110*VLOOKUP('Données projet'!$B$13,Paramètres!$A$1:$I$89,3,0)*0.475*44/12</f>
        <v>1.6000254750019978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9.0512964443215047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114.4650227251685</v>
      </c>
      <c r="T111" s="59">
        <f t="shared" si="88"/>
        <v>386.57315604590599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8.2690308523704275</v>
      </c>
      <c r="AA111" s="21">
        <f>EXP(-LN(2)/25)*AA110+(1-EXP(-LN(2)/25))/(LN(2)/25)*Calculateur!V111*Calculateur!X111*VLOOKUP('Données projet'!$B$9,Paramètres!$A$1:$I$89,3,0)*0.475*44/12</f>
        <v>1.7616142302927833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10.030645082663211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114.4650227251685</v>
      </c>
      <c r="AO111" s="59">
        <f t="shared" si="90"/>
        <v>386.57315604590599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8.2690308523704275</v>
      </c>
      <c r="AV111" s="21">
        <f>EXP(-LN(2)/25)*AV110+(1-EXP(-LN(2)/25))/(LN(2)/25)*Calculateur!AQ111*Calculateur!AS111*VLOOKUP('Données projet'!$B$10,Paramètres!$A$1:$I$89,3,0)*0.475*44/12</f>
        <v>1.7616142302927833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10.030645082663211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68.944412338382023</v>
      </c>
      <c r="BJ111" s="59">
        <f t="shared" si="92"/>
        <v>281.00389700159246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5.8310491117019394</v>
      </c>
      <c r="BQ111" s="21">
        <f>EXP(-LN(2)/25)*BQ110+(1-EXP(-LN(2)/25))/(LN(2)/25)*Calculateur!BL111*Calculateur!BN111*VLOOKUP('Données projet'!$B$11,Paramètres!$A$1:$I$89,3,0)*0.475*44/12</f>
        <v>1.2422325271365542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7.0732816388384938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>
        <f>BY111*VLOOKUP('Données projet'!$B$12,Paramètres!$A$1:$I$89,3,0)*VLOOKUP('Données projet'!$B$12,Paramètres!$A$1:$I$89,5,0)</f>
        <v>0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120.26681323682763</v>
      </c>
      <c r="CE111" s="59">
        <f t="shared" si="94"/>
        <v>344.92933166159389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7.305156090437678</v>
      </c>
      <c r="CL111" s="21">
        <f>EXP(-LN(2)/25)*CL110+(1-EXP(-LN(2)/25))/(LN(2)/25)*Calculateur!CG111*Calculateur!CI111*VLOOKUP('Données projet'!$B$12,Paramètres!$A$1:$I$89,3,0)*0.475*44/12</f>
        <v>1.5562726942463854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8.8614287846840636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>
        <f>CT111*VLOOKUP('Données projet'!$B$13,Paramètres!$A$1:$I$89,3,0)*VLOOKUP('Données projet'!$B$13,Paramètres!$A$1:$I$89,5,0)</f>
        <v>0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120.26681323682763</v>
      </c>
      <c r="CZ111" s="59">
        <f t="shared" si="96"/>
        <v>344.92933166159389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7.305156090437678</v>
      </c>
      <c r="DG111" s="21">
        <f>EXP(-LN(2)/25)*DG110+(1-EXP(-LN(2)/25))/(LN(2)/25)*Calculateur!DB111*Calculateur!DD111*VLOOKUP('Données projet'!$B$13,Paramètres!$A$1:$I$89,3,0)*0.475*44/12</f>
        <v>1.5562726942463854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8.8614287846840636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114.4650227251685</v>
      </c>
      <c r="T112" s="59">
        <f t="shared" si="88"/>
        <v>386.57315604590599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8.1068802009662484</v>
      </c>
      <c r="AA112" s="21">
        <f>EXP(-LN(2)/25)*AA111+(1-EXP(-LN(2)/25))/(LN(2)/25)*Calculateur!V112*Calculateur!X112*VLOOKUP('Données projet'!$B$9,Paramètres!$A$1:$I$89,3,0)*0.475*44/12</f>
        <v>1.7134427965261609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9.8203229974924096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114.4650227251685</v>
      </c>
      <c r="AO112" s="59">
        <f t="shared" si="90"/>
        <v>386.57315604590599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8.1068802009662484</v>
      </c>
      <c r="AV112" s="21">
        <f>EXP(-LN(2)/25)*AV111+(1-EXP(-LN(2)/25))/(LN(2)/25)*Calculateur!AQ112*Calculateur!AS112*VLOOKUP('Données projet'!$B$10,Paramètres!$A$1:$I$89,3,0)*0.475*44/12</f>
        <v>1.7134427965261609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9.8203229974924096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68.944412338382023</v>
      </c>
      <c r="BJ112" s="59">
        <f t="shared" si="92"/>
        <v>281.00389700159246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5.7167057952102383</v>
      </c>
      <c r="BQ112" s="21">
        <f>EXP(-LN(2)/25)*BQ111+(1-EXP(-LN(2)/25))/(LN(2)/25)*Calculateur!BL112*Calculateur!BN112*VLOOKUP('Données projet'!$B$11,Paramètres!$A$1:$I$89,3,0)*0.475*44/12</f>
        <v>1.2082636133558358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6.9249694085660742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>
        <f>BY112*VLOOKUP('Données projet'!$B$12,Paramètres!$A$1:$I$89,3,0)*VLOOKUP('Données projet'!$B$12,Paramètres!$A$1:$I$89,5,0)</f>
        <v>0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120.26681323682763</v>
      </c>
      <c r="CE112" s="59">
        <f t="shared" si="94"/>
        <v>344.92933166159389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7.1619064352094464</v>
      </c>
      <c r="CL112" s="21">
        <f>EXP(-LN(2)/25)*CL111+(1-EXP(-LN(2)/25))/(LN(2)/25)*Calculateur!CG112*Calculateur!CI112*VLOOKUP('Données projet'!$B$12,Paramètres!$A$1:$I$89,3,0)*0.475*44/12</f>
        <v>1.5137163355813938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8.6756227707908398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>
        <f>CT112*VLOOKUP('Données projet'!$B$13,Paramètres!$A$1:$I$89,3,0)*VLOOKUP('Données projet'!$B$13,Paramètres!$A$1:$I$89,5,0)</f>
        <v>0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120.26681323682763</v>
      </c>
      <c r="CZ112" s="59">
        <f t="shared" si="96"/>
        <v>344.92933166159389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7.1619064352094464</v>
      </c>
      <c r="DG112" s="21">
        <f>EXP(-LN(2)/25)*DG111+(1-EXP(-LN(2)/25))/(LN(2)/25)*Calculateur!DB112*Calculateur!DD112*VLOOKUP('Données projet'!$B$13,Paramètres!$A$1:$I$89,3,0)*0.475*44/12</f>
        <v>1.5137163355813938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8.6756227707908398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114.4650227251685</v>
      </c>
      <c r="T113" s="59">
        <f t="shared" si="88"/>
        <v>386.57315604590599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7.9479092249339738</v>
      </c>
      <c r="AA113" s="21">
        <f>EXP(-LN(2)/25)*AA112+(1-EXP(-LN(2)/25))/(LN(2)/25)*Calculateur!V113*Calculateur!X113*VLOOKUP('Données projet'!$B$9,Paramètres!$A$1:$I$89,3,0)*0.475*44/12</f>
        <v>1.6665886131491126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9.6144978380830857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114.4650227251685</v>
      </c>
      <c r="AO113" s="59">
        <f t="shared" si="90"/>
        <v>386.57315604590599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7.9479092249339738</v>
      </c>
      <c r="AV113" s="21">
        <f>EXP(-LN(2)/25)*AV112+(1-EXP(-LN(2)/25))/(LN(2)/25)*Calculateur!AQ113*Calculateur!AS113*VLOOKUP('Données projet'!$B$10,Paramètres!$A$1:$I$89,3,0)*0.475*44/12</f>
        <v>1.6665886131491126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9.6144978380830857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68.944412338382023</v>
      </c>
      <c r="BJ113" s="59">
        <f t="shared" si="92"/>
        <v>281.00389700159246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5.6046046814124031</v>
      </c>
      <c r="BQ113" s="21">
        <f>EXP(-LN(2)/25)*BQ112+(1-EXP(-LN(2)/25))/(LN(2)/25)*Calculateur!BL113*Calculateur!BN113*VLOOKUP('Données projet'!$B$11,Paramètres!$A$1:$I$89,3,0)*0.475*44/12</f>
        <v>1.1752235813087986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6.7798282627212014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>
        <f>BY113*VLOOKUP('Données projet'!$B$12,Paramètres!$A$1:$I$89,3,0)*VLOOKUP('Données projet'!$B$12,Paramètres!$A$1:$I$89,5,0)</f>
        <v>0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120.26681323682763</v>
      </c>
      <c r="CE113" s="59">
        <f t="shared" si="94"/>
        <v>344.92933166159389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7.0214658183465772</v>
      </c>
      <c r="CL113" s="21">
        <f>EXP(-LN(2)/25)*CL112+(1-EXP(-LN(2)/25))/(LN(2)/25)*Calculateur!CG113*Calculateur!CI113*VLOOKUP('Données projet'!$B$12,Paramètres!$A$1:$I$89,3,0)*0.475*44/12</f>
        <v>1.4723236827820383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8.4937895011286155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>
        <f>CT113*VLOOKUP('Données projet'!$B$13,Paramètres!$A$1:$I$89,3,0)*VLOOKUP('Données projet'!$B$13,Paramètres!$A$1:$I$89,5,0)</f>
        <v>0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120.26681323682763</v>
      </c>
      <c r="CZ113" s="59">
        <f t="shared" si="96"/>
        <v>344.92933166159389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7.0214658183465772</v>
      </c>
      <c r="DG113" s="21">
        <f>EXP(-LN(2)/25)*DG112+(1-EXP(-LN(2)/25))/(LN(2)/25)*Calculateur!DB113*Calculateur!DD113*VLOOKUP('Données projet'!$B$13,Paramètres!$A$1:$I$89,3,0)*0.475*44/12</f>
        <v>1.4723236827820383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8.4937895011286155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114.4650227251685</v>
      </c>
      <c r="T114" s="59">
        <f t="shared" si="88"/>
        <v>386.57315604590599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7.7920555727789704</v>
      </c>
      <c r="AA114" s="21">
        <f>EXP(-LN(2)/25)*AA113+(1-EXP(-LN(2)/25))/(LN(2)/25)*Calculateur!V114*Calculateur!X114*VLOOKUP('Données projet'!$B$9,Paramètres!$A$1:$I$89,3,0)*0.475*44/12</f>
        <v>1.6210156598804639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9.4130712326594335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114.4650227251685</v>
      </c>
      <c r="AO114" s="59">
        <f t="shared" si="90"/>
        <v>386.57315604590599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7.7920555727789704</v>
      </c>
      <c r="AV114" s="21">
        <f>EXP(-LN(2)/25)*AV113+(1-EXP(-LN(2)/25))/(LN(2)/25)*Calculateur!AQ114*Calculateur!AS114*VLOOKUP('Données projet'!$B$10,Paramètres!$A$1:$I$89,3,0)*0.475*44/12</f>
        <v>1.6210156598804639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9.4130712326594335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68.944412338382023</v>
      </c>
      <c r="BJ114" s="59">
        <f t="shared" si="92"/>
        <v>281.00389700159246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5.4947018020812157</v>
      </c>
      <c r="BQ114" s="21">
        <f>EXP(-LN(2)/25)*BQ113+(1-EXP(-LN(2)/25))/(LN(2)/25)*Calculateur!BL114*Calculateur!BN114*VLOOKUP('Données projet'!$B$11,Paramètres!$A$1:$I$89,3,0)*0.475*44/12</f>
        <v>1.1430870306755874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6.6377888327568026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>
        <f>BY114*VLOOKUP('Données projet'!$B$12,Paramètres!$A$1:$I$89,3,0)*VLOOKUP('Données projet'!$B$12,Paramètres!$A$1:$I$89,5,0)</f>
        <v>0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120.26681323682763</v>
      </c>
      <c r="CE114" s="59">
        <f t="shared" si="94"/>
        <v>344.92933166159389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6.8837791563200712</v>
      </c>
      <c r="CL114" s="21">
        <f>EXP(-LN(2)/25)*CL113+(1-EXP(-LN(2)/25))/(LN(2)/25)*Calculateur!CG114*Calculateur!CI114*VLOOKUP('Données projet'!$B$12,Paramètres!$A$1:$I$89,3,0)*0.475*44/12</f>
        <v>1.4320629142502259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8.315842070570298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>
        <f>CT114*VLOOKUP('Données projet'!$B$13,Paramètres!$A$1:$I$89,3,0)*VLOOKUP('Données projet'!$B$13,Paramètres!$A$1:$I$89,5,0)</f>
        <v>0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120.26681323682763</v>
      </c>
      <c r="CZ114" s="59">
        <f t="shared" si="96"/>
        <v>344.92933166159389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6.8837791563200712</v>
      </c>
      <c r="DG114" s="21">
        <f>EXP(-LN(2)/25)*DG113+(1-EXP(-LN(2)/25))/(LN(2)/25)*Calculateur!DB114*Calculateur!DD114*VLOOKUP('Données projet'!$B$13,Paramètres!$A$1:$I$89,3,0)*0.475*44/12</f>
        <v>1.4320629142502259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8.315842070570298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114.4650227251685</v>
      </c>
      <c r="T115" s="59">
        <f t="shared" si="88"/>
        <v>386.57315604590599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7.6392581156813852</v>
      </c>
      <c r="AA115" s="21">
        <f>EXP(-LN(2)/25)*AA114+(1-EXP(-LN(2)/25))/(LN(2)/25)*Calculateur!V115*Calculateur!X115*VLOOKUP('Données projet'!$B$9,Paramètres!$A$1:$I$89,3,0)*0.475*44/12</f>
        <v>1.5766889014155239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9.2159470170969087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114.4650227251685</v>
      </c>
      <c r="AO115" s="59">
        <f t="shared" si="90"/>
        <v>386.57315604590599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7.6392581156813852</v>
      </c>
      <c r="AV115" s="21">
        <f>EXP(-LN(2)/25)*AV114+(1-EXP(-LN(2)/25))/(LN(2)/25)*Calculateur!AQ115*Calculateur!AS115*VLOOKUP('Données projet'!$B$10,Paramètres!$A$1:$I$89,3,0)*0.475*44/12</f>
        <v>1.5766889014155239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9.2159470170969087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68.944412338382023</v>
      </c>
      <c r="BJ115" s="59">
        <f t="shared" si="92"/>
        <v>281.00389700159246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5.3869540511795755</v>
      </c>
      <c r="BQ115" s="21">
        <f>EXP(-LN(2)/25)*BQ114+(1-EXP(-LN(2)/25))/(LN(2)/25)*Calculateur!BL115*Calculateur!BN115*VLOOKUP('Données projet'!$B$11,Paramètres!$A$1:$I$89,3,0)*0.475*44/12</f>
        <v>1.1118292557094291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6.4987833068890044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>
        <f>BY115*VLOOKUP('Données projet'!$B$12,Paramètres!$A$1:$I$89,3,0)*VLOOKUP('Données projet'!$B$12,Paramètres!$A$1:$I$89,5,0)</f>
        <v>0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120.26681323682763</v>
      </c>
      <c r="CE115" s="59">
        <f t="shared" si="94"/>
        <v>344.92933166159389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6.7487924457553339</v>
      </c>
      <c r="CL115" s="21">
        <f>EXP(-LN(2)/25)*CL114+(1-EXP(-LN(2)/25))/(LN(2)/25)*Calculateur!CG115*Calculateur!CI115*VLOOKUP('Données projet'!$B$12,Paramètres!$A$1:$I$89,3,0)*0.475*44/12</f>
        <v>1.3929030785511378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8.1416955243064724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>
        <f>CT115*VLOOKUP('Données projet'!$B$13,Paramètres!$A$1:$I$89,3,0)*VLOOKUP('Données projet'!$B$13,Paramètres!$A$1:$I$89,5,0)</f>
        <v>0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120.26681323682763</v>
      </c>
      <c r="CZ115" s="59">
        <f t="shared" si="96"/>
        <v>344.92933166159389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6.7487924457553339</v>
      </c>
      <c r="DG115" s="21">
        <f>EXP(-LN(2)/25)*DG114+(1-EXP(-LN(2)/25))/(LN(2)/25)*Calculateur!DB115*Calculateur!DD115*VLOOKUP('Données projet'!$B$13,Paramètres!$A$1:$I$89,3,0)*0.475*44/12</f>
        <v>1.3929030785511378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8.1416955243064724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114.4650227251685</v>
      </c>
      <c r="T116" s="59">
        <f t="shared" si="88"/>
        <v>386.57315604590599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7.4894569235202377</v>
      </c>
      <c r="AA116" s="21">
        <f>EXP(-LN(2)/25)*AA115+(1-EXP(-LN(2)/25))/(LN(2)/25)*Calculateur!V116*Calculateur!X116*VLOOKUP('Données projet'!$B$9,Paramètres!$A$1:$I$89,3,0)*0.475*44/12</f>
        <v>1.5335742604918505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9.0230311840120887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114.4650227251685</v>
      </c>
      <c r="AO116" s="59">
        <f t="shared" si="90"/>
        <v>386.57315604590599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7.4894569235202377</v>
      </c>
      <c r="AV116" s="21">
        <f>EXP(-LN(2)/25)*AV115+(1-EXP(-LN(2)/25))/(LN(2)/25)*Calculateur!AQ116*Calculateur!AS116*VLOOKUP('Données projet'!$B$10,Paramètres!$A$1:$I$89,3,0)*0.475*44/12</f>
        <v>1.5335742604918505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9.0230311840120887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68.944412338382023</v>
      </c>
      <c r="BJ116" s="59">
        <f t="shared" si="92"/>
        <v>281.00389700159246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5.2813191679534777</v>
      </c>
      <c r="BQ116" s="21">
        <f>EXP(-LN(2)/25)*BQ115+(1-EXP(-LN(2)/25))/(LN(2)/25)*Calculateur!BL116*Calculateur!BN116*VLOOKUP('Données projet'!$B$11,Paramètres!$A$1:$I$89,3,0)*0.475*44/12</f>
        <v>1.0814262262434953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6.3627453941969732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>
        <f>BY116*VLOOKUP('Données projet'!$B$12,Paramètres!$A$1:$I$89,3,0)*VLOOKUP('Données projet'!$B$12,Paramètres!$A$1:$I$89,5,0)</f>
        <v>0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120.26681323682763</v>
      </c>
      <c r="CE116" s="59">
        <f t="shared" si="94"/>
        <v>344.92933166159389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6.6164527422510071</v>
      </c>
      <c r="CL116" s="21">
        <f>EXP(-LN(2)/25)*CL115+(1-EXP(-LN(2)/25))/(LN(2)/25)*Calculateur!CG116*Calculateur!CI116*VLOOKUP('Données projet'!$B$12,Paramètres!$A$1:$I$89,3,0)*0.475*44/12</f>
        <v>1.3548140706185676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7.9712668128695743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>
        <f>CT116*VLOOKUP('Données projet'!$B$13,Paramètres!$A$1:$I$89,3,0)*VLOOKUP('Données projet'!$B$13,Paramètres!$A$1:$I$89,5,0)</f>
        <v>0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120.26681323682763</v>
      </c>
      <c r="CZ116" s="59">
        <f t="shared" si="96"/>
        <v>344.92933166159389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6.6164527422510071</v>
      </c>
      <c r="DG116" s="21">
        <f>EXP(-LN(2)/25)*DG115+(1-EXP(-LN(2)/25))/(LN(2)/25)*Calculateur!DB116*Calculateur!DD116*VLOOKUP('Données projet'!$B$13,Paramètres!$A$1:$I$89,3,0)*0.475*44/12</f>
        <v>1.3548140706185676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7.9712668128695743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114.4650227251685</v>
      </c>
      <c r="T117" s="59">
        <f t="shared" si="88"/>
        <v>386.57315604590599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7.3425932413676653</v>
      </c>
      <c r="AA117" s="21">
        <f>EXP(-LN(2)/25)*AA116+(1-EXP(-LN(2)/25))/(LN(2)/25)*Calculateur!V117*Calculateur!X117*VLOOKUP('Données projet'!$B$9,Paramètres!$A$1:$I$89,3,0)*0.475*44/12</f>
        <v>1.4916385916915356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8.8342318330592011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114.4650227251685</v>
      </c>
      <c r="AO117" s="59">
        <f t="shared" si="90"/>
        <v>386.57315604590599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7.3425932413676653</v>
      </c>
      <c r="AV117" s="21">
        <f>EXP(-LN(2)/25)*AV116+(1-EXP(-LN(2)/25))/(LN(2)/25)*Calculateur!AQ117*Calculateur!AS117*VLOOKUP('Données projet'!$B$10,Paramètres!$A$1:$I$89,3,0)*0.475*44/12</f>
        <v>1.4916385916915356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8.8342318330592011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68.944412338382023</v>
      </c>
      <c r="BJ117" s="59">
        <f t="shared" si="92"/>
        <v>281.00389700159246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5.1777557203565268</v>
      </c>
      <c r="BQ117" s="21">
        <f>EXP(-LN(2)/25)*BQ116+(1-EXP(-LN(2)/25))/(LN(2)/25)*Calculateur!BL117*Calculateur!BN117*VLOOKUP('Données projet'!$B$11,Paramètres!$A$1:$I$89,3,0)*0.475*44/12</f>
        <v>1.0518545692171333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6.2296102895736603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>
        <f>BY117*VLOOKUP('Données projet'!$B$12,Paramètres!$A$1:$I$89,3,0)*VLOOKUP('Données projet'!$B$12,Paramètres!$A$1:$I$89,5,0)</f>
        <v>0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120.26681323682763</v>
      </c>
      <c r="CE117" s="59">
        <f t="shared" si="94"/>
        <v>344.92933166159389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6.4867081396131514</v>
      </c>
      <c r="CL117" s="21">
        <f>EXP(-LN(2)/25)*CL116+(1-EXP(-LN(2)/25))/(LN(2)/25)*Calculateur!CG117*Calculateur!CI117*VLOOKUP('Données projet'!$B$12,Paramètres!$A$1:$I$89,3,0)*0.475*44/12</f>
        <v>1.3177666086109274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7.8044747482240791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>
        <f>CT117*VLOOKUP('Données projet'!$B$13,Paramètres!$A$1:$I$89,3,0)*VLOOKUP('Données projet'!$B$13,Paramètres!$A$1:$I$89,5,0)</f>
        <v>0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120.26681323682763</v>
      </c>
      <c r="CZ117" s="59">
        <f t="shared" si="96"/>
        <v>344.92933166159389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6.4867081396131514</v>
      </c>
      <c r="DG117" s="21">
        <f>EXP(-LN(2)/25)*DG116+(1-EXP(-LN(2)/25))/(LN(2)/25)*Calculateur!DB117*Calculateur!DD117*VLOOKUP('Données projet'!$B$13,Paramètres!$A$1:$I$89,3,0)*0.475*44/12</f>
        <v>1.3177666086109274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7.8044747482240791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114.4650227251685</v>
      </c>
      <c r="T118" s="59">
        <f t="shared" si="88"/>
        <v>386.57315604590599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7.1986094664441032</v>
      </c>
      <c r="AA118" s="21">
        <f>EXP(-LN(2)/25)*AA117+(1-EXP(-LN(2)/25))/(LN(2)/25)*Calculateur!V118*Calculateur!X118*VLOOKUP('Données projet'!$B$9,Paramètres!$A$1:$I$89,3,0)*0.475*44/12</f>
        <v>1.4508496559598663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8.6494591224039699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114.4650227251685</v>
      </c>
      <c r="AO118" s="59">
        <f t="shared" si="90"/>
        <v>386.57315604590599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7.1986094664441032</v>
      </c>
      <c r="AV118" s="21">
        <f>EXP(-LN(2)/25)*AV117+(1-EXP(-LN(2)/25))/(LN(2)/25)*Calculateur!AQ118*Calculateur!AS118*VLOOKUP('Données projet'!$B$10,Paramètres!$A$1:$I$89,3,0)*0.475*44/12</f>
        <v>1.4508496559598663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8.6494591224039699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68.944412338382023</v>
      </c>
      <c r="BJ118" s="59">
        <f t="shared" si="92"/>
        <v>281.00389700159246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5.0762230887994866</v>
      </c>
      <c r="BQ118" s="21">
        <f>EXP(-LN(2)/25)*BQ117+(1-EXP(-LN(2)/25))/(LN(2)/25)*Calculateur!BL118*Calculateur!BN118*VLOOKUP('Données projet'!$B$11,Paramètres!$A$1:$I$89,3,0)*0.475*44/12</f>
        <v>1.0230915507072631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6.0993146395067495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>
        <f>BY118*VLOOKUP('Données projet'!$B$12,Paramètres!$A$1:$I$89,3,0)*VLOOKUP('Données projet'!$B$12,Paramètres!$A$1:$I$89,5,0)</f>
        <v>0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120.26681323682763</v>
      </c>
      <c r="CE118" s="59">
        <f t="shared" si="94"/>
        <v>344.92933166159389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6.3595077494966308</v>
      </c>
      <c r="CL118" s="21">
        <f>EXP(-LN(2)/25)*CL117+(1-EXP(-LN(2)/25))/(LN(2)/25)*Calculateur!CG118*Calculateur!CI118*VLOOKUP('Données projet'!$B$12,Paramètres!$A$1:$I$89,3,0)*0.475*44/12</f>
        <v>1.2817322114001275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7.6412399608967583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>
        <f>CT118*VLOOKUP('Données projet'!$B$13,Paramètres!$A$1:$I$89,3,0)*VLOOKUP('Données projet'!$B$13,Paramètres!$A$1:$I$89,5,0)</f>
        <v>0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120.26681323682763</v>
      </c>
      <c r="CZ118" s="59">
        <f t="shared" si="96"/>
        <v>344.92933166159389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6.3595077494966308</v>
      </c>
      <c r="DG118" s="21">
        <f>EXP(-LN(2)/25)*DG117+(1-EXP(-LN(2)/25))/(LN(2)/25)*Calculateur!DB118*Calculateur!DD118*VLOOKUP('Données projet'!$B$13,Paramètres!$A$1:$I$89,3,0)*0.475*44/12</f>
        <v>1.2817322114001275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7.6412399608967583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114.4650227251685</v>
      </c>
      <c r="T119" s="59">
        <f t="shared" si="88"/>
        <v>386.57315604590599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7.0574491255253617</v>
      </c>
      <c r="AA119" s="21">
        <f>EXP(-LN(2)/25)*AA118+(1-EXP(-LN(2)/25))/(LN(2)/25)*Calculateur!V119*Calculateur!X119*VLOOKUP('Données projet'!$B$9,Paramètres!$A$1:$I$89,3,0)*0.475*44/12</f>
        <v>1.4111760958207762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8.4686252213461373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114.4650227251685</v>
      </c>
      <c r="AO119" s="59">
        <f t="shared" si="90"/>
        <v>386.57315604590599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7.0574491255253617</v>
      </c>
      <c r="AV119" s="21">
        <f>EXP(-LN(2)/25)*AV118+(1-EXP(-LN(2)/25))/(LN(2)/25)*Calculateur!AQ119*Calculateur!AS119*VLOOKUP('Données projet'!$B$10,Paramètres!$A$1:$I$89,3,0)*0.475*44/12</f>
        <v>1.4111760958207762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8.4686252213461373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68.944412338382023</v>
      </c>
      <c r="BJ119" s="59">
        <f t="shared" si="92"/>
        <v>281.00389700159246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4.9766814502184893</v>
      </c>
      <c r="BQ119" s="21">
        <f>EXP(-LN(2)/25)*BQ118+(1-EXP(-LN(2)/25))/(LN(2)/25)*Calculateur!BL119*Calculateur!BN119*VLOOKUP('Données projet'!$B$11,Paramètres!$A$1:$I$89,3,0)*0.475*44/12</f>
        <v>0.99511505845112669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5.9717965086696161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>
        <f>BY119*VLOOKUP('Données projet'!$B$12,Paramètres!$A$1:$I$89,3,0)*VLOOKUP('Données projet'!$B$12,Paramètres!$A$1:$I$89,5,0)</f>
        <v>0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120.26681323682763</v>
      </c>
      <c r="CE119" s="59">
        <f t="shared" si="94"/>
        <v>344.92933166159389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6.2348016814457177</v>
      </c>
      <c r="CL119" s="21">
        <f>EXP(-LN(2)/25)*CL118+(1-EXP(-LN(2)/25))/(LN(2)/25)*Calculateur!CG119*Calculateur!CI119*VLOOKUP('Données projet'!$B$12,Paramètres!$A$1:$I$89,3,0)*0.475*44/12</f>
        <v>1.2466831766760234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7.4814848581217408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>
        <f>CT119*VLOOKUP('Données projet'!$B$13,Paramètres!$A$1:$I$89,3,0)*VLOOKUP('Données projet'!$B$13,Paramètres!$A$1:$I$89,5,0)</f>
        <v>0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120.26681323682763</v>
      </c>
      <c r="CZ119" s="59">
        <f t="shared" si="96"/>
        <v>344.92933166159389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6.2348016814457177</v>
      </c>
      <c r="DG119" s="21">
        <f>EXP(-LN(2)/25)*DG118+(1-EXP(-LN(2)/25))/(LN(2)/25)*Calculateur!DB119*Calculateur!DD119*VLOOKUP('Données projet'!$B$13,Paramètres!$A$1:$I$89,3,0)*0.475*44/12</f>
        <v>1.2466831766760234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7.4814848581217408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114.4650227251685</v>
      </c>
      <c r="T120" s="59">
        <f t="shared" si="88"/>
        <v>386.57315604590599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6.9190568527927301</v>
      </c>
      <c r="AA120" s="21">
        <f>EXP(-LN(2)/25)*AA119+(1-EXP(-LN(2)/25))/(LN(2)/25)*Calculateur!V120*Calculateur!X120*VLOOKUP('Données projet'!$B$9,Paramètres!$A$1:$I$89,3,0)*0.475*44/12</f>
        <v>1.3725874112700314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8.2916442640627608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114.4650227251685</v>
      </c>
      <c r="AO120" s="59">
        <f t="shared" si="90"/>
        <v>386.57315604590599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6.9190568527927301</v>
      </c>
      <c r="AV120" s="21">
        <f>EXP(-LN(2)/25)*AV119+(1-EXP(-LN(2)/25))/(LN(2)/25)*Calculateur!AQ120*Calculateur!AS120*VLOOKUP('Données projet'!$B$10,Paramètres!$A$1:$I$89,3,0)*0.475*44/12</f>
        <v>1.3725874112700314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8.2916442640627608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68.944412338382023</v>
      </c>
      <c r="BJ120" s="59">
        <f t="shared" si="92"/>
        <v>281.00389700159246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4.8790917624556611</v>
      </c>
      <c r="BQ120" s="21">
        <f>EXP(-LN(2)/25)*BQ119+(1-EXP(-LN(2)/25))/(LN(2)/25)*Calculateur!BL120*Calculateur!BN120*VLOOKUP('Données projet'!$B$11,Paramètres!$A$1:$I$89,3,0)*0.475*44/12</f>
        <v>0.96790358484695405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5.8469953473026148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>
        <f>BY120*VLOOKUP('Données projet'!$B$12,Paramètres!$A$1:$I$89,3,0)*VLOOKUP('Données projet'!$B$12,Paramètres!$A$1:$I$89,5,0)</f>
        <v>0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120.26681323682763</v>
      </c>
      <c r="CE120" s="59">
        <f t="shared" si="94"/>
        <v>344.92933166159389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6.1125410233260924</v>
      </c>
      <c r="CL120" s="21">
        <f>EXP(-LN(2)/25)*CL119+(1-EXP(-LN(2)/25))/(LN(2)/25)*Calculateur!CG120*Calculateur!CI120*VLOOKUP('Données projet'!$B$12,Paramètres!$A$1:$I$89,3,0)*0.475*44/12</f>
        <v>1.2125925596495986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7.3251335829756909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>
        <f>CT120*VLOOKUP('Données projet'!$B$13,Paramètres!$A$1:$I$89,3,0)*VLOOKUP('Données projet'!$B$13,Paramètres!$A$1:$I$89,5,0)</f>
        <v>0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120.26681323682763</v>
      </c>
      <c r="CZ120" s="59">
        <f t="shared" si="96"/>
        <v>344.92933166159389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6.1125410233260924</v>
      </c>
      <c r="DG120" s="21">
        <f>EXP(-LN(2)/25)*DG119+(1-EXP(-LN(2)/25))/(LN(2)/25)*Calculateur!DB120*Calculateur!DD120*VLOOKUP('Données projet'!$B$13,Paramètres!$A$1:$I$89,3,0)*0.475*44/12</f>
        <v>1.2125925596495986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7.3251335829756909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114.4650227251685</v>
      </c>
      <c r="T121" s="59">
        <f t="shared" si="88"/>
        <v>386.57315604590599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6.7833783681174342</v>
      </c>
      <c r="AA121" s="21">
        <f>EXP(-LN(2)/25)*AA120+(1-EXP(-LN(2)/25))/(LN(2)/25)*Calculateur!V121*Calculateur!X121*VLOOKUP('Données projet'!$B$9,Paramètres!$A$1:$I$89,3,0)*0.475*44/12</f>
        <v>1.3350539363276175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8.1184323044450508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114.4650227251685</v>
      </c>
      <c r="AO121" s="59">
        <f t="shared" si="90"/>
        <v>386.57315604590599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6.7833783681174342</v>
      </c>
      <c r="AV121" s="21">
        <f>EXP(-LN(2)/25)*AV120+(1-EXP(-LN(2)/25))/(LN(2)/25)*Calculateur!AQ121*Calculateur!AS121*VLOOKUP('Données projet'!$B$10,Paramètres!$A$1:$I$89,3,0)*0.475*44/12</f>
        <v>1.3350539363276175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8.1184323044450508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68.944412338382023</v>
      </c>
      <c r="BJ121" s="59">
        <f t="shared" si="92"/>
        <v>281.00389700159246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4.7834157489460303</v>
      </c>
      <c r="BQ121" s="21">
        <f>EXP(-LN(2)/25)*BQ120+(1-EXP(-LN(2)/25))/(LN(2)/25)*Calculateur!BL121*Calculateur!BN121*VLOOKUP('Données projet'!$B$11,Paramètres!$A$1:$I$89,3,0)*0.475*44/12</f>
        <v>0.94143621041947678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5.7248519593655072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>
        <f>BY121*VLOOKUP('Données projet'!$B$12,Paramètres!$A$1:$I$89,3,0)*VLOOKUP('Données projet'!$B$12,Paramètres!$A$1:$I$89,5,0)</f>
        <v>0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120.26681323682763</v>
      </c>
      <c r="CE121" s="59">
        <f t="shared" si="94"/>
        <v>344.92933166159389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5.9926778221405543</v>
      </c>
      <c r="CL121" s="21">
        <f>EXP(-LN(2)/25)*CL120+(1-EXP(-LN(2)/25))/(LN(2)/25)*Calculateur!CG121*Calculateur!CI121*VLOOKUP('Données projet'!$B$12,Paramètres!$A$1:$I$89,3,0)*0.475*44/12</f>
        <v>1.179434152338509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7.1721119744790638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>
        <f>CT121*VLOOKUP('Données projet'!$B$13,Paramètres!$A$1:$I$89,3,0)*VLOOKUP('Données projet'!$B$13,Paramètres!$A$1:$I$89,5,0)</f>
        <v>0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120.26681323682763</v>
      </c>
      <c r="CZ121" s="59">
        <f t="shared" si="96"/>
        <v>344.92933166159389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5.9926778221405543</v>
      </c>
      <c r="DG121" s="21">
        <f>EXP(-LN(2)/25)*DG120+(1-EXP(-LN(2)/25))/(LN(2)/25)*Calculateur!DB121*Calculateur!DD121*VLOOKUP('Données projet'!$B$13,Paramètres!$A$1:$I$89,3,0)*0.475*44/12</f>
        <v>1.179434152338509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7.1721119744790638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114.4650227251685</v>
      </c>
      <c r="T122" s="59">
        <f t="shared" si="88"/>
        <v>386.57315604590599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6.6503604557709162</v>
      </c>
      <c r="AA122" s="21">
        <f>EXP(-LN(2)/25)*AA121+(1-EXP(-LN(2)/25))/(LN(2)/25)*Calculateur!V122*Calculateur!X122*VLOOKUP('Données projet'!$B$9,Paramètres!$A$1:$I$89,3,0)*0.475*44/12</f>
        <v>1.2985468162313036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7.94890727200222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114.4650227251685</v>
      </c>
      <c r="AO122" s="59">
        <f t="shared" si="90"/>
        <v>386.57315604590599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6.6503604557709162</v>
      </c>
      <c r="AV122" s="21">
        <f>EXP(-LN(2)/25)*AV121+(1-EXP(-LN(2)/25))/(LN(2)/25)*Calculateur!AQ122*Calculateur!AS122*VLOOKUP('Données projet'!$B$10,Paramètres!$A$1:$I$89,3,0)*0.475*44/12</f>
        <v>1.2985468162313036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7.94890727200222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68.944412338382023</v>
      </c>
      <c r="BJ122" s="59">
        <f t="shared" si="92"/>
        <v>281.00389700159246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4.6896158837047173</v>
      </c>
      <c r="BQ122" s="21">
        <f>EXP(-LN(2)/25)*BQ121+(1-EXP(-LN(2)/25))/(LN(2)/25)*Calculateur!BL122*Calculateur!BN122*VLOOKUP('Données projet'!$B$11,Paramètres!$A$1:$I$89,3,0)*0.475*44/12</f>
        <v>0.91569258773757756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5.6053084714422949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>
        <f>BY122*VLOOKUP('Données projet'!$B$12,Paramètres!$A$1:$I$89,3,0)*VLOOKUP('Données projet'!$B$12,Paramètres!$A$1:$I$89,5,0)</f>
        <v>0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120.26681323682763</v>
      </c>
      <c r="CE122" s="59">
        <f t="shared" si="94"/>
        <v>344.92933166159389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5.8751650652209308</v>
      </c>
      <c r="CL122" s="21">
        <f>EXP(-LN(2)/25)*CL121+(1-EXP(-LN(2)/25))/(LN(2)/25)*Calculateur!CG122*Calculateur!CI122*VLOOKUP('Données projet'!$B$12,Paramètres!$A$1:$I$89,3,0)*0.475*44/12</f>
        <v>1.1471824634190659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7.0223475286399966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>
        <f>CT122*VLOOKUP('Données projet'!$B$13,Paramètres!$A$1:$I$89,3,0)*VLOOKUP('Données projet'!$B$13,Paramètres!$A$1:$I$89,5,0)</f>
        <v>0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120.26681323682763</v>
      </c>
      <c r="CZ122" s="59">
        <f t="shared" si="96"/>
        <v>344.92933166159389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5.8751650652209308</v>
      </c>
      <c r="DG122" s="21">
        <f>EXP(-LN(2)/25)*DG121+(1-EXP(-LN(2)/25))/(LN(2)/25)*Calculateur!DB122*Calculateur!DD122*VLOOKUP('Données projet'!$B$13,Paramètres!$A$1:$I$89,3,0)*0.475*44/12</f>
        <v>1.1471824634190659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7.0223475286399966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114.4650227251685</v>
      </c>
      <c r="T123" s="59">
        <f t="shared" si="88"/>
        <v>386.57315604590599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6.5199509435525984</v>
      </c>
      <c r="AA123" s="21">
        <f>EXP(-LN(2)/25)*AA122+(1-EXP(-LN(2)/25))/(LN(2)/25)*Calculateur!V123*Calculateur!X123*VLOOKUP('Données projet'!$B$9,Paramètres!$A$1:$I$89,3,0)*0.475*44/12</f>
        <v>1.2630379852538494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7.7829889288064482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114.4650227251685</v>
      </c>
      <c r="AO123" s="59">
        <f t="shared" si="90"/>
        <v>386.57315604590599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6.5199509435525984</v>
      </c>
      <c r="AV123" s="21">
        <f>EXP(-LN(2)/25)*AV122+(1-EXP(-LN(2)/25))/(LN(2)/25)*Calculateur!AQ123*Calculateur!AS123*VLOOKUP('Données projet'!$B$10,Paramètres!$A$1:$I$89,3,0)*0.475*44/12</f>
        <v>1.2630379852538494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7.7829889288064482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68.944412338382023</v>
      </c>
      <c r="BJ123" s="59">
        <f t="shared" si="92"/>
        <v>281.00389700159246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4.5976553766085173</v>
      </c>
      <c r="BQ123" s="21">
        <f>EXP(-LN(2)/25)*BQ122+(1-EXP(-LN(2)/25))/(LN(2)/25)*Calculateur!BL123*Calculateur!BN123*VLOOKUP('Données projet'!$B$11,Paramètres!$A$1:$I$89,3,0)*0.475*44/12</f>
        <v>0.89065292577171318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5.4883083023802302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>
        <f>BY123*VLOOKUP('Données projet'!$B$12,Paramètres!$A$1:$I$89,3,0)*VLOOKUP('Données projet'!$B$12,Paramètres!$A$1:$I$89,5,0)</f>
        <v>0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120.26681323682763</v>
      </c>
      <c r="CE123" s="59">
        <f t="shared" si="94"/>
        <v>344.92933166159389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5.7599566617887969</v>
      </c>
      <c r="CL123" s="21">
        <f>EXP(-LN(2)/25)*CL122+(1-EXP(-LN(2)/25))/(LN(2)/25)*Calculateur!CG123*Calculateur!CI123*VLOOKUP('Données projet'!$B$12,Paramètres!$A$1:$I$89,3,0)*0.475*44/12</f>
        <v>1.1158126986291677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6.8757693604179648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>
        <f>CT123*VLOOKUP('Données projet'!$B$13,Paramètres!$A$1:$I$89,3,0)*VLOOKUP('Données projet'!$B$13,Paramètres!$A$1:$I$89,5,0)</f>
        <v>0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120.26681323682763</v>
      </c>
      <c r="CZ123" s="59">
        <f t="shared" si="96"/>
        <v>344.92933166159389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5.7599566617887969</v>
      </c>
      <c r="DG123" s="21">
        <f>EXP(-LN(2)/25)*DG122+(1-EXP(-LN(2)/25))/(LN(2)/25)*Calculateur!DB123*Calculateur!DD123*VLOOKUP('Données projet'!$B$13,Paramètres!$A$1:$I$89,3,0)*0.475*44/12</f>
        <v>1.1158126986291677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6.8757693604179648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114.4650227251685</v>
      </c>
      <c r="T124" s="59">
        <f t="shared" si="88"/>
        <v>386.57315604590599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6.3920986823269335</v>
      </c>
      <c r="AA124" s="21">
        <f>EXP(-LN(2)/25)*AA123+(1-EXP(-LN(2)/25))/(LN(2)/25)*Calculateur!V124*Calculateur!X124*VLOOKUP('Données projet'!$B$9,Paramètres!$A$1:$I$89,3,0)*0.475*44/12</f>
        <v>1.2285001451268018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7.6205988274537351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114.4650227251685</v>
      </c>
      <c r="AO124" s="59">
        <f t="shared" si="90"/>
        <v>386.57315604590599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6.3920986823269335</v>
      </c>
      <c r="AV124" s="21">
        <f>EXP(-LN(2)/25)*AV123+(1-EXP(-LN(2)/25))/(LN(2)/25)*Calculateur!AQ124*Calculateur!AS124*VLOOKUP('Données projet'!$B$10,Paramètres!$A$1:$I$89,3,0)*0.475*44/12</f>
        <v>1.2285001451268018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7.6205988274537351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68.944412338382023</v>
      </c>
      <c r="BJ124" s="59">
        <f t="shared" si="92"/>
        <v>281.00389700159246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4.5074981589661034</v>
      </c>
      <c r="BQ124" s="21">
        <f>EXP(-LN(2)/25)*BQ123+(1-EXP(-LN(2)/25))/(LN(2)/25)*Calculateur!BL124*Calculateur!BN124*VLOOKUP('Données projet'!$B$11,Paramètres!$A$1:$I$89,3,0)*0.475*44/12</f>
        <v>0.86629797467908398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5.3737961336451878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>
        <f>BY124*VLOOKUP('Données projet'!$B$12,Paramètres!$A$1:$I$89,3,0)*VLOOKUP('Données projet'!$B$12,Paramètres!$A$1:$I$89,5,0)</f>
        <v>0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120.26681323682763</v>
      </c>
      <c r="CE124" s="59">
        <f t="shared" si="94"/>
        <v>344.92933166159389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5.6470074248777804</v>
      </c>
      <c r="CL124" s="21">
        <f>EXP(-LN(2)/25)*CL123+(1-EXP(-LN(2)/25))/(LN(2)/25)*Calculateur!CG124*Calculateur!CI124*VLOOKUP('Données projet'!$B$12,Paramètres!$A$1:$I$89,3,0)*0.475*44/12</f>
        <v>1.0853007417071134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6.7323081665848941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>
        <f>CT124*VLOOKUP('Données projet'!$B$13,Paramètres!$A$1:$I$89,3,0)*VLOOKUP('Données projet'!$B$13,Paramètres!$A$1:$I$89,5,0)</f>
        <v>0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120.26681323682763</v>
      </c>
      <c r="CZ124" s="59">
        <f t="shared" si="96"/>
        <v>344.92933166159389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5.6470074248777804</v>
      </c>
      <c r="DG124" s="21">
        <f>EXP(-LN(2)/25)*DG123+(1-EXP(-LN(2)/25))/(LN(2)/25)*Calculateur!DB124*Calculateur!DD124*VLOOKUP('Données projet'!$B$13,Paramètres!$A$1:$I$89,3,0)*0.475*44/12</f>
        <v>1.0853007417071134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6.7323081665848941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114.4650227251685</v>
      </c>
      <c r="T125" s="59">
        <f t="shared" si="88"/>
        <v>386.57315604590599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6.2667535259617244</v>
      </c>
      <c r="AA125" s="21">
        <f>EXP(-LN(2)/25)*AA124+(1-EXP(-LN(2)/25))/(LN(2)/25)*Calculateur!V125*Calculateur!X125*VLOOKUP('Données projet'!$B$9,Paramètres!$A$1:$I$89,3,0)*0.475*44/12</f>
        <v>1.1949067440542946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7.4616602700160186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114.4650227251685</v>
      </c>
      <c r="AO125" s="59">
        <f t="shared" si="90"/>
        <v>386.57315604590599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6.2667535259617244</v>
      </c>
      <c r="AV125" s="21">
        <f>EXP(-LN(2)/25)*AV124+(1-EXP(-LN(2)/25))/(LN(2)/25)*Calculateur!AQ125*Calculateur!AS125*VLOOKUP('Données projet'!$B$10,Paramètres!$A$1:$I$89,3,0)*0.475*44/12</f>
        <v>1.1949067440542946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7.4616602700160186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68.944412338382023</v>
      </c>
      <c r="BJ125" s="59">
        <f t="shared" si="92"/>
        <v>281.00389700159246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4.4191088693711844</v>
      </c>
      <c r="BQ125" s="21">
        <f>EXP(-LN(2)/25)*BQ124+(1-EXP(-LN(2)/25))/(LN(2)/25)*Calculateur!BL125*Calculateur!BN125*VLOOKUP('Données projet'!$B$11,Paramètres!$A$1:$I$89,3,0)*0.475*44/12</f>
        <v>0.84260901100485386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5.2617178803760378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>
        <f>BY125*VLOOKUP('Données projet'!$B$12,Paramètres!$A$1:$I$89,3,0)*VLOOKUP('Données projet'!$B$12,Paramètres!$A$1:$I$89,5,0)</f>
        <v>0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120.26681323682763</v>
      </c>
      <c r="CE125" s="59">
        <f t="shared" si="94"/>
        <v>344.92933166159389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5.5362730536103566</v>
      </c>
      <c r="CL125" s="21">
        <f>EXP(-LN(2)/25)*CL124+(1-EXP(-LN(2)/25))/(LN(2)/25)*Calculateur!CG125*Calculateur!CI125*VLOOKUP('Données projet'!$B$12,Paramètres!$A$1:$I$89,3,0)*0.475*44/12</f>
        <v>1.0556231358516468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6.5918961894620036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>
        <f>CT125*VLOOKUP('Données projet'!$B$13,Paramètres!$A$1:$I$89,3,0)*VLOOKUP('Données projet'!$B$13,Paramètres!$A$1:$I$89,5,0)</f>
        <v>0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120.26681323682763</v>
      </c>
      <c r="CZ125" s="59">
        <f t="shared" si="96"/>
        <v>344.92933166159389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5.5362730536103566</v>
      </c>
      <c r="DG125" s="21">
        <f>EXP(-LN(2)/25)*DG124+(1-EXP(-LN(2)/25))/(LN(2)/25)*Calculateur!DB125*Calculateur!DD125*VLOOKUP('Données projet'!$B$13,Paramètres!$A$1:$I$89,3,0)*0.475*44/12</f>
        <v>1.0556231358516468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6.5918961894620036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114.4650227251685</v>
      </c>
      <c r="T126" s="59">
        <f t="shared" si="88"/>
        <v>386.57315604590599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6.1438663116598411</v>
      </c>
      <c r="AA126" s="21">
        <f>EXP(-LN(2)/25)*AA125+(1-EXP(-LN(2)/25))/(LN(2)/25)*Calculateur!V126*Calculateur!X126*VLOOKUP('Données projet'!$B$9,Paramètres!$A$1:$I$89,3,0)*0.475*44/12</f>
        <v>1.1622319563007153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7.3060982679605564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114.4650227251685</v>
      </c>
      <c r="AO126" s="59">
        <f t="shared" si="90"/>
        <v>386.57315604590599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6.1438663116598411</v>
      </c>
      <c r="AV126" s="21">
        <f>EXP(-LN(2)/25)*AV125+(1-EXP(-LN(2)/25))/(LN(2)/25)*Calculateur!AQ126*Calculateur!AS126*VLOOKUP('Données projet'!$B$10,Paramètres!$A$1:$I$89,3,0)*0.475*44/12</f>
        <v>1.1622319563007153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7.3060982679605564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68.944412338382023</v>
      </c>
      <c r="BJ126" s="59">
        <f t="shared" si="92"/>
        <v>281.00389700159246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4.3324528398330777</v>
      </c>
      <c r="BQ126" s="21">
        <f>EXP(-LN(2)/25)*BQ125+(1-EXP(-LN(2)/25))/(LN(2)/25)*Calculateur!BL126*Calculateur!BN126*VLOOKUP('Données projet'!$B$11,Paramètres!$A$1:$I$89,3,0)*0.475*44/12</f>
        <v>0.81956782328804401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5.1520206631211218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>
        <f>BY126*VLOOKUP('Données projet'!$B$12,Paramètres!$A$1:$I$89,3,0)*VLOOKUP('Données projet'!$B$12,Paramètres!$A$1:$I$89,5,0)</f>
        <v>0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120.26681323682763</v>
      </c>
      <c r="CE126" s="59">
        <f t="shared" si="94"/>
        <v>344.92933166159389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5.4277101158221894</v>
      </c>
      <c r="CL126" s="21">
        <f>EXP(-LN(2)/25)*CL125+(1-EXP(-LN(2)/25))/(LN(2)/25)*Calculateur!CG126*Calculateur!CI126*VLOOKUP('Données projet'!$B$12,Paramètres!$A$1:$I$89,3,0)*0.475*44/12</f>
        <v>1.0267570656889755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6.4544671815111645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>
        <f>CT126*VLOOKUP('Données projet'!$B$13,Paramètres!$A$1:$I$89,3,0)*VLOOKUP('Données projet'!$B$13,Paramètres!$A$1:$I$89,5,0)</f>
        <v>0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120.26681323682763</v>
      </c>
      <c r="CZ126" s="59">
        <f t="shared" si="96"/>
        <v>344.92933166159389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5.4277101158221894</v>
      </c>
      <c r="DG126" s="21">
        <f>EXP(-LN(2)/25)*DG125+(1-EXP(-LN(2)/25))/(LN(2)/25)*Calculateur!DB126*Calculateur!DD126*VLOOKUP('Données projet'!$B$13,Paramètres!$A$1:$I$89,3,0)*0.475*44/12</f>
        <v>1.0267570656889755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6.4544671815111645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114.4650227251685</v>
      </c>
      <c r="T127" s="59">
        <f t="shared" si="88"/>
        <v>386.57315604590599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6.0233888406766178</v>
      </c>
      <c r="AA127" s="21">
        <f>EXP(-LN(2)/25)*AA126+(1-EXP(-LN(2)/25))/(LN(2)/25)*Calculateur!V127*Calculateur!X127*VLOOKUP('Données projet'!$B$9,Paramètres!$A$1:$I$89,3,0)*0.475*44/12</f>
        <v>1.13045066233655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7.1538395030131676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114.4650227251685</v>
      </c>
      <c r="AO127" s="59">
        <f t="shared" si="90"/>
        <v>386.57315604590599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6.0233888406766178</v>
      </c>
      <c r="AV127" s="21">
        <f>EXP(-LN(2)/25)*AV126+(1-EXP(-LN(2)/25))/(LN(2)/25)*Calculateur!AQ127*Calculateur!AS127*VLOOKUP('Données projet'!$B$10,Paramètres!$A$1:$I$89,3,0)*0.475*44/12</f>
        <v>1.13045066233655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7.1538395030131676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68.944412338382023</v>
      </c>
      <c r="BJ127" s="59">
        <f t="shared" si="92"/>
        <v>281.00389700159246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4.2474960821792545</v>
      </c>
      <c r="BQ127" s="21">
        <f>EXP(-LN(2)/25)*BQ126+(1-EXP(-LN(2)/25))/(LN(2)/25)*Calculateur!BL127*Calculateur!BN127*VLOOKUP('Données projet'!$B$11,Paramètres!$A$1:$I$89,3,0)*0.475*44/12</f>
        <v>0.79715669806103373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5.0446527802402885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>
        <f>BY127*VLOOKUP('Données projet'!$B$12,Paramètres!$A$1:$I$89,3,0)*VLOOKUP('Données projet'!$B$12,Paramètres!$A$1:$I$89,5,0)</f>
        <v>0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120.26681323682763</v>
      </c>
      <c r="CE127" s="59">
        <f t="shared" si="94"/>
        <v>344.92933166159389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5.3212760310271943</v>
      </c>
      <c r="CL127" s="21">
        <f>EXP(-LN(2)/25)*CL126+(1-EXP(-LN(2)/25))/(LN(2)/25)*Calculateur!CG127*Calculateur!CI127*VLOOKUP('Données projet'!$B$12,Paramètres!$A$1:$I$89,3,0)*0.475*44/12</f>
        <v>0.99868033973290304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6.3199563707600976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>
        <f>CT127*VLOOKUP('Données projet'!$B$13,Paramètres!$A$1:$I$89,3,0)*VLOOKUP('Données projet'!$B$13,Paramètres!$A$1:$I$89,5,0)</f>
        <v>0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120.26681323682763</v>
      </c>
      <c r="CZ127" s="59">
        <f t="shared" si="96"/>
        <v>344.92933166159389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5.3212760310271943</v>
      </c>
      <c r="DG127" s="21">
        <f>EXP(-LN(2)/25)*DG126+(1-EXP(-LN(2)/25))/(LN(2)/25)*Calculateur!DB127*Calculateur!DD127*VLOOKUP('Données projet'!$B$13,Paramètres!$A$1:$I$89,3,0)*0.475*44/12</f>
        <v>0.99868033973290304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6.3199563707600976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114.4650227251685</v>
      </c>
      <c r="T128" s="59">
        <f t="shared" si="88"/>
        <v>386.57315604590599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5.9052738594153746</v>
      </c>
      <c r="AA128" s="21">
        <f>EXP(-LN(2)/25)*AA127+(1-EXP(-LN(2)/25))/(LN(2)/25)*Calculateur!V128*Calculateur!X128*VLOOKUP('Données projet'!$B$9,Paramètres!$A$1:$I$89,3,0)*0.475*44/12</f>
        <v>1.0995384295271404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7.0048122889425155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114.4650227251685</v>
      </c>
      <c r="AO128" s="59">
        <f t="shared" si="90"/>
        <v>386.57315604590599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5.9052738594153746</v>
      </c>
      <c r="AV128" s="21">
        <f>EXP(-LN(2)/25)*AV127+(1-EXP(-LN(2)/25))/(LN(2)/25)*Calculateur!AQ128*Calculateur!AS128*VLOOKUP('Données projet'!$B$10,Paramètres!$A$1:$I$89,3,0)*0.475*44/12</f>
        <v>1.0995384295271404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7.0048122889425155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68.944412338382023</v>
      </c>
      <c r="BJ128" s="59">
        <f t="shared" si="92"/>
        <v>281.00389700159246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4.1642052747245177</v>
      </c>
      <c r="BQ128" s="21">
        <f>EXP(-LN(2)/25)*BQ127+(1-EXP(-LN(2)/25))/(LN(2)/25)*Calculateur!BL128*Calculateur!BN128*VLOOKUP('Données projet'!$B$11,Paramètres!$A$1:$I$89,3,0)*0.475*44/12</f>
        <v>0.77535840623190588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4.9395636809564234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>
        <f>BY128*VLOOKUP('Données projet'!$B$12,Paramètres!$A$1:$I$89,3,0)*VLOOKUP('Données projet'!$B$12,Paramètres!$A$1:$I$89,5,0)</f>
        <v>0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120.26681323682763</v>
      </c>
      <c r="CE128" s="59">
        <f t="shared" si="94"/>
        <v>344.92933166159389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5.2169290537166475</v>
      </c>
      <c r="CL128" s="21">
        <f>EXP(-LN(2)/25)*CL127+(1-EXP(-LN(2)/25))/(LN(2)/25)*Calculateur!CG128*Calculateur!CI128*VLOOKUP('Données projet'!$B$12,Paramètres!$A$1:$I$89,3,0)*0.475*44/12</f>
        <v>0.97137137332459023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6.1883004270412378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>
        <f>CT128*VLOOKUP('Données projet'!$B$13,Paramètres!$A$1:$I$89,3,0)*VLOOKUP('Données projet'!$B$13,Paramètres!$A$1:$I$89,5,0)</f>
        <v>0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120.26681323682763</v>
      </c>
      <c r="CZ128" s="59">
        <f t="shared" si="96"/>
        <v>344.92933166159389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5.2169290537166475</v>
      </c>
      <c r="DG128" s="21">
        <f>EXP(-LN(2)/25)*DG127+(1-EXP(-LN(2)/25))/(LN(2)/25)*Calculateur!DB128*Calculateur!DD128*VLOOKUP('Données projet'!$B$13,Paramètres!$A$1:$I$89,3,0)*0.475*44/12</f>
        <v>0.97137137332459023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6.1883004270412378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114.4650227251685</v>
      </c>
      <c r="T129" s="59">
        <f t="shared" si="88"/>
        <v>386.57315604590599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5.7894750408936391</v>
      </c>
      <c r="AA129" s="21">
        <f>EXP(-LN(2)/25)*AA128+(1-EXP(-LN(2)/25))/(LN(2)/25)*Calculateur!V129*Calculateur!X129*VLOOKUP('Données projet'!$B$9,Paramètres!$A$1:$I$89,3,0)*0.475*44/12</f>
        <v>1.0694714933495078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6.858946534243147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114.4650227251685</v>
      </c>
      <c r="AO129" s="59">
        <f t="shared" si="90"/>
        <v>386.57315604590599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5.7894750408936391</v>
      </c>
      <c r="AV129" s="21">
        <f>EXP(-LN(2)/25)*AV128+(1-EXP(-LN(2)/25))/(LN(2)/25)*Calculateur!AQ129*Calculateur!AS129*VLOOKUP('Données projet'!$B$10,Paramètres!$A$1:$I$89,3,0)*0.475*44/12</f>
        <v>1.0694714933495078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6.858946534243147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68.944412338382023</v>
      </c>
      <c r="BJ129" s="59">
        <f t="shared" si="92"/>
        <v>281.00389700159246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4.0825477492015922</v>
      </c>
      <c r="BQ129" s="21">
        <f>EXP(-LN(2)/25)*BQ128+(1-EXP(-LN(2)/25))/(LN(2)/25)*Calculateur!BL129*Calculateur!BN129*VLOOKUP('Données projet'!$B$11,Paramètres!$A$1:$I$89,3,0)*0.475*44/12</f>
        <v>0.75415618983916799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4.8367039390407598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>
        <f>BY129*VLOOKUP('Données projet'!$B$12,Paramètres!$A$1:$I$89,3,0)*VLOOKUP('Données projet'!$B$12,Paramètres!$A$1:$I$89,5,0)</f>
        <v>0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120.26681323682763</v>
      </c>
      <c r="CE129" s="59">
        <f t="shared" si="94"/>
        <v>344.92933166159389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5.1146282569857888</v>
      </c>
      <c r="CL129" s="21">
        <f>EXP(-LN(2)/25)*CL128+(1-EXP(-LN(2)/25))/(LN(2)/25)*Calculateur!CG129*Calculateur!CI129*VLOOKUP('Données projet'!$B$12,Paramètres!$A$1:$I$89,3,0)*0.475*44/12</f>
        <v>0.94480917203882886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6.0594374290246176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>
        <f>CT129*VLOOKUP('Données projet'!$B$13,Paramètres!$A$1:$I$89,3,0)*VLOOKUP('Données projet'!$B$13,Paramètres!$A$1:$I$89,5,0)</f>
        <v>0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120.26681323682763</v>
      </c>
      <c r="CZ129" s="59">
        <f t="shared" si="96"/>
        <v>344.92933166159389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5.1146282569857888</v>
      </c>
      <c r="DG129" s="21">
        <f>EXP(-LN(2)/25)*DG128+(1-EXP(-LN(2)/25))/(LN(2)/25)*Calculateur!DB129*Calculateur!DD129*VLOOKUP('Données projet'!$B$13,Paramètres!$A$1:$I$89,3,0)*0.475*44/12</f>
        <v>0.94480917203882886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6.0594374290246176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114.4650227251685</v>
      </c>
      <c r="T130" s="59">
        <f t="shared" si="88"/>
        <v>386.57315604590599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5.6759469665728099</v>
      </c>
      <c r="AA130" s="21">
        <f>EXP(-LN(2)/25)*AA129+(1-EXP(-LN(2)/25))/(LN(2)/25)*Calculateur!V130*Calculateur!X130*VLOOKUP('Données projet'!$B$9,Paramètres!$A$1:$I$89,3,0)*0.475*44/12</f>
        <v>1.0402267391228039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6.7161737056956134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114.4650227251685</v>
      </c>
      <c r="AO130" s="59">
        <f t="shared" si="90"/>
        <v>386.57315604590599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5.6759469665728099</v>
      </c>
      <c r="AV130" s="21">
        <f>EXP(-LN(2)/25)*AV129+(1-EXP(-LN(2)/25))/(LN(2)/25)*Calculateur!AQ130*Calculateur!AS130*VLOOKUP('Données projet'!$B$10,Paramètres!$A$1:$I$89,3,0)*0.475*44/12</f>
        <v>1.0402267391228039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6.7161737056956134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68.944412338382023</v>
      </c>
      <c r="BJ130" s="59">
        <f t="shared" si="92"/>
        <v>281.00389700159246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4.0024914779479985</v>
      </c>
      <c r="BQ130" s="21">
        <f>EXP(-LN(2)/25)*BQ129+(1-EXP(-LN(2)/25))/(LN(2)/25)*Calculateur!BL130*Calculateur!BN130*VLOOKUP('Données projet'!$B$11,Paramètres!$A$1:$I$89,3,0)*0.475*44/12</f>
        <v>0.73353374916866554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4.7360252271166638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>
        <f>BY130*VLOOKUP('Données projet'!$B$12,Paramètres!$A$1:$I$89,3,0)*VLOOKUP('Données projet'!$B$12,Paramètres!$A$1:$I$89,5,0)</f>
        <v>0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120.26681323682763</v>
      </c>
      <c r="CE130" s="59">
        <f t="shared" si="94"/>
        <v>344.92933166159389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5.0143335164814982</v>
      </c>
      <c r="CL130" s="21">
        <f>EXP(-LN(2)/25)*CL129+(1-EXP(-LN(2)/25))/(LN(2)/25)*Calculateur!CG130*Calculateur!CI130*VLOOKUP('Données projet'!$B$12,Paramètres!$A$1:$I$89,3,0)*0.475*44/12</f>
        <v>0.91897331554407213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5.9333068320255702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>
        <f>CT130*VLOOKUP('Données projet'!$B$13,Paramètres!$A$1:$I$89,3,0)*VLOOKUP('Données projet'!$B$13,Paramètres!$A$1:$I$89,5,0)</f>
        <v>0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120.26681323682763</v>
      </c>
      <c r="CZ130" s="59">
        <f t="shared" si="96"/>
        <v>344.92933166159389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5.0143335164814982</v>
      </c>
      <c r="DG130" s="21">
        <f>EXP(-LN(2)/25)*DG129+(1-EXP(-LN(2)/25))/(LN(2)/25)*Calculateur!DB130*Calculateur!DD130*VLOOKUP('Données projet'!$B$13,Paramètres!$A$1:$I$89,3,0)*0.475*44/12</f>
        <v>0.91897331554407213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5.9333068320255702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114.4650227251685</v>
      </c>
      <c r="T131" s="59">
        <f t="shared" si="88"/>
        <v>386.57315604590599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5.5646451085441244</v>
      </c>
      <c r="AA131" s="21">
        <f>EXP(-LN(2)/25)*AA130+(1-EXP(-LN(2)/25))/(LN(2)/25)*Calculateur!V131*Calculateur!X131*VLOOKUP('Données projet'!$B$9,Paramètres!$A$1:$I$89,3,0)*0.475*44/12</f>
        <v>1.011781684238344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6.5764267927824687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114.4650227251685</v>
      </c>
      <c r="AO131" s="59">
        <f t="shared" si="90"/>
        <v>386.57315604590599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5.5646451085441244</v>
      </c>
      <c r="AV131" s="21">
        <f>EXP(-LN(2)/25)*AV130+(1-EXP(-LN(2)/25))/(LN(2)/25)*Calculateur!AQ131*Calculateur!AS131*VLOOKUP('Données projet'!$B$10,Paramètres!$A$1:$I$89,3,0)*0.475*44/12</f>
        <v>1.011781684238344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6.5764267927824687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68.944412338382023</v>
      </c>
      <c r="BJ131" s="59">
        <f t="shared" si="92"/>
        <v>281.00389700159246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3.9240050613441837</v>
      </c>
      <c r="BQ131" s="21">
        <f>EXP(-LN(2)/25)*BQ130+(1-EXP(-LN(2)/25))/(LN(2)/25)*Calculateur!BL131*Calculateur!BN131*VLOOKUP('Données projet'!$B$11,Paramètres!$A$1:$I$89,3,0)*0.475*44/12</f>
        <v>0.71347523022278503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4.6374802915669688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>
        <f>BY131*VLOOKUP('Données projet'!$B$12,Paramètres!$A$1:$I$89,3,0)*VLOOKUP('Données projet'!$B$12,Paramètres!$A$1:$I$89,5,0)</f>
        <v>0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120.26681323682763</v>
      </c>
      <c r="CE131" s="59">
        <f t="shared" si="94"/>
        <v>344.92933166159389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4.9160054946647449</v>
      </c>
      <c r="CL131" s="21">
        <f>EXP(-LN(2)/25)*CL130+(1-EXP(-LN(2)/25))/(LN(2)/25)*Calculateur!CG131*Calculateur!CI131*VLOOKUP('Données projet'!$B$12,Paramètres!$A$1:$I$89,3,0)*0.475*44/12</f>
        <v>0.89384394190381311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5.809849436568558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>
        <f>CT131*VLOOKUP('Données projet'!$B$13,Paramètres!$A$1:$I$89,3,0)*VLOOKUP('Données projet'!$B$13,Paramètres!$A$1:$I$89,5,0)</f>
        <v>0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120.26681323682763</v>
      </c>
      <c r="CZ131" s="59">
        <f t="shared" si="96"/>
        <v>344.92933166159389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4.9160054946647449</v>
      </c>
      <c r="DG131" s="21">
        <f>EXP(-LN(2)/25)*DG130+(1-EXP(-LN(2)/25))/(LN(2)/25)*Calculateur!DB131*Calculateur!DD131*VLOOKUP('Données projet'!$B$13,Paramètres!$A$1:$I$89,3,0)*0.475*44/12</f>
        <v>0.89384394190381311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5.809849436568558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114.4650227251685</v>
      </c>
      <c r="T132" s="59">
        <f t="shared" si="88"/>
        <v>386.57315604590599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5.4555258120639509</v>
      </c>
      <c r="AA132" s="21">
        <f>EXP(-LN(2)/25)*AA131+(1-EXP(-LN(2)/25))/(LN(2)/25)*Calculateur!V132*Calculateur!X132*VLOOKUP('Données projet'!$B$9,Paramètres!$A$1:$I$89,3,0)*0.475*44/12</f>
        <v>0.9841144608755602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6.4396402729395108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114.4650227251685</v>
      </c>
      <c r="AO132" s="59">
        <f t="shared" si="90"/>
        <v>386.57315604590599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5.4555258120639509</v>
      </c>
      <c r="AV132" s="21">
        <f>EXP(-LN(2)/25)*AV131+(1-EXP(-LN(2)/25))/(LN(2)/25)*Calculateur!AQ132*Calculateur!AS132*VLOOKUP('Données projet'!$B$10,Paramètres!$A$1:$I$89,3,0)*0.475*44/12</f>
        <v>0.9841144608755602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6.4396402729395108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68.944412338382023</v>
      </c>
      <c r="BJ132" s="59">
        <f t="shared" si="92"/>
        <v>281.00389700159246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3.8470577154979826</v>
      </c>
      <c r="BQ132" s="21">
        <f>EXP(-LN(2)/25)*BQ131+(1-EXP(-LN(2)/25))/(LN(2)/25)*Calculateur!BL132*Calculateur!BN132*VLOOKUP('Données projet'!$B$11,Paramètres!$A$1:$I$89,3,0)*0.475*44/12</f>
        <v>0.69396521253231125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4.5410229280302943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>
        <f>BY132*VLOOKUP('Données projet'!$B$12,Paramètres!$A$1:$I$89,3,0)*VLOOKUP('Données projet'!$B$12,Paramètres!$A$1:$I$89,5,0)</f>
        <v>0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120.26681323682763</v>
      </c>
      <c r="CE132" s="59">
        <f t="shared" si="94"/>
        <v>344.92933166159389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4.8196056253816471</v>
      </c>
      <c r="CL132" s="21">
        <f>EXP(-LN(2)/25)*CL131+(1-EXP(-LN(2)/25))/(LN(2)/25)*Calculateur!CG132*Calculateur!CI132*VLOOKUP('Données projet'!$B$12,Paramètres!$A$1:$I$89,3,0)*0.475*44/12</f>
        <v>0.86940173230724338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5.6890073576888902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>
        <f>CT132*VLOOKUP('Données projet'!$B$13,Paramètres!$A$1:$I$89,3,0)*VLOOKUP('Données projet'!$B$13,Paramètres!$A$1:$I$89,5,0)</f>
        <v>0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120.26681323682763</v>
      </c>
      <c r="CZ132" s="59">
        <f t="shared" si="96"/>
        <v>344.92933166159389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4.8196056253816471</v>
      </c>
      <c r="DG132" s="21">
        <f>EXP(-LN(2)/25)*DG131+(1-EXP(-LN(2)/25))/(LN(2)/25)*Calculateur!DB132*Calculateur!DD132*VLOOKUP('Données projet'!$B$13,Paramètres!$A$1:$I$89,3,0)*0.475*44/12</f>
        <v>0.86940173230724338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5.6890073576888902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114.4650227251685</v>
      </c>
      <c r="T133" s="59">
        <f t="shared" ref="T133:T196" si="142">$T$3</f>
        <v>386.57315604590599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5.3485462784315549</v>
      </c>
      <c r="AA133" s="21">
        <f>EXP(-LN(2)/25)*AA132+(1-EXP(-LN(2)/25))/(LN(2)/25)*Calculateur!V133*Calculateur!X133*VLOOKUP('Données projet'!$B$9,Paramètres!$A$1:$I$89,3,0)*0.475*44/12</f>
        <v>0.95720379919058773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6.3057500776221431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114.4650227251685</v>
      </c>
      <c r="AO133" s="59">
        <f t="shared" ref="AO133:AO196" si="144">$AO$3</f>
        <v>386.57315604590599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5.3485462784315549</v>
      </c>
      <c r="AV133" s="21">
        <f>EXP(-LN(2)/25)*AV132+(1-EXP(-LN(2)/25))/(LN(2)/25)*Calculateur!AQ133*Calculateur!AS133*VLOOKUP('Données projet'!$B$10,Paramètres!$A$1:$I$89,3,0)*0.475*44/12</f>
        <v>0.95720379919058773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6.3057500776221431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68.944412338382023</v>
      </c>
      <c r="BJ133" s="59">
        <f t="shared" ref="BJ133:BJ196" si="146">$BJ$3</f>
        <v>281.00389700159246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3.7716192601705787</v>
      </c>
      <c r="BQ133" s="21">
        <f>EXP(-LN(2)/25)*BQ132+(1-EXP(-LN(2)/25))/(LN(2)/25)*Calculateur!BL133*Calculateur!BN133*VLOOKUP('Données projet'!$B$11,Paramètres!$A$1:$I$89,3,0)*0.475*44/12</f>
        <v>0.67498869730157074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4.4466079574721498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>
        <f>BY133*VLOOKUP('Données projet'!$B$12,Paramètres!$A$1:$I$89,3,0)*VLOOKUP('Données projet'!$B$12,Paramètres!$A$1:$I$89,5,0)</f>
        <v>0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120.26681323682763</v>
      </c>
      <c r="CE133" s="59">
        <f t="shared" ref="CE133:CE196" si="148">$CE$3</f>
        <v>344.92933166159389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4.725096098737076</v>
      </c>
      <c r="CL133" s="21">
        <f>EXP(-LN(2)/25)*CL132+(1-EXP(-LN(2)/25))/(LN(2)/25)*Calculateur!CG133*Calculateur!CI133*VLOOKUP('Données projet'!$B$12,Paramètres!$A$1:$I$89,3,0)*0.475*44/12</f>
        <v>0.84562789621745171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5.5707239949545277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>
        <f>CT133*VLOOKUP('Données projet'!$B$13,Paramètres!$A$1:$I$89,3,0)*VLOOKUP('Données projet'!$B$13,Paramètres!$A$1:$I$89,5,0)</f>
        <v>0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120.26681323682763</v>
      </c>
      <c r="CZ133" s="59">
        <f t="shared" ref="CZ133:CZ196" si="150">$CZ$3</f>
        <v>344.92933166159389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4.725096098737076</v>
      </c>
      <c r="DG133" s="21">
        <f>EXP(-LN(2)/25)*DG132+(1-EXP(-LN(2)/25))/(LN(2)/25)*Calculateur!DB133*Calculateur!DD133*VLOOKUP('Données projet'!$B$13,Paramètres!$A$1:$I$89,3,0)*0.475*44/12</f>
        <v>0.84562789621745171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5.5707239949545277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114.4650227251685</v>
      </c>
      <c r="T134" s="59">
        <f t="shared" si="142"/>
        <v>386.57315604590599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5.2436645482026174</v>
      </c>
      <c r="AA134" s="21">
        <f>EXP(-LN(2)/25)*AA133+(1-EXP(-LN(2)/25))/(LN(2)/25)*Calculateur!V134*Calculateur!X134*VLOOKUP('Données projet'!$B$9,Paramètres!$A$1:$I$89,3,0)*0.475*44/12</f>
        <v>0.93102901096456103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6.1746935591671788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114.4650227251685</v>
      </c>
      <c r="AO134" s="59">
        <f t="shared" si="144"/>
        <v>386.57315604590599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5.2436645482026174</v>
      </c>
      <c r="AV134" s="21">
        <f>EXP(-LN(2)/25)*AV133+(1-EXP(-LN(2)/25))/(LN(2)/25)*Calculateur!AQ134*Calculateur!AS134*VLOOKUP('Données projet'!$B$10,Paramètres!$A$1:$I$89,3,0)*0.475*44/12</f>
        <v>0.93102901096456103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6.1746935591671788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68.944412338382023</v>
      </c>
      <c r="BJ134" s="59">
        <f t="shared" si="146"/>
        <v>281.00389700159246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3.6976601069392308</v>
      </c>
      <c r="BQ134" s="21">
        <f>EXP(-LN(2)/25)*BQ133+(1-EXP(-LN(2)/25))/(LN(2)/25)*Calculateur!BL134*Calculateur!BN134*VLOOKUP('Données projet'!$B$11,Paramètres!$A$1:$I$89,3,0)*0.475*44/12</f>
        <v>0.65653109587774638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4.3541912028169776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>
        <f>BY134*VLOOKUP('Données projet'!$B$12,Paramètres!$A$1:$I$89,3,0)*VLOOKUP('Données projet'!$B$12,Paramètres!$A$1:$I$89,5,0)</f>
        <v>0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120.26681323682763</v>
      </c>
      <c r="CE134" s="59">
        <f t="shared" si="148"/>
        <v>344.92933166159389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4.6324398462648864</v>
      </c>
      <c r="CL134" s="21">
        <f>EXP(-LN(2)/25)*CL133+(1-EXP(-LN(2)/25))/(LN(2)/25)*Calculateur!CG134*Calculateur!CI134*VLOOKUP('Données projet'!$B$12,Paramètres!$A$1:$I$89,3,0)*0.475*44/12</f>
        <v>0.82250415692574719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5.4549440031906338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>
        <f>CT134*VLOOKUP('Données projet'!$B$13,Paramètres!$A$1:$I$89,3,0)*VLOOKUP('Données projet'!$B$13,Paramètres!$A$1:$I$89,5,0)</f>
        <v>0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120.26681323682763</v>
      </c>
      <c r="CZ134" s="59">
        <f t="shared" si="150"/>
        <v>344.92933166159389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4.6324398462648864</v>
      </c>
      <c r="DG134" s="21">
        <f>EXP(-LN(2)/25)*DG133+(1-EXP(-LN(2)/25))/(LN(2)/25)*Calculateur!DB134*Calculateur!DD134*VLOOKUP('Données projet'!$B$13,Paramètres!$A$1:$I$89,3,0)*0.475*44/12</f>
        <v>0.82250415692574719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5.4549440031906338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114.4650227251685</v>
      </c>
      <c r="T135" s="59">
        <f t="shared" si="142"/>
        <v>386.57315604590599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5.1408394847319308</v>
      </c>
      <c r="AA135" s="21">
        <f>EXP(-LN(2)/25)*AA134+(1-EXP(-LN(2)/25))/(LN(2)/25)*Calculateur!V135*Calculateur!X135*VLOOKUP('Données projet'!$B$9,Paramètres!$A$1:$I$89,3,0)*0.475*44/12</f>
        <v>0.90556997369904735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6.0464094584309782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114.4650227251685</v>
      </c>
      <c r="AO135" s="59">
        <f t="shared" si="144"/>
        <v>386.57315604590599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5.1408394847319308</v>
      </c>
      <c r="AV135" s="21">
        <f>EXP(-LN(2)/25)*AV134+(1-EXP(-LN(2)/25))/(LN(2)/25)*Calculateur!AQ135*Calculateur!AS135*VLOOKUP('Données projet'!$B$10,Paramètres!$A$1:$I$89,3,0)*0.475*44/12</f>
        <v>0.90556997369904735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6.0464094584309782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68.944412338382023</v>
      </c>
      <c r="BJ135" s="59">
        <f t="shared" si="146"/>
        <v>281.00389700159246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3.6251512475921204</v>
      </c>
      <c r="BQ135" s="21">
        <f>EXP(-LN(2)/25)*BQ134+(1-EXP(-LN(2)/25))/(LN(2)/25)*Calculateur!BL135*Calculateur!BN135*VLOOKUP('Données projet'!$B$11,Paramètres!$A$1:$I$89,3,0)*0.475*44/12</f>
        <v>0.63857821853549956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4.2637294661276197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>
        <f>BY135*VLOOKUP('Données projet'!$B$12,Paramètres!$A$1:$I$89,3,0)*VLOOKUP('Données projet'!$B$12,Paramètres!$A$1:$I$89,5,0)</f>
        <v>0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120.26681323682763</v>
      </c>
      <c r="CE135" s="59">
        <f t="shared" si="148"/>
        <v>344.92933166159389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4.5416005263889421</v>
      </c>
      <c r="CL135" s="21">
        <f>EXP(-LN(2)/25)*CL134+(1-EXP(-LN(2)/25))/(LN(2)/25)*Calculateur!CG135*Calculateur!CI135*VLOOKUP('Données projet'!$B$12,Paramètres!$A$1:$I$89,3,0)*0.475*44/12</f>
        <v>0.80001273750099888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5.3416132638899407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>
        <f>CT135*VLOOKUP('Données projet'!$B$13,Paramètres!$A$1:$I$89,3,0)*VLOOKUP('Données projet'!$B$13,Paramètres!$A$1:$I$89,5,0)</f>
        <v>0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120.26681323682763</v>
      </c>
      <c r="CZ135" s="59">
        <f t="shared" si="150"/>
        <v>344.92933166159389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4.5416005263889421</v>
      </c>
      <c r="DG135" s="21">
        <f>EXP(-LN(2)/25)*DG134+(1-EXP(-LN(2)/25))/(LN(2)/25)*Calculateur!DB135*Calculateur!DD135*VLOOKUP('Données projet'!$B$13,Paramètres!$A$1:$I$89,3,0)*0.475*44/12</f>
        <v>0.80001273750099888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5.3416132638899407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114.4650227251685</v>
      </c>
      <c r="T136" s="59">
        <f t="shared" si="142"/>
        <v>386.57315604590599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5.0400307580388084</v>
      </c>
      <c r="AA136" s="21">
        <f>EXP(-LN(2)/25)*AA135+(1-EXP(-LN(2)/25))/(LN(2)/25)*Calculateur!V136*Calculateur!X136*VLOOKUP('Données projet'!$B$9,Paramètres!$A$1:$I$89,3,0)*0.475*44/12</f>
        <v>0.88080711514639165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5.9208378731852003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114.4650227251685</v>
      </c>
      <c r="AO136" s="59">
        <f t="shared" si="144"/>
        <v>386.57315604590599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5.0400307580388084</v>
      </c>
      <c r="AV136" s="21">
        <f>EXP(-LN(2)/25)*AV135+(1-EXP(-LN(2)/25))/(LN(2)/25)*Calculateur!AQ136*Calculateur!AS136*VLOOKUP('Données projet'!$B$10,Paramètres!$A$1:$I$89,3,0)*0.475*44/12</f>
        <v>0.88080711514639165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5.9208378731852003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68.944412338382023</v>
      </c>
      <c r="BJ136" s="59">
        <f t="shared" si="146"/>
        <v>281.00389700159246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3.5540642427507696</v>
      </c>
      <c r="BQ136" s="21">
        <f>EXP(-LN(2)/25)*BQ135+(1-EXP(-LN(2)/25))/(LN(2)/25)*Calculateur!BL136*Calculateur!BN136*VLOOKUP('Données projet'!$B$11,Paramètres!$A$1:$I$89,3,0)*0.475*44/12</f>
        <v>0.62111626356827732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4.1751805063190472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>
        <f>BY136*VLOOKUP('Données projet'!$B$12,Paramètres!$A$1:$I$89,3,0)*VLOOKUP('Données projet'!$B$12,Paramètres!$A$1:$I$89,5,0)</f>
        <v>0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120.26681323682763</v>
      </c>
      <c r="CE136" s="59">
        <f t="shared" si="148"/>
        <v>344.92933166159389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4.4525425101692511</v>
      </c>
      <c r="CL136" s="21">
        <f>EXP(-LN(2)/25)*CL135+(1-EXP(-LN(2)/25))/(LN(2)/25)*Calculateur!CG136*Calculateur!CI136*VLOOKUP('Données projet'!$B$12,Paramètres!$A$1:$I$89,3,0)*0.475*44/12</f>
        <v>0.77813634712319268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5.2306788572924434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>
        <f>CT136*VLOOKUP('Données projet'!$B$13,Paramètres!$A$1:$I$89,3,0)*VLOOKUP('Données projet'!$B$13,Paramètres!$A$1:$I$89,5,0)</f>
        <v>0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120.26681323682763</v>
      </c>
      <c r="CZ136" s="59">
        <f t="shared" si="150"/>
        <v>344.92933166159389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4.4525425101692511</v>
      </c>
      <c r="DG136" s="21">
        <f>EXP(-LN(2)/25)*DG135+(1-EXP(-LN(2)/25))/(LN(2)/25)*Calculateur!DB136*Calculateur!DD136*VLOOKUP('Données projet'!$B$13,Paramètres!$A$1:$I$89,3,0)*0.475*44/12</f>
        <v>0.77813634712319268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5.2306788572924434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114.4650227251685</v>
      </c>
      <c r="T137" s="59">
        <f t="shared" si="142"/>
        <v>386.57315604590599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4.9411988289888864</v>
      </c>
      <c r="AA137" s="21">
        <f>EXP(-LN(2)/25)*AA136+(1-EXP(-LN(2)/25))/(LN(2)/25)*Calculateur!V137*Calculateur!X137*VLOOKUP('Données projet'!$B$9,Paramètres!$A$1:$I$89,3,0)*0.475*44/12</f>
        <v>0.85672139826308047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5.797920227251967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114.4650227251685</v>
      </c>
      <c r="AO137" s="59">
        <f t="shared" si="144"/>
        <v>386.57315604590599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4.9411988289888864</v>
      </c>
      <c r="AV137" s="21">
        <f>EXP(-LN(2)/25)*AV136+(1-EXP(-LN(2)/25))/(LN(2)/25)*Calculateur!AQ137*Calculateur!AS137*VLOOKUP('Données projet'!$B$10,Paramètres!$A$1:$I$89,3,0)*0.475*44/12</f>
        <v>0.85672139826308047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5.797920227251967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68.944412338382023</v>
      </c>
      <c r="BJ137" s="59">
        <f t="shared" si="146"/>
        <v>281.00389700159246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3.4843712107155662</v>
      </c>
      <c r="BQ137" s="21">
        <f>EXP(-LN(2)/25)*BQ136+(1-EXP(-LN(2)/25))/(LN(2)/25)*Calculateur!BL137*Calculateur!BN137*VLOOKUP('Données projet'!$B$11,Paramètres!$A$1:$I$89,3,0)*0.475*44/12</f>
        <v>0.6041318066779181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4.0885030173934842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>
        <f>BY137*VLOOKUP('Données projet'!$B$12,Paramètres!$A$1:$I$89,3,0)*VLOOKUP('Données projet'!$B$12,Paramètres!$A$1:$I$89,5,0)</f>
        <v>0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120.26681323682763</v>
      </c>
      <c r="CE137" s="59">
        <f t="shared" si="148"/>
        <v>344.92933166159389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4.3652308673276021</v>
      </c>
      <c r="CL137" s="21">
        <f>EXP(-LN(2)/25)*CL136+(1-EXP(-LN(2)/25))/(LN(2)/25)*Calculateur!CG137*Calculateur!CI137*VLOOKUP('Données projet'!$B$12,Paramètres!$A$1:$I$89,3,0)*0.475*44/12</f>
        <v>0.75685816779069692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5.1220890351182993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>
        <f>CT137*VLOOKUP('Données projet'!$B$13,Paramètres!$A$1:$I$89,3,0)*VLOOKUP('Données projet'!$B$13,Paramètres!$A$1:$I$89,5,0)</f>
        <v>0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120.26681323682763</v>
      </c>
      <c r="CZ137" s="59">
        <f t="shared" si="150"/>
        <v>344.92933166159389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4.3652308673276021</v>
      </c>
      <c r="DG137" s="21">
        <f>EXP(-LN(2)/25)*DG136+(1-EXP(-LN(2)/25))/(LN(2)/25)*Calculateur!DB137*Calculateur!DD137*VLOOKUP('Données projet'!$B$13,Paramètres!$A$1:$I$89,3,0)*0.475*44/12</f>
        <v>0.75685816779069692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5.1220890351182993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114.4650227251685</v>
      </c>
      <c r="T138" s="59">
        <f t="shared" si="142"/>
        <v>386.57315604590599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4.844304933786109</v>
      </c>
      <c r="AA138" s="21">
        <f>EXP(-LN(2)/25)*AA137+(1-EXP(-LN(2)/25))/(LN(2)/25)*Calculateur!V138*Calculateur!X138*VLOOKUP('Données projet'!$B$9,Paramètres!$A$1:$I$89,3,0)*0.475*44/12</f>
        <v>0.83329430657455628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5.6775992403606654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114.4650227251685</v>
      </c>
      <c r="AO138" s="59">
        <f t="shared" si="144"/>
        <v>386.57315604590599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4.844304933786109</v>
      </c>
      <c r="AV138" s="21">
        <f>EXP(-LN(2)/25)*AV137+(1-EXP(-LN(2)/25))/(LN(2)/25)*Calculateur!AQ138*Calculateur!AS138*VLOOKUP('Données projet'!$B$10,Paramètres!$A$1:$I$89,3,0)*0.475*44/12</f>
        <v>0.83329430657455628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5.6775992403606654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68.944412338382023</v>
      </c>
      <c r="BJ138" s="59">
        <f t="shared" si="146"/>
        <v>281.00389700159246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3.4160448165300208</v>
      </c>
      <c r="BQ138" s="21">
        <f>EXP(-LN(2)/25)*BQ137+(1-EXP(-LN(2)/25))/(LN(2)/25)*Calculateur!BL138*Calculateur!BN138*VLOOKUP('Données projet'!$B$11,Paramètres!$A$1:$I$89,3,0)*0.475*44/12</f>
        <v>0.5876117906543995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4.0036566071844204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>
        <f>BY138*VLOOKUP('Données projet'!$B$12,Paramètres!$A$1:$I$89,3,0)*VLOOKUP('Données projet'!$B$12,Paramètres!$A$1:$I$89,5,0)</f>
        <v>0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120.26681323682763</v>
      </c>
      <c r="CE138" s="59">
        <f t="shared" si="148"/>
        <v>344.92933166159389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4.2796313525472343</v>
      </c>
      <c r="CL138" s="21">
        <f>EXP(-LN(2)/25)*CL137+(1-EXP(-LN(2)/25))/(LN(2)/25)*Calculateur!CG138*Calculateur!CI138*VLOOKUP('Données projet'!$B$12,Paramètres!$A$1:$I$89,3,0)*0.475*44/12</f>
        <v>0.73616184139101914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5.0157931939382534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>
        <f>CT138*VLOOKUP('Données projet'!$B$13,Paramètres!$A$1:$I$89,3,0)*VLOOKUP('Données projet'!$B$13,Paramètres!$A$1:$I$89,5,0)</f>
        <v>0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120.26681323682763</v>
      </c>
      <c r="CZ138" s="59">
        <f t="shared" si="150"/>
        <v>344.92933166159389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4.2796313525472343</v>
      </c>
      <c r="DG138" s="21">
        <f>EXP(-LN(2)/25)*DG137+(1-EXP(-LN(2)/25))/(LN(2)/25)*Calculateur!DB138*Calculateur!DD138*VLOOKUP('Données projet'!$B$13,Paramètres!$A$1:$I$89,3,0)*0.475*44/12</f>
        <v>0.73616184139101914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5.0157931939382534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114.4650227251685</v>
      </c>
      <c r="T139" s="59">
        <f t="shared" si="142"/>
        <v>386.57315604590599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4.7493110687688169</v>
      </c>
      <c r="AA139" s="21">
        <f>EXP(-LN(2)/25)*AA138+(1-EXP(-LN(2)/25))/(LN(2)/25)*Calculateur!V139*Calculateur!X139*VLOOKUP('Données projet'!$B$9,Paramètres!$A$1:$I$89,3,0)*0.475*44/12</f>
        <v>0.81050782994023196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5.5598188987090484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114.4650227251685</v>
      </c>
      <c r="AO139" s="59">
        <f t="shared" si="144"/>
        <v>386.57315604590599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4.7493110687688169</v>
      </c>
      <c r="AV139" s="21">
        <f>EXP(-LN(2)/25)*AV138+(1-EXP(-LN(2)/25))/(LN(2)/25)*Calculateur!AQ139*Calculateur!AS139*VLOOKUP('Données projet'!$B$10,Paramètres!$A$1:$I$89,3,0)*0.475*44/12</f>
        <v>0.81050782994023196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5.5598188987090484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68.944412338382023</v>
      </c>
      <c r="BJ139" s="59">
        <f t="shared" si="146"/>
        <v>281.00389700159246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3.3490582612594686</v>
      </c>
      <c r="BQ139" s="21">
        <f>EXP(-LN(2)/25)*BQ138+(1-EXP(-LN(2)/25))/(LN(2)/25)*Calculateur!BL139*Calculateur!BN139*VLOOKUP('Données projet'!$B$11,Paramètres!$A$1:$I$89,3,0)*0.475*44/12</f>
        <v>0.57154351533779391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3.9206017765972625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>
        <f>BY139*VLOOKUP('Données projet'!$B$12,Paramètres!$A$1:$I$89,3,0)*VLOOKUP('Données projet'!$B$12,Paramètres!$A$1:$I$89,5,0)</f>
        <v>0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120.26681323682763</v>
      </c>
      <c r="CE139" s="59">
        <f t="shared" si="148"/>
        <v>344.92933166159389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4.1957103920411605</v>
      </c>
      <c r="CL139" s="21">
        <f>EXP(-LN(2)/25)*CL138+(1-EXP(-LN(2)/25))/(LN(2)/25)*Calculateur!CG139*Calculateur!CI139*VLOOKUP('Données projet'!$B$12,Paramètres!$A$1:$I$89,3,0)*0.475*44/12</f>
        <v>0.71603145712511296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4.9117418491662734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>
        <f>CT139*VLOOKUP('Données projet'!$B$13,Paramètres!$A$1:$I$89,3,0)*VLOOKUP('Données projet'!$B$13,Paramètres!$A$1:$I$89,5,0)</f>
        <v>0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120.26681323682763</v>
      </c>
      <c r="CZ139" s="59">
        <f t="shared" si="150"/>
        <v>344.92933166159389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4.1957103920411605</v>
      </c>
      <c r="DG139" s="21">
        <f>EXP(-LN(2)/25)*DG138+(1-EXP(-LN(2)/25))/(LN(2)/25)*Calculateur!DB139*Calculateur!DD139*VLOOKUP('Données projet'!$B$13,Paramètres!$A$1:$I$89,3,0)*0.475*44/12</f>
        <v>0.71603145712511296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4.9117418491662734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114.4650227251685</v>
      </c>
      <c r="T140" s="59">
        <f t="shared" si="142"/>
        <v>386.57315604590599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4.6561799755039779</v>
      </c>
      <c r="AA140" s="21">
        <f>EXP(-LN(2)/25)*AA139+(1-EXP(-LN(2)/25))/(LN(2)/25)*Calculateur!V140*Calculateur!X140*VLOOKUP('Données projet'!$B$9,Paramètres!$A$1:$I$89,3,0)*0.475*44/12</f>
        <v>0.78834445070776193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5.44452442621174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114.4650227251685</v>
      </c>
      <c r="AO140" s="59">
        <f t="shared" si="144"/>
        <v>386.57315604590599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4.6561799755039779</v>
      </c>
      <c r="AV140" s="21">
        <f>EXP(-LN(2)/25)*AV139+(1-EXP(-LN(2)/25))/(LN(2)/25)*Calculateur!AQ140*Calculateur!AS140*VLOOKUP('Données projet'!$B$10,Paramètres!$A$1:$I$89,3,0)*0.475*44/12</f>
        <v>0.78834445070776193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5.44452442621174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68.944412338382023</v>
      </c>
      <c r="BJ140" s="59">
        <f t="shared" si="146"/>
        <v>281.00389700159246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3.2833852714800074</v>
      </c>
      <c r="BQ140" s="21">
        <f>EXP(-LN(2)/25)*BQ139+(1-EXP(-LN(2)/25))/(LN(2)/25)*Calculateur!BL140*Calculateur!BN140*VLOOKUP('Données projet'!$B$11,Paramètres!$A$1:$I$89,3,0)*0.475*44/12</f>
        <v>0.55591462785471479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3.8392998993347223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>
        <f>BY140*VLOOKUP('Données projet'!$B$12,Paramètres!$A$1:$I$89,3,0)*VLOOKUP('Données projet'!$B$12,Paramètres!$A$1:$I$89,5,0)</f>
        <v>0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120.26681323682763</v>
      </c>
      <c r="CE140" s="59">
        <f t="shared" si="148"/>
        <v>344.92933166159389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4.1134350703838791</v>
      </c>
      <c r="CL140" s="21">
        <f>EXP(-LN(2)/25)*CL139+(1-EXP(-LN(2)/25))/(LN(2)/25)*Calculateur!CG140*Calculateur!CI140*VLOOKUP('Données projet'!$B$12,Paramètres!$A$1:$I$89,3,0)*0.475*44/12</f>
        <v>0.69645153927556891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4.8098866096594479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>
        <f>CT140*VLOOKUP('Données projet'!$B$13,Paramètres!$A$1:$I$89,3,0)*VLOOKUP('Données projet'!$B$13,Paramètres!$A$1:$I$89,5,0)</f>
        <v>0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120.26681323682763</v>
      </c>
      <c r="CZ140" s="59">
        <f t="shared" si="150"/>
        <v>344.92933166159389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4.1134350703838791</v>
      </c>
      <c r="DG140" s="21">
        <f>EXP(-LN(2)/25)*DG139+(1-EXP(-LN(2)/25))/(LN(2)/25)*Calculateur!DB140*Calculateur!DD140*VLOOKUP('Données projet'!$B$13,Paramètres!$A$1:$I$89,3,0)*0.475*44/12</f>
        <v>0.69645153927556891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4.8098866096594479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114.4650227251685</v>
      </c>
      <c r="T141" s="59">
        <f t="shared" si="142"/>
        <v>386.57315604590599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4.5648751261737042</v>
      </c>
      <c r="AA141" s="21">
        <f>EXP(-LN(2)/25)*AA140+(1-EXP(-LN(2)/25))/(LN(2)/25)*Calculateur!V141*Calculateur!X141*VLOOKUP('Données projet'!$B$9,Paramètres!$A$1:$I$89,3,0)*0.475*44/12</f>
        <v>0.76678713024592526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5.3316622564196292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114.4650227251685</v>
      </c>
      <c r="AO141" s="59">
        <f t="shared" si="144"/>
        <v>386.57315604590599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4.5648751261737042</v>
      </c>
      <c r="AV141" s="21">
        <f>EXP(-LN(2)/25)*AV140+(1-EXP(-LN(2)/25))/(LN(2)/25)*Calculateur!AQ141*Calculateur!AS141*VLOOKUP('Données projet'!$B$10,Paramètres!$A$1:$I$89,3,0)*0.475*44/12</f>
        <v>0.76678713024592526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5.3316622564196292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68.944412338382023</v>
      </c>
      <c r="BJ141" s="59">
        <f t="shared" si="146"/>
        <v>281.00389700159246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3.2190000889735528</v>
      </c>
      <c r="BQ141" s="21">
        <f>EXP(-LN(2)/25)*BQ140+(1-EXP(-LN(2)/25))/(LN(2)/25)*Calculateur!BL141*Calculateur!BN141*VLOOKUP('Données projet'!$B$11,Paramètres!$A$1:$I$89,3,0)*0.475*44/12</f>
        <v>0.54071311312174786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3.7597132020953006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>
        <f>BY141*VLOOKUP('Données projet'!$B$12,Paramètres!$A$1:$I$89,3,0)*VLOOKUP('Données projet'!$B$12,Paramètres!$A$1:$I$89,5,0)</f>
        <v>0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120.26681323682763</v>
      </c>
      <c r="CE141" s="59">
        <f t="shared" si="148"/>
        <v>344.92933166159389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4.0327731176013062</v>
      </c>
      <c r="CL141" s="21">
        <f>EXP(-LN(2)/25)*CL140+(1-EXP(-LN(2)/25))/(LN(2)/25)*Calculateur!CG141*Calculateur!CI141*VLOOKUP('Données projet'!$B$12,Paramètres!$A$1:$I$89,3,0)*0.475*44/12</f>
        <v>0.67740703530928381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4.7101801529105902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>
        <f>CT141*VLOOKUP('Données projet'!$B$13,Paramètres!$A$1:$I$89,3,0)*VLOOKUP('Données projet'!$B$13,Paramètres!$A$1:$I$89,5,0)</f>
        <v>0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120.26681323682763</v>
      </c>
      <c r="CZ141" s="59">
        <f t="shared" si="150"/>
        <v>344.92933166159389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4.0327731176013062</v>
      </c>
      <c r="DG141" s="21">
        <f>EXP(-LN(2)/25)*DG140+(1-EXP(-LN(2)/25))/(LN(2)/25)*Calculateur!DB141*Calculateur!DD141*VLOOKUP('Données projet'!$B$13,Paramètres!$A$1:$I$89,3,0)*0.475*44/12</f>
        <v>0.67740703530928381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4.7101801529105902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114.4650227251685</v>
      </c>
      <c r="T142" s="59">
        <f t="shared" si="142"/>
        <v>386.57315604590599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4.4753607092483385</v>
      </c>
      <c r="AA142" s="21">
        <f>EXP(-LN(2)/25)*AA141+(1-EXP(-LN(2)/25))/(LN(2)/25)*Calculateur!V142*Calculateur!X142*VLOOKUP('Données projet'!$B$9,Paramètres!$A$1:$I$89,3,0)*0.475*44/12</f>
        <v>0.74581929584576778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5.221180005094106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114.4650227251685</v>
      </c>
      <c r="AO142" s="59">
        <f t="shared" si="144"/>
        <v>386.57315604590599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4.4753607092483385</v>
      </c>
      <c r="AV142" s="21">
        <f>EXP(-LN(2)/25)*AV141+(1-EXP(-LN(2)/25))/(LN(2)/25)*Calculateur!AQ142*Calculateur!AS142*VLOOKUP('Données projet'!$B$10,Paramètres!$A$1:$I$89,3,0)*0.475*44/12</f>
        <v>0.74581929584576778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5.221180005094106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68.944412338382023</v>
      </c>
      <c r="BJ142" s="59">
        <f t="shared" si="146"/>
        <v>281.00389700159246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3.1558774606249664</v>
      </c>
      <c r="BQ142" s="21">
        <f>EXP(-LN(2)/25)*BQ141+(1-EXP(-LN(2)/25))/(LN(2)/25)*Calculateur!BL142*Calculateur!BN142*VLOOKUP('Données projet'!$B$11,Paramètres!$A$1:$I$89,3,0)*0.475*44/12</f>
        <v>0.52592728460856686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3.6818047452335332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>
        <f>BY142*VLOOKUP('Données projet'!$B$12,Paramètres!$A$1:$I$89,3,0)*VLOOKUP('Données projet'!$B$12,Paramètres!$A$1:$I$89,5,0)</f>
        <v>0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120.26681323682763</v>
      </c>
      <c r="CE142" s="59">
        <f t="shared" si="148"/>
        <v>344.92933166159389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3.9536928965138665</v>
      </c>
      <c r="CL142" s="21">
        <f>EXP(-LN(2)/25)*CL141+(1-EXP(-LN(2)/25))/(LN(2)/25)*Calculateur!CG142*Calculateur!CI142*VLOOKUP('Données projet'!$B$12,Paramètres!$A$1:$I$89,3,0)*0.475*44/12</f>
        <v>0.65888330430546371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4.6125762008193298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>
        <f>CT142*VLOOKUP('Données projet'!$B$13,Paramètres!$A$1:$I$89,3,0)*VLOOKUP('Données projet'!$B$13,Paramètres!$A$1:$I$89,5,0)</f>
        <v>0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120.26681323682763</v>
      </c>
      <c r="CZ142" s="59">
        <f t="shared" si="150"/>
        <v>344.92933166159389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3.9536928965138665</v>
      </c>
      <c r="DG142" s="21">
        <f>EXP(-LN(2)/25)*DG141+(1-EXP(-LN(2)/25))/(LN(2)/25)*Calculateur!DB142*Calculateur!DD142*VLOOKUP('Données projet'!$B$13,Paramètres!$A$1:$I$89,3,0)*0.475*44/12</f>
        <v>0.65888330430546371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4.6125762008193298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114.4650227251685</v>
      </c>
      <c r="T143" s="59">
        <f t="shared" si="142"/>
        <v>386.57315604590599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4.3876016154404756</v>
      </c>
      <c r="AA143" s="21">
        <f>EXP(-LN(2)/25)*AA142+(1-EXP(-LN(2)/25))/(LN(2)/25)*Calculateur!V143*Calculateur!X143*VLOOKUP('Données projet'!$B$9,Paramètres!$A$1:$I$89,3,0)*0.475*44/12</f>
        <v>0.72542482797993313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5.1130264434204085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114.4650227251685</v>
      </c>
      <c r="AO143" s="59">
        <f t="shared" si="144"/>
        <v>386.57315604590599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4.3876016154404756</v>
      </c>
      <c r="AV143" s="21">
        <f>EXP(-LN(2)/25)*AV142+(1-EXP(-LN(2)/25))/(LN(2)/25)*Calculateur!AQ143*Calculateur!AS143*VLOOKUP('Données projet'!$B$10,Paramètres!$A$1:$I$89,3,0)*0.475*44/12</f>
        <v>0.72542482797993313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5.1130264434204085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68.944412338382023</v>
      </c>
      <c r="BJ143" s="59">
        <f t="shared" si="146"/>
        <v>281.00389700159246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3.0939926285172943</v>
      </c>
      <c r="BQ143" s="21">
        <f>EXP(-LN(2)/25)*BQ142+(1-EXP(-LN(2)/25))/(LN(2)/25)*Calculateur!BL143*Calculateur!BN143*VLOOKUP('Données projet'!$B$11,Paramètres!$A$1:$I$89,3,0)*0.475*44/12</f>
        <v>0.51154577535363177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3.6055384038709262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>
        <f>BY143*VLOOKUP('Données projet'!$B$12,Paramètres!$A$1:$I$89,3,0)*VLOOKUP('Données projet'!$B$12,Paramètres!$A$1:$I$89,5,0)</f>
        <v>0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120.26681323682763</v>
      </c>
      <c r="CE143" s="59">
        <f t="shared" si="148"/>
        <v>344.92933166159389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3.876163390327779</v>
      </c>
      <c r="CL143" s="21">
        <f>EXP(-LN(2)/25)*CL142+(1-EXP(-LN(2)/25))/(LN(2)/25)*Calculateur!CG143*Calculateur!CI143*VLOOKUP('Données projet'!$B$12,Paramètres!$A$1:$I$89,3,0)*0.475*44/12</f>
        <v>0.64086610570006375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4.5170294960278428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>
        <f>CT143*VLOOKUP('Données projet'!$B$13,Paramètres!$A$1:$I$89,3,0)*VLOOKUP('Données projet'!$B$13,Paramètres!$A$1:$I$89,5,0)</f>
        <v>0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120.26681323682763</v>
      </c>
      <c r="CZ143" s="59">
        <f t="shared" si="150"/>
        <v>344.92933166159389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3.876163390327779</v>
      </c>
      <c r="DG143" s="21">
        <f>EXP(-LN(2)/25)*DG142+(1-EXP(-LN(2)/25))/(LN(2)/25)*Calculateur!DB143*Calculateur!DD143*VLOOKUP('Données projet'!$B$13,Paramètres!$A$1:$I$89,3,0)*0.475*44/12</f>
        <v>0.64086610570006375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4.5170294960278428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114.4650227251685</v>
      </c>
      <c r="T144" s="59">
        <f t="shared" si="142"/>
        <v>386.57315604590599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4.3015634239344234</v>
      </c>
      <c r="AA144" s="21">
        <f>EXP(-LN(2)/25)*AA143+(1-EXP(-LN(2)/25))/(LN(2)/25)*Calculateur!V144*Calculateur!X144*VLOOKUP('Données projet'!$B$9,Paramètres!$A$1:$I$89,3,0)*0.475*44/12</f>
        <v>0.70558804791038809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5.0071514718448116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114.4650227251685</v>
      </c>
      <c r="AO144" s="59">
        <f t="shared" si="144"/>
        <v>386.57315604590599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4.3015634239344234</v>
      </c>
      <c r="AV144" s="21">
        <f>EXP(-LN(2)/25)*AV143+(1-EXP(-LN(2)/25))/(LN(2)/25)*Calculateur!AQ144*Calculateur!AS144*VLOOKUP('Données projet'!$B$10,Paramètres!$A$1:$I$89,3,0)*0.475*44/12</f>
        <v>0.70558804791038809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5.0071514718448116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68.944412338382023</v>
      </c>
      <c r="BJ144" s="59">
        <f t="shared" si="146"/>
        <v>281.00389700159246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3.033321320221233</v>
      </c>
      <c r="BQ144" s="21">
        <f>EXP(-LN(2)/25)*BQ143+(1-EXP(-LN(2)/25))/(LN(2)/25)*Calculateur!BL144*Calculateur!BN144*VLOOKUP('Données projet'!$B$11,Paramètres!$A$1:$I$89,3,0)*0.475*44/12</f>
        <v>0.49755752922556351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3.5308788494467964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>
        <f>BY144*VLOOKUP('Données projet'!$B$12,Paramètres!$A$1:$I$89,3,0)*VLOOKUP('Données projet'!$B$12,Paramètres!$A$1:$I$89,5,0)</f>
        <v>0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120.26681323682763</v>
      </c>
      <c r="CE144" s="59">
        <f t="shared" si="148"/>
        <v>344.92933166159389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3.8001541904696716</v>
      </c>
      <c r="CL144" s="21">
        <f>EXP(-LN(2)/25)*CL143+(1-EXP(-LN(2)/25))/(LN(2)/25)*Calculateur!CG144*Calculateur!CI144*VLOOKUP('Données projet'!$B$12,Paramètres!$A$1:$I$89,3,0)*0.475*44/12</f>
        <v>0.62334158833801168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4.4234957788076832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>
        <f>CT144*VLOOKUP('Données projet'!$B$13,Paramètres!$A$1:$I$89,3,0)*VLOOKUP('Données projet'!$B$13,Paramètres!$A$1:$I$89,5,0)</f>
        <v>0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120.26681323682763</v>
      </c>
      <c r="CZ144" s="59">
        <f t="shared" si="150"/>
        <v>344.92933166159389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3.8001541904696716</v>
      </c>
      <c r="DG144" s="21">
        <f>EXP(-LN(2)/25)*DG143+(1-EXP(-LN(2)/25))/(LN(2)/25)*Calculateur!DB144*Calculateur!DD144*VLOOKUP('Données projet'!$B$13,Paramètres!$A$1:$I$89,3,0)*0.475*44/12</f>
        <v>0.62334158833801168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4.4234957788076832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114.4650227251685</v>
      </c>
      <c r="T145" s="59">
        <f t="shared" si="142"/>
        <v>386.57315604590599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4.2172123888856898</v>
      </c>
      <c r="AA145" s="21">
        <f>EXP(-LN(2)/25)*AA144+(1-EXP(-LN(2)/25))/(LN(2)/25)*Calculateur!V145*Calculateur!X145*VLOOKUP('Données projet'!$B$9,Paramètres!$A$1:$I$89,3,0)*0.475*44/12</f>
        <v>0.68629370563501568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4.9035060945207052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114.4650227251685</v>
      </c>
      <c r="AO145" s="59">
        <f t="shared" si="144"/>
        <v>386.57315604590599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4.2172123888856898</v>
      </c>
      <c r="AV145" s="21">
        <f>EXP(-LN(2)/25)*AV144+(1-EXP(-LN(2)/25))/(LN(2)/25)*Calculateur!AQ145*Calculateur!AS145*VLOOKUP('Données projet'!$B$10,Paramètres!$A$1:$I$89,3,0)*0.475*44/12</f>
        <v>0.68629370563501568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4.9035060945207052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68.944412338382023</v>
      </c>
      <c r="BJ145" s="59">
        <f t="shared" si="146"/>
        <v>281.00389700159246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2.9738397392750135</v>
      </c>
      <c r="BQ145" s="21">
        <f>EXP(-LN(2)/25)*BQ144+(1-EXP(-LN(2)/25))/(LN(2)/25)*Calculateur!BL145*Calculateur!BN145*VLOOKUP('Données projet'!$B$11,Paramètres!$A$1:$I$89,3,0)*0.475*44/12</f>
        <v>0.48395179242347719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3.4577915316984909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>
        <f>BY145*VLOOKUP('Données projet'!$B$12,Paramètres!$A$1:$I$89,3,0)*VLOOKUP('Données projet'!$B$12,Paramètres!$A$1:$I$89,5,0)</f>
        <v>0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120.26681323682763</v>
      </c>
      <c r="CE145" s="59">
        <f t="shared" si="148"/>
        <v>344.92933166159389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3.7256354846597475</v>
      </c>
      <c r="CL145" s="21">
        <f>EXP(-LN(2)/25)*CL144+(1-EXP(-LN(2)/25))/(LN(2)/25)*Calculateur!CG145*Calculateur!CI145*VLOOKUP('Données projet'!$B$12,Paramètres!$A$1:$I$89,3,0)*0.475*44/12</f>
        <v>0.60629627982479928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4.3319317644845468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>
        <f>CT145*VLOOKUP('Données projet'!$B$13,Paramètres!$A$1:$I$89,3,0)*VLOOKUP('Données projet'!$B$13,Paramètres!$A$1:$I$89,5,0)</f>
        <v>0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120.26681323682763</v>
      </c>
      <c r="CZ145" s="59">
        <f t="shared" si="150"/>
        <v>344.92933166159389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3.7256354846597475</v>
      </c>
      <c r="DG145" s="21">
        <f>EXP(-LN(2)/25)*DG144+(1-EXP(-LN(2)/25))/(LN(2)/25)*Calculateur!DB145*Calculateur!DD145*VLOOKUP('Données projet'!$B$13,Paramètres!$A$1:$I$89,3,0)*0.475*44/12</f>
        <v>0.60629627982479928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4.3319317644845468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114.4650227251685</v>
      </c>
      <c r="T146" s="59">
        <f t="shared" si="142"/>
        <v>386.57315604590599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4.1345154261852102</v>
      </c>
      <c r="AA146" s="21">
        <f>EXP(-LN(2)/25)*AA145+(1-EXP(-LN(2)/25))/(LN(2)/25)*Calculateur!V146*Calculateur!X146*VLOOKUP('Données projet'!$B$9,Paramètres!$A$1:$I$89,3,0)*0.475*44/12</f>
        <v>0.66752696816380874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4.8020423943490194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114.4650227251685</v>
      </c>
      <c r="AO146" s="59">
        <f t="shared" si="144"/>
        <v>386.57315604590599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4.1345154261852102</v>
      </c>
      <c r="AV146" s="21">
        <f>EXP(-LN(2)/25)*AV145+(1-EXP(-LN(2)/25))/(LN(2)/25)*Calculateur!AQ146*Calculateur!AS146*VLOOKUP('Données projet'!$B$10,Paramètres!$A$1:$I$89,3,0)*0.475*44/12</f>
        <v>0.66752696816380874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4.8020423943490194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68.944412338382023</v>
      </c>
      <c r="BJ146" s="59">
        <f t="shared" si="146"/>
        <v>281.00389700159246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2.9155245558509675</v>
      </c>
      <c r="BQ146" s="21">
        <f>EXP(-LN(2)/25)*BQ145+(1-EXP(-LN(2)/25))/(LN(2)/25)*Calculateur!BL146*Calculateur!BN146*VLOOKUP('Données projet'!$B$11,Paramètres!$A$1:$I$89,3,0)*0.475*44/12</f>
        <v>0.4707181052097385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3.3862426610607059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>
        <f>BY146*VLOOKUP('Données projet'!$B$12,Paramètres!$A$1:$I$89,3,0)*VLOOKUP('Données projet'!$B$12,Paramètres!$A$1:$I$89,5,0)</f>
        <v>0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120.26681323682763</v>
      </c>
      <c r="CE146" s="59">
        <f t="shared" si="148"/>
        <v>344.92933166159389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3.6525780452188332</v>
      </c>
      <c r="CL146" s="21">
        <f>EXP(-LN(2)/25)*CL145+(1-EXP(-LN(2)/25))/(LN(2)/25)*Calculateur!CG146*Calculateur!CI146*VLOOKUP('Données projet'!$B$12,Paramètres!$A$1:$I$89,3,0)*0.475*44/12</f>
        <v>0.58971707616925451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4.2422951213880875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>
        <f>CT146*VLOOKUP('Données projet'!$B$13,Paramètres!$A$1:$I$89,3,0)*VLOOKUP('Données projet'!$B$13,Paramètres!$A$1:$I$89,5,0)</f>
        <v>0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120.26681323682763</v>
      </c>
      <c r="CZ146" s="59">
        <f t="shared" si="150"/>
        <v>344.92933166159389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3.6525780452188332</v>
      </c>
      <c r="DG146" s="21">
        <f>EXP(-LN(2)/25)*DG145+(1-EXP(-LN(2)/25))/(LN(2)/25)*Calculateur!DB146*Calculateur!DD146*VLOOKUP('Données projet'!$B$13,Paramètres!$A$1:$I$89,3,0)*0.475*44/12</f>
        <v>0.58971707616925451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4.2422951213880875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114.4650227251685</v>
      </c>
      <c r="T147" s="59">
        <f t="shared" si="142"/>
        <v>386.57315604590599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4.0534401004831206</v>
      </c>
      <c r="AA147" s="21">
        <f>EXP(-LN(2)/25)*AA146+(1-EXP(-LN(2)/25))/(LN(2)/25)*Calculateur!V147*Calculateur!X147*VLOOKUP('Données projet'!$B$9,Paramètres!$A$1:$I$89,3,0)*0.475*44/12</f>
        <v>0.64927340811565182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4.7027135085987721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114.4650227251685</v>
      </c>
      <c r="AO147" s="59">
        <f t="shared" si="144"/>
        <v>386.57315604590599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4.0534401004831206</v>
      </c>
      <c r="AV147" s="21">
        <f>EXP(-LN(2)/25)*AV146+(1-EXP(-LN(2)/25))/(LN(2)/25)*Calculateur!AQ147*Calculateur!AS147*VLOOKUP('Données projet'!$B$10,Paramètres!$A$1:$I$89,3,0)*0.475*44/12</f>
        <v>0.64927340811565182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4.7027135085987721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68.944412338382023</v>
      </c>
      <c r="BJ147" s="59">
        <f t="shared" si="146"/>
        <v>281.00389700159246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2.8583528976051169</v>
      </c>
      <c r="BQ147" s="21">
        <f>EXP(-LN(2)/25)*BQ146+(1-EXP(-LN(2)/25))/(LN(2)/25)*Calculateur!BL147*Calculateur!BN147*VLOOKUP('Données projet'!$B$11,Paramètres!$A$1:$I$89,3,0)*0.475*44/12</f>
        <v>0.45784629386878889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3.3161991914739057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>
        <f>BY147*VLOOKUP('Données projet'!$B$12,Paramètres!$A$1:$I$89,3,0)*VLOOKUP('Données projet'!$B$12,Paramètres!$A$1:$I$89,5,0)</f>
        <v>0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120.26681323682763</v>
      </c>
      <c r="CE147" s="59">
        <f t="shared" si="148"/>
        <v>344.92933166159389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3.5809532176047174</v>
      </c>
      <c r="CL147" s="21">
        <f>EXP(-LN(2)/25)*CL146+(1-EXP(-LN(2)/25))/(LN(2)/25)*Calculateur!CG147*Calculateur!CI147*VLOOKUP('Données projet'!$B$12,Paramètres!$A$1:$I$89,3,0)*0.475*44/12</f>
        <v>0.57359123170953297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4.1545444493142503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>
        <f>CT147*VLOOKUP('Données projet'!$B$13,Paramètres!$A$1:$I$89,3,0)*VLOOKUP('Données projet'!$B$13,Paramètres!$A$1:$I$89,5,0)</f>
        <v>0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120.26681323682763</v>
      </c>
      <c r="CZ147" s="59">
        <f t="shared" si="150"/>
        <v>344.92933166159389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3.5809532176047174</v>
      </c>
      <c r="DG147" s="21">
        <f>EXP(-LN(2)/25)*DG146+(1-EXP(-LN(2)/25))/(LN(2)/25)*Calculateur!DB147*Calculateur!DD147*VLOOKUP('Données projet'!$B$13,Paramètres!$A$1:$I$89,3,0)*0.475*44/12</f>
        <v>0.57359123170953297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4.1545444493142503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114.4650227251685</v>
      </c>
      <c r="T148" s="59">
        <f t="shared" si="142"/>
        <v>386.57315604590599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3.9739546124669833</v>
      </c>
      <c r="AA148" s="21">
        <f>EXP(-LN(2)/25)*AA147+(1-EXP(-LN(2)/25))/(LN(2)/25)*Calculateur!V148*Calculateur!X148*VLOOKUP('Données projet'!$B$9,Paramètres!$A$1:$I$89,3,0)*0.475*44/12</f>
        <v>0.63151899262692468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4.6054736050939082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114.4650227251685</v>
      </c>
      <c r="AO148" s="59">
        <f t="shared" si="144"/>
        <v>386.57315604590599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3.9739546124669833</v>
      </c>
      <c r="AV148" s="21">
        <f>EXP(-LN(2)/25)*AV147+(1-EXP(-LN(2)/25))/(LN(2)/25)*Calculateur!AQ148*Calculateur!AS148*VLOOKUP('Données projet'!$B$10,Paramètres!$A$1:$I$89,3,0)*0.475*44/12</f>
        <v>0.63151899262692468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4.6054736050939082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68.944412338382023</v>
      </c>
      <c r="BJ148" s="59">
        <f t="shared" si="146"/>
        <v>281.00389700159246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2.8023023407061993</v>
      </c>
      <c r="BQ148" s="21">
        <f>EXP(-LN(2)/25)*BQ147+(1-EXP(-LN(2)/25))/(LN(2)/25)*Calculateur!BL148*Calculateur!BN148*VLOOKUP('Données projet'!$B$11,Paramètres!$A$1:$I$89,3,0)*0.475*44/12</f>
        <v>0.4453264628858567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3.2476288035920562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>
        <f>BY148*VLOOKUP('Données projet'!$B$12,Paramètres!$A$1:$I$89,3,0)*VLOOKUP('Données projet'!$B$12,Paramètres!$A$1:$I$89,5,0)</f>
        <v>0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120.26681323682763</v>
      </c>
      <c r="CE148" s="59">
        <f t="shared" si="148"/>
        <v>344.92933166159389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3.5107329091732833</v>
      </c>
      <c r="CL148" s="21">
        <f>EXP(-LN(2)/25)*CL147+(1-EXP(-LN(2)/25))/(LN(2)/25)*Calculateur!CG148*Calculateur!CI148*VLOOKUP('Données projet'!$B$12,Paramètres!$A$1:$I$89,3,0)*0.475*44/12</f>
        <v>0.55790634931458383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4.0686392584878668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>
        <f>CT148*VLOOKUP('Données projet'!$B$13,Paramètres!$A$1:$I$89,3,0)*VLOOKUP('Données projet'!$B$13,Paramètres!$A$1:$I$89,5,0)</f>
        <v>0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120.26681323682763</v>
      </c>
      <c r="CZ148" s="59">
        <f t="shared" si="150"/>
        <v>344.92933166159389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3.5107329091732833</v>
      </c>
      <c r="DG148" s="21">
        <f>EXP(-LN(2)/25)*DG147+(1-EXP(-LN(2)/25))/(LN(2)/25)*Calculateur!DB148*Calculateur!DD148*VLOOKUP('Données projet'!$B$13,Paramètres!$A$1:$I$89,3,0)*0.475*44/12</f>
        <v>0.55790634931458383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4.0686392584878668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114.4650227251685</v>
      </c>
      <c r="T149" s="59">
        <f t="shared" si="142"/>
        <v>386.57315604590599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3.8960277863894817</v>
      </c>
      <c r="AA149" s="21">
        <f>EXP(-LN(2)/25)*AA148+(1-EXP(-LN(2)/25))/(LN(2)/25)*Calculateur!V149*Calculateur!X149*VLOOKUP('Données projet'!$B$9,Paramètres!$A$1:$I$89,3,0)*0.475*44/12</f>
        <v>0.61425007256340092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4.5102778589528825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114.4650227251685</v>
      </c>
      <c r="AO149" s="59">
        <f t="shared" si="144"/>
        <v>386.57315604590599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3.8960277863894817</v>
      </c>
      <c r="AV149" s="21">
        <f>EXP(-LN(2)/25)*AV148+(1-EXP(-LN(2)/25))/(LN(2)/25)*Calculateur!AQ149*Calculateur!AS149*VLOOKUP('Données projet'!$B$10,Paramètres!$A$1:$I$89,3,0)*0.475*44/12</f>
        <v>0.61425007256340092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4.5102778589528825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68.944412338382023</v>
      </c>
      <c r="BJ149" s="59">
        <f t="shared" si="146"/>
        <v>281.00389700159246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2.7473509010406056</v>
      </c>
      <c r="BQ149" s="21">
        <f>EXP(-LN(2)/25)*BQ148+(1-EXP(-LN(2)/25))/(LN(2)/25)*Calculateur!BL149*Calculateur!BN149*VLOOKUP('Données projet'!$B$11,Paramètres!$A$1:$I$89,3,0)*0.475*44/12</f>
        <v>0.43314898733954205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3.1804998883801479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>
        <f>BY149*VLOOKUP('Données projet'!$B$12,Paramètres!$A$1:$I$89,3,0)*VLOOKUP('Données projet'!$B$12,Paramètres!$A$1:$I$89,5,0)</f>
        <v>0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120.26681323682763</v>
      </c>
      <c r="CE149" s="59">
        <f t="shared" si="148"/>
        <v>344.92933166159389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3.4418895781600303</v>
      </c>
      <c r="CL149" s="21">
        <f>EXP(-LN(2)/25)*CL148+(1-EXP(-LN(2)/25))/(LN(2)/25)*Calculateur!CG149*Calculateur!CI149*VLOOKUP('Données projet'!$B$12,Paramètres!$A$1:$I$89,3,0)*0.475*44/12</f>
        <v>0.54265037085355672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3.9845399490135871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>
        <f>CT149*VLOOKUP('Données projet'!$B$13,Paramètres!$A$1:$I$89,3,0)*VLOOKUP('Données projet'!$B$13,Paramètres!$A$1:$I$89,5,0)</f>
        <v>0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120.26681323682763</v>
      </c>
      <c r="CZ149" s="59">
        <f t="shared" si="150"/>
        <v>344.92933166159389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3.4418895781600303</v>
      </c>
      <c r="DG149" s="21">
        <f>EXP(-LN(2)/25)*DG148+(1-EXP(-LN(2)/25))/(LN(2)/25)*Calculateur!DB149*Calculateur!DD149*VLOOKUP('Données projet'!$B$13,Paramètres!$A$1:$I$89,3,0)*0.475*44/12</f>
        <v>0.54265037085355672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3.9845399490135871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114.4650227251685</v>
      </c>
      <c r="T150" s="59">
        <f t="shared" si="142"/>
        <v>386.57315604590599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3.8196290578406895</v>
      </c>
      <c r="AA150" s="21">
        <f>EXP(-LN(2)/25)*AA149+(1-EXP(-LN(2)/25))/(LN(2)/25)*Calculateur!V150*Calculateur!X150*VLOOKUP('Données projet'!$B$9,Paramètres!$A$1:$I$89,3,0)*0.475*44/12</f>
        <v>0.59745337202714732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4.4170824298678371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114.4650227251685</v>
      </c>
      <c r="AO150" s="59">
        <f t="shared" si="144"/>
        <v>386.57315604590599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3.8196290578406895</v>
      </c>
      <c r="AV150" s="21">
        <f>EXP(-LN(2)/25)*AV149+(1-EXP(-LN(2)/25))/(LN(2)/25)*Calculateur!AQ150*Calculateur!AS150*VLOOKUP('Données projet'!$B$10,Paramètres!$A$1:$I$89,3,0)*0.475*44/12</f>
        <v>0.59745337202714732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4.4170824298678371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68.944412338382023</v>
      </c>
      <c r="BJ150" s="59">
        <f t="shared" si="146"/>
        <v>281.00389700159246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2.6934770255897855</v>
      </c>
      <c r="BQ150" s="21">
        <f>EXP(-LN(2)/25)*BQ149+(1-EXP(-LN(2)/25))/(LN(2)/25)*Calculateur!BL150*Calculateur!BN150*VLOOKUP('Données projet'!$B$11,Paramètres!$A$1:$I$89,3,0)*0.475*44/12</f>
        <v>0.42130450550242698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3.1147815310922127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>
        <f>BY150*VLOOKUP('Données projet'!$B$12,Paramètres!$A$1:$I$89,3,0)*VLOOKUP('Données projet'!$B$12,Paramètres!$A$1:$I$89,5,0)</f>
        <v>0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120.26681323682763</v>
      </c>
      <c r="CE150" s="59">
        <f t="shared" si="148"/>
        <v>344.92933166159389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3.3743962228776616</v>
      </c>
      <c r="CL150" s="21">
        <f>EXP(-LN(2)/25)*CL149+(1-EXP(-LN(2)/25))/(LN(2)/25)*Calculateur!CG150*Calculateur!CI150*VLOOKUP('Données projet'!$B$12,Paramètres!$A$1:$I$89,3,0)*0.475*44/12</f>
        <v>0.5278115679258234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3.9022077908034851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>
        <f>CT150*VLOOKUP('Données projet'!$B$13,Paramètres!$A$1:$I$89,3,0)*VLOOKUP('Données projet'!$B$13,Paramètres!$A$1:$I$89,5,0)</f>
        <v>0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120.26681323682763</v>
      </c>
      <c r="CZ150" s="59">
        <f t="shared" si="150"/>
        <v>344.92933166159389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3.3743962228776616</v>
      </c>
      <c r="DG150" s="21">
        <f>EXP(-LN(2)/25)*DG149+(1-EXP(-LN(2)/25))/(LN(2)/25)*Calculateur!DB150*Calculateur!DD150*VLOOKUP('Données projet'!$B$13,Paramètres!$A$1:$I$89,3,0)*0.475*44/12</f>
        <v>0.5278115679258234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3.9022077908034851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114.4650227251685</v>
      </c>
      <c r="T151" s="59">
        <f t="shared" si="142"/>
        <v>386.57315604590599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3.7447284617601158</v>
      </c>
      <c r="AA151" s="21">
        <f>EXP(-LN(2)/25)*AA150+(1-EXP(-LN(2)/25))/(LN(2)/25)*Calculateur!V151*Calculateur!X151*VLOOKUP('Données projet'!$B$9,Paramètres!$A$1:$I$89,3,0)*0.475*44/12</f>
        <v>0.58111597815035765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4.3258444399104734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114.4650227251685</v>
      </c>
      <c r="AO151" s="59">
        <f t="shared" si="144"/>
        <v>386.57315604590599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3.7447284617601158</v>
      </c>
      <c r="AV151" s="21">
        <f>EXP(-LN(2)/25)*AV150+(1-EXP(-LN(2)/25))/(LN(2)/25)*Calculateur!AQ151*Calculateur!AS151*VLOOKUP('Données projet'!$B$10,Paramètres!$A$1:$I$89,3,0)*0.475*44/12</f>
        <v>0.58111597815035765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4.3258444399104734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68.944412338382023</v>
      </c>
      <c r="BJ151" s="59">
        <f t="shared" si="146"/>
        <v>281.00389700159246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2.6406595839767366</v>
      </c>
      <c r="BQ151" s="21">
        <f>EXP(-LN(2)/25)*BQ150+(1-EXP(-LN(2)/25))/(LN(2)/25)*Calculateur!BL151*Calculateur!BN151*VLOOKUP('Données projet'!$B$11,Paramètres!$A$1:$I$89,3,0)*0.475*44/12</f>
        <v>0.40978391164402206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3.0504434956207587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>
        <f>BY151*VLOOKUP('Données projet'!$B$12,Paramètres!$A$1:$I$89,3,0)*VLOOKUP('Données projet'!$B$12,Paramètres!$A$1:$I$89,5,0)</f>
        <v>0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120.26681323682763</v>
      </c>
      <c r="CE151" s="59">
        <f t="shared" si="148"/>
        <v>344.92933166159389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3.3082263711254982</v>
      </c>
      <c r="CL151" s="21">
        <f>EXP(-LN(2)/25)*CL150+(1-EXP(-LN(2)/25))/(LN(2)/25)*Calculateur!CG151*Calculateur!CI151*VLOOKUP('Données projet'!$B$12,Paramètres!$A$1:$I$89,3,0)*0.475*44/12</f>
        <v>0.51337853284448776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3.8216049039699858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>
        <f>CT151*VLOOKUP('Données projet'!$B$13,Paramètres!$A$1:$I$89,3,0)*VLOOKUP('Données projet'!$B$13,Paramètres!$A$1:$I$89,5,0)</f>
        <v>0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120.26681323682763</v>
      </c>
      <c r="CZ151" s="59">
        <f t="shared" si="150"/>
        <v>344.92933166159389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3.3082263711254982</v>
      </c>
      <c r="DG151" s="21">
        <f>EXP(-LN(2)/25)*DG150+(1-EXP(-LN(2)/25))/(LN(2)/25)*Calculateur!DB151*Calculateur!DD151*VLOOKUP('Données projet'!$B$13,Paramètres!$A$1:$I$89,3,0)*0.475*44/12</f>
        <v>0.51337853284448776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3.8216049039699858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114.4650227251685</v>
      </c>
      <c r="T152" s="59">
        <f t="shared" si="142"/>
        <v>386.57315604590599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3.6712966206838296</v>
      </c>
      <c r="AA152" s="21">
        <f>EXP(-LN(2)/25)*AA151+(1-EXP(-LN(2)/25))/(LN(2)/25)*Calculateur!V152*Calculateur!X152*VLOOKUP('Données projet'!$B$9,Paramètres!$A$1:$I$89,3,0)*0.475*44/12</f>
        <v>0.565225331168275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4.2365219518521045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114.4650227251685</v>
      </c>
      <c r="AO152" s="59">
        <f t="shared" si="144"/>
        <v>386.57315604590599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3.6712966206838296</v>
      </c>
      <c r="AV152" s="21">
        <f>EXP(-LN(2)/25)*AV151+(1-EXP(-LN(2)/25))/(LN(2)/25)*Calculateur!AQ152*Calculateur!AS152*VLOOKUP('Données projet'!$B$10,Paramètres!$A$1:$I$89,3,0)*0.475*44/12</f>
        <v>0.565225331168275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4.2365219518521045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68.944412338382023</v>
      </c>
      <c r="BJ152" s="59">
        <f t="shared" si="146"/>
        <v>281.00389700159246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2.5888778601782612</v>
      </c>
      <c r="BQ152" s="21">
        <f>EXP(-LN(2)/25)*BQ151+(1-EXP(-LN(2)/25))/(LN(2)/25)*Calculateur!BL152*Calculateur!BN152*VLOOKUP('Données projet'!$B$11,Paramètres!$A$1:$I$89,3,0)*0.475*44/12</f>
        <v>0.39857834903051692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2.9874562092087782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>
        <f>BY152*VLOOKUP('Données projet'!$B$12,Paramètres!$A$1:$I$89,3,0)*VLOOKUP('Données projet'!$B$12,Paramètres!$A$1:$I$89,5,0)</f>
        <v>0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120.26681323682763</v>
      </c>
      <c r="CE152" s="59">
        <f t="shared" si="148"/>
        <v>344.92933166159389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3.2433540698065704</v>
      </c>
      <c r="CL152" s="21">
        <f>EXP(-LN(2)/25)*CL151+(1-EXP(-LN(2)/25))/(LN(2)/25)*Calculateur!CG152*Calculateur!CI152*VLOOKUP('Données projet'!$B$12,Paramètres!$A$1:$I$89,3,0)*0.475*44/12</f>
        <v>0.49934016986645152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3.7426942396730221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>
        <f>CT152*VLOOKUP('Données projet'!$B$13,Paramètres!$A$1:$I$89,3,0)*VLOOKUP('Données projet'!$B$13,Paramètres!$A$1:$I$89,5,0)</f>
        <v>0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120.26681323682763</v>
      </c>
      <c r="CZ152" s="59">
        <f t="shared" si="150"/>
        <v>344.92933166159389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3.2433540698065704</v>
      </c>
      <c r="DG152" s="21">
        <f>EXP(-LN(2)/25)*DG151+(1-EXP(-LN(2)/25))/(LN(2)/25)*Calculateur!DB152*Calculateur!DD152*VLOOKUP('Données projet'!$B$13,Paramètres!$A$1:$I$89,3,0)*0.475*44/12</f>
        <v>0.49934016986645152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3.7426942396730221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114.4650227251685</v>
      </c>
      <c r="T153" s="59">
        <f t="shared" si="142"/>
        <v>386.57315604590599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3.5993047332220489</v>
      </c>
      <c r="AA153" s="21">
        <f>EXP(-LN(2)/25)*AA152+(1-EXP(-LN(2)/25))/(LN(2)/25)*Calculateur!V153*Calculateur!X153*VLOOKUP('Données projet'!$B$9,Paramètres!$A$1:$I$89,3,0)*0.475*44/12</f>
        <v>0.54976921476357021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4.1490739479856193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114.4650227251685</v>
      </c>
      <c r="AO153" s="59">
        <f t="shared" si="144"/>
        <v>386.57315604590599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3.5993047332220489</v>
      </c>
      <c r="AV153" s="21">
        <f>EXP(-LN(2)/25)*AV152+(1-EXP(-LN(2)/25))/(LN(2)/25)*Calculateur!AQ153*Calculateur!AS153*VLOOKUP('Données projet'!$B$10,Paramètres!$A$1:$I$89,3,0)*0.475*44/12</f>
        <v>0.54976921476357021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4.1490739479856193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68.944412338382023</v>
      </c>
      <c r="BJ153" s="59">
        <f t="shared" si="146"/>
        <v>281.00389700159246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2.5381115443997411</v>
      </c>
      <c r="BQ153" s="21">
        <f>EXP(-LN(2)/25)*BQ152+(1-EXP(-LN(2)/25))/(LN(2)/25)*Calculateur!BL153*Calculateur!BN153*VLOOKUP('Données projet'!$B$11,Paramètres!$A$1:$I$89,3,0)*0.475*44/12</f>
        <v>0.387679203115953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2.9257907475156939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>
        <f>BY153*VLOOKUP('Données projet'!$B$12,Paramètres!$A$1:$I$89,3,0)*VLOOKUP('Données projet'!$B$12,Paramètres!$A$1:$I$89,5,0)</f>
        <v>0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120.26681323682763</v>
      </c>
      <c r="CE153" s="59">
        <f t="shared" si="148"/>
        <v>344.92933166159389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3.1797538747483101</v>
      </c>
      <c r="CL153" s="21">
        <f>EXP(-LN(2)/25)*CL152+(1-EXP(-LN(2)/25))/(LN(2)/25)*Calculateur!CG153*Calculateur!CI153*VLOOKUP('Données projet'!$B$12,Paramètres!$A$1:$I$89,3,0)*0.475*44/12</f>
        <v>0.48568568666229511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3.6654395614106052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>
        <f>CT153*VLOOKUP('Données projet'!$B$13,Paramètres!$A$1:$I$89,3,0)*VLOOKUP('Données projet'!$B$13,Paramètres!$A$1:$I$89,5,0)</f>
        <v>0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120.26681323682763</v>
      </c>
      <c r="CZ153" s="59">
        <f t="shared" si="150"/>
        <v>344.92933166159389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3.1797538747483101</v>
      </c>
      <c r="DG153" s="21">
        <f>EXP(-LN(2)/25)*DG152+(1-EXP(-LN(2)/25))/(LN(2)/25)*Calculateur!DB153*Calculateur!DD153*VLOOKUP('Données projet'!$B$13,Paramètres!$A$1:$I$89,3,0)*0.475*44/12</f>
        <v>0.48568568666229511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3.6654395614106052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114.4650227251685</v>
      </c>
      <c r="T154" s="59">
        <f t="shared" si="142"/>
        <v>386.57315604590599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3.5287245627626782</v>
      </c>
      <c r="AA154" s="21">
        <f>EXP(-LN(2)/25)*AA153+(1-EXP(-LN(2)/25))/(LN(2)/25)*Calculateur!V154*Calculateur!X154*VLOOKUP('Données projet'!$B$9,Paramètres!$A$1:$I$89,3,0)*0.475*44/12</f>
        <v>0.53473574667475388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4.0634603094374322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114.4650227251685</v>
      </c>
      <c r="AO154" s="59">
        <f t="shared" si="144"/>
        <v>386.57315604590599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3.5287245627626782</v>
      </c>
      <c r="AV154" s="21">
        <f>EXP(-LN(2)/25)*AV153+(1-EXP(-LN(2)/25))/(LN(2)/25)*Calculateur!AQ154*Calculateur!AS154*VLOOKUP('Données projet'!$B$10,Paramètres!$A$1:$I$89,3,0)*0.475*44/12</f>
        <v>0.53473574667475388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4.0634603094374322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68.944412338382023</v>
      </c>
      <c r="BJ154" s="59">
        <f t="shared" si="146"/>
        <v>281.00389700159246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2.4883407251092424</v>
      </c>
      <c r="BQ154" s="21">
        <f>EXP(-LN(2)/25)*BQ153+(1-EXP(-LN(2)/25))/(LN(2)/25)*Calculateur!BL154*Calculateur!BN154*VLOOKUP('Données projet'!$B$11,Paramètres!$A$1:$I$89,3,0)*0.475*44/12</f>
        <v>0.37707809491958405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2.8654188200288266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>
        <f>BY154*VLOOKUP('Données projet'!$B$12,Paramètres!$A$1:$I$89,3,0)*VLOOKUP('Données projet'!$B$12,Paramètres!$A$1:$I$89,5,0)</f>
        <v>0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120.26681323682763</v>
      </c>
      <c r="CE154" s="59">
        <f t="shared" si="148"/>
        <v>344.92933166159389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3.1174008407228535</v>
      </c>
      <c r="CL154" s="21">
        <f>EXP(-LN(2)/25)*CL153+(1-EXP(-LN(2)/25))/(LN(2)/25)*Calculateur!CG154*Calculateur!CI154*VLOOKUP('Données projet'!$B$12,Paramètres!$A$1:$I$89,3,0)*0.475*44/12</f>
        <v>0.47240458601941443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3.5898054267422679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>
        <f>CT154*VLOOKUP('Données projet'!$B$13,Paramètres!$A$1:$I$89,3,0)*VLOOKUP('Données projet'!$B$13,Paramètres!$A$1:$I$89,5,0)</f>
        <v>0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120.26681323682763</v>
      </c>
      <c r="CZ154" s="59">
        <f t="shared" si="150"/>
        <v>344.92933166159389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3.1174008407228535</v>
      </c>
      <c r="DG154" s="21">
        <f>EXP(-LN(2)/25)*DG153+(1-EXP(-LN(2)/25))/(LN(2)/25)*Calculateur!DB154*Calculateur!DD154*VLOOKUP('Données projet'!$B$13,Paramètres!$A$1:$I$89,3,0)*0.475*44/12</f>
        <v>0.47240458601941443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3.5898054267422679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114.4650227251685</v>
      </c>
      <c r="T155" s="59">
        <f t="shared" si="142"/>
        <v>386.57315604590599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3.4595284263963624</v>
      </c>
      <c r="AA155" s="21">
        <f>EXP(-LN(2)/25)*AA154+(1-EXP(-LN(2)/25))/(LN(2)/25)*Calculateur!V155*Calculateur!X155*VLOOKUP('Données projet'!$B$9,Paramètres!$A$1:$I$89,3,0)*0.475*44/12</f>
        <v>0.52011336956140197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3.9796417959577646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114.4650227251685</v>
      </c>
      <c r="AO155" s="59">
        <f t="shared" si="144"/>
        <v>386.57315604590599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3.4595284263963624</v>
      </c>
      <c r="AV155" s="21">
        <f>EXP(-LN(2)/25)*AV154+(1-EXP(-LN(2)/25))/(LN(2)/25)*Calculateur!AQ155*Calculateur!AS155*VLOOKUP('Données projet'!$B$10,Paramètres!$A$1:$I$89,3,0)*0.475*44/12</f>
        <v>0.52011336956140197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3.9796417959577646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68.944412338382023</v>
      </c>
      <c r="BJ155" s="59">
        <f t="shared" si="146"/>
        <v>281.00389700159246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2.4395458812278283</v>
      </c>
      <c r="BQ155" s="21">
        <f>EXP(-LN(2)/25)*BQ154+(1-EXP(-LN(2)/25))/(LN(2)/25)*Calculateur!BL155*Calculateur!BN155*VLOOKUP('Données projet'!$B$11,Paramètres!$A$1:$I$89,3,0)*0.475*44/12</f>
        <v>0.36676687458433282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2.806312755812161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>
        <f>BY155*VLOOKUP('Données projet'!$B$12,Paramètres!$A$1:$I$89,3,0)*VLOOKUP('Données projet'!$B$12,Paramètres!$A$1:$I$89,5,0)</f>
        <v>0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120.26681323682763</v>
      </c>
      <c r="CE155" s="59">
        <f t="shared" si="148"/>
        <v>344.92933166159389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3.0562705116630409</v>
      </c>
      <c r="CL155" s="21">
        <f>EXP(-LN(2)/25)*CL154+(1-EXP(-LN(2)/25))/(LN(2)/25)*Calculateur!CG155*Calculateur!CI155*VLOOKUP('Données projet'!$B$12,Paramètres!$A$1:$I$89,3,0)*0.475*44/12</f>
        <v>0.45948665777203607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3.5157571694350769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>
        <f>CT155*VLOOKUP('Données projet'!$B$13,Paramètres!$A$1:$I$89,3,0)*VLOOKUP('Données projet'!$B$13,Paramètres!$A$1:$I$89,5,0)</f>
        <v>0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120.26681323682763</v>
      </c>
      <c r="CZ155" s="59">
        <f t="shared" si="150"/>
        <v>344.92933166159389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3.0562705116630409</v>
      </c>
      <c r="DG155" s="21">
        <f>EXP(-LN(2)/25)*DG154+(1-EXP(-LN(2)/25))/(LN(2)/25)*Calculateur!DB155*Calculateur!DD155*VLOOKUP('Données projet'!$B$13,Paramètres!$A$1:$I$89,3,0)*0.475*44/12</f>
        <v>0.45948665777203607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3.5157571694350769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114.4650227251685</v>
      </c>
      <c r="T156" s="59">
        <f t="shared" si="142"/>
        <v>386.57315604590599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3.3916891840587144</v>
      </c>
      <c r="AA156" s="21">
        <f>EXP(-LN(2)/25)*AA155+(1-EXP(-LN(2)/25))/(LN(2)/25)*Calculateur!V156*Calculateur!X156*VLOOKUP('Données projet'!$B$9,Paramètres!$A$1:$I$89,3,0)*0.475*44/12</f>
        <v>0.50589084211917201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3.8975800261778866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114.4650227251685</v>
      </c>
      <c r="AO156" s="59">
        <f t="shared" si="144"/>
        <v>386.57315604590599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3.3916891840587144</v>
      </c>
      <c r="AV156" s="21">
        <f>EXP(-LN(2)/25)*AV155+(1-EXP(-LN(2)/25))/(LN(2)/25)*Calculateur!AQ156*Calculateur!AS156*VLOOKUP('Données projet'!$B$10,Paramètres!$A$1:$I$89,3,0)*0.475*44/12</f>
        <v>0.50589084211917201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3.8975800261778866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68.944412338382023</v>
      </c>
      <c r="BJ156" s="59">
        <f t="shared" si="146"/>
        <v>281.00389700159246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2.3917078744730129</v>
      </c>
      <c r="BQ156" s="21">
        <f>EXP(-LN(2)/25)*BQ155+(1-EXP(-LN(2)/25))/(LN(2)/25)*Calculateur!BL156*Calculateur!BN156*VLOOKUP('Données projet'!$B$11,Paramètres!$A$1:$I$89,3,0)*0.475*44/12</f>
        <v>0.35673761511139257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2.7484454895844053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>
        <f>BY156*VLOOKUP('Données projet'!$B$12,Paramètres!$A$1:$I$89,3,0)*VLOOKUP('Données projet'!$B$12,Paramètres!$A$1:$I$89,5,0)</f>
        <v>0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120.26681323682763</v>
      </c>
      <c r="CE156" s="59">
        <f t="shared" si="148"/>
        <v>344.92933166159389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2.9963389110702723</v>
      </c>
      <c r="CL156" s="21">
        <f>EXP(-LN(2)/25)*CL155+(1-EXP(-LN(2)/25))/(LN(2)/25)*Calculateur!CG156*Calculateur!CI156*VLOOKUP('Données projet'!$B$12,Paramètres!$A$1:$I$89,3,0)*0.475*44/12</f>
        <v>0.44692197095190656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3.4432608820221788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>
        <f>CT156*VLOOKUP('Données projet'!$B$13,Paramètres!$A$1:$I$89,3,0)*VLOOKUP('Données projet'!$B$13,Paramètres!$A$1:$I$89,5,0)</f>
        <v>0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120.26681323682763</v>
      </c>
      <c r="CZ156" s="59">
        <f t="shared" si="150"/>
        <v>344.92933166159389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2.9963389110702723</v>
      </c>
      <c r="DG156" s="21">
        <f>EXP(-LN(2)/25)*DG155+(1-EXP(-LN(2)/25))/(LN(2)/25)*Calculateur!DB156*Calculateur!DD156*VLOOKUP('Données projet'!$B$13,Paramètres!$A$1:$I$89,3,0)*0.475*44/12</f>
        <v>0.44692197095190656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3.4432608820221788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114.4650227251685</v>
      </c>
      <c r="T157" s="59">
        <f t="shared" si="142"/>
        <v>386.57315604590599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3.3251802278854554</v>
      </c>
      <c r="AA157" s="21">
        <f>EXP(-LN(2)/25)*AA156+(1-EXP(-LN(2)/25))/(LN(2)/25)*Calculateur!V157*Calculateur!X157*VLOOKUP('Données projet'!$B$9,Paramètres!$A$1:$I$89,3,0)*0.475*44/12</f>
        <v>0.4920572304377801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3.8172374583232354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114.4650227251685</v>
      </c>
      <c r="AO157" s="59">
        <f t="shared" si="144"/>
        <v>386.57315604590599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3.3251802278854554</v>
      </c>
      <c r="AV157" s="21">
        <f>EXP(-LN(2)/25)*AV156+(1-EXP(-LN(2)/25))/(LN(2)/25)*Calculateur!AQ157*Calculateur!AS157*VLOOKUP('Données projet'!$B$10,Paramètres!$A$1:$I$89,3,0)*0.475*44/12</f>
        <v>0.4920572304377801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3.8172374583232354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68.944412338382023</v>
      </c>
      <c r="BJ157" s="59">
        <f t="shared" si="146"/>
        <v>281.00389700159246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2.3448079418523564</v>
      </c>
      <c r="BQ157" s="21">
        <f>EXP(-LN(2)/25)*BQ156+(1-EXP(-LN(2)/25))/(LN(2)/25)*Calculateur!BL157*Calculateur!BN157*VLOOKUP('Données projet'!$B$11,Paramètres!$A$1:$I$89,3,0)*0.475*44/12</f>
        <v>0.34698260626615568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2.691790548118512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>
        <f>BY157*VLOOKUP('Données projet'!$B$12,Paramètres!$A$1:$I$89,3,0)*VLOOKUP('Données projet'!$B$12,Paramètres!$A$1:$I$89,5,0)</f>
        <v>0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120.26681323682763</v>
      </c>
      <c r="CE157" s="59">
        <f t="shared" si="148"/>
        <v>344.92933166159389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2.937582532610461</v>
      </c>
      <c r="CL157" s="21">
        <f>EXP(-LN(2)/25)*CL156+(1-EXP(-LN(2)/25))/(LN(2)/25)*Calculateur!CG157*Calculateur!CI157*VLOOKUP('Données projet'!$B$12,Paramètres!$A$1:$I$89,3,0)*0.475*44/12</f>
        <v>0.43470086615362169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3.3722833987640826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>
        <f>CT157*VLOOKUP('Données projet'!$B$13,Paramètres!$A$1:$I$89,3,0)*VLOOKUP('Données projet'!$B$13,Paramètres!$A$1:$I$89,5,0)</f>
        <v>0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120.26681323682763</v>
      </c>
      <c r="CZ157" s="59">
        <f t="shared" si="150"/>
        <v>344.92933166159389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2.937582532610461</v>
      </c>
      <c r="DG157" s="21">
        <f>EXP(-LN(2)/25)*DG156+(1-EXP(-LN(2)/25))/(LN(2)/25)*Calculateur!DB157*Calculateur!DD157*VLOOKUP('Données projet'!$B$13,Paramètres!$A$1:$I$89,3,0)*0.475*44/12</f>
        <v>0.43470086615362169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3.3722833987640826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114.4650227251685</v>
      </c>
      <c r="T158" s="59">
        <f t="shared" si="142"/>
        <v>386.57315604590599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3.2599754717762965</v>
      </c>
      <c r="AA158" s="21">
        <f>EXP(-LN(2)/25)*AA157+(1-EXP(-LN(2)/25))/(LN(2)/25)*Calculateur!V158*Calculateur!X158*VLOOKUP('Données projet'!$B$9,Paramètres!$A$1:$I$89,3,0)*0.475*44/12</f>
        <v>0.47860189959529387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3.7385773713715906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114.4650227251685</v>
      </c>
      <c r="AO158" s="59">
        <f t="shared" si="144"/>
        <v>386.57315604590599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3.2599754717762965</v>
      </c>
      <c r="AV158" s="21">
        <f>EXP(-LN(2)/25)*AV157+(1-EXP(-LN(2)/25))/(LN(2)/25)*Calculateur!AQ158*Calculateur!AS158*VLOOKUP('Données projet'!$B$10,Paramètres!$A$1:$I$89,3,0)*0.475*44/12</f>
        <v>0.47860189959529387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3.7385773713715906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68.944412338382023</v>
      </c>
      <c r="BJ158" s="59">
        <f t="shared" si="146"/>
        <v>281.00389700159246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2.2988276883042564</v>
      </c>
      <c r="BQ158" s="21">
        <f>EXP(-LN(2)/25)*BQ157+(1-EXP(-LN(2)/25))/(LN(2)/25)*Calculateur!BL158*Calculateur!BN158*VLOOKUP('Données projet'!$B$11,Paramètres!$A$1:$I$89,3,0)*0.475*44/12</f>
        <v>0.33749434865078543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2.636322036955042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>
        <f>BY158*VLOOKUP('Données projet'!$B$12,Paramètres!$A$1:$I$89,3,0)*VLOOKUP('Données projet'!$B$12,Paramètres!$A$1:$I$89,5,0)</f>
        <v>0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120.26681323682763</v>
      </c>
      <c r="CE158" s="59">
        <f t="shared" si="148"/>
        <v>344.92933166159389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2.8799783308943945</v>
      </c>
      <c r="CL158" s="21">
        <f>EXP(-LN(2)/25)*CL157+(1-EXP(-LN(2)/25))/(LN(2)/25)*Calculateur!CG158*Calculateur!CI158*VLOOKUP('Données projet'!$B$12,Paramètres!$A$1:$I$89,3,0)*0.475*44/12</f>
        <v>0.42281394810872586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3.3027922790031203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>
        <f>CT158*VLOOKUP('Données projet'!$B$13,Paramètres!$A$1:$I$89,3,0)*VLOOKUP('Données projet'!$B$13,Paramètres!$A$1:$I$89,5,0)</f>
        <v>0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120.26681323682763</v>
      </c>
      <c r="CZ158" s="59">
        <f t="shared" si="150"/>
        <v>344.92933166159389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2.8799783308943945</v>
      </c>
      <c r="DG158" s="21">
        <f>EXP(-LN(2)/25)*DG157+(1-EXP(-LN(2)/25))/(LN(2)/25)*Calculateur!DB158*Calculateur!DD158*VLOOKUP('Données projet'!$B$13,Paramètres!$A$1:$I$89,3,0)*0.475*44/12</f>
        <v>0.42281394810872586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3.3027922790031203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114.4650227251685</v>
      </c>
      <c r="T159" s="59">
        <f t="shared" si="142"/>
        <v>386.57315604590599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3.1960493411634641</v>
      </c>
      <c r="AA159" s="21">
        <f>EXP(-LN(2)/25)*AA158+(1-EXP(-LN(2)/25))/(LN(2)/25)*Calculateur!V159*Calculateur!X159*VLOOKUP('Données projet'!$B$9,Paramètres!$A$1:$I$89,3,0)*0.475*44/12</f>
        <v>0.46551450548228052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3.6615638466457447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114.4650227251685</v>
      </c>
      <c r="AO159" s="59">
        <f t="shared" si="144"/>
        <v>386.57315604590599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3.1960493411634641</v>
      </c>
      <c r="AV159" s="21">
        <f>EXP(-LN(2)/25)*AV158+(1-EXP(-LN(2)/25))/(LN(2)/25)*Calculateur!AQ159*Calculateur!AS159*VLOOKUP('Données projet'!$B$10,Paramètres!$A$1:$I$89,3,0)*0.475*44/12</f>
        <v>0.46551450548228052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3.6615638466457447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68.944412338382023</v>
      </c>
      <c r="BJ159" s="59">
        <f t="shared" si="146"/>
        <v>281.00389700159246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2.2537490794830495</v>
      </c>
      <c r="BQ159" s="21">
        <f>EXP(-LN(2)/25)*BQ158+(1-EXP(-LN(2)/25))/(LN(2)/25)*Calculateur!BL159*Calculateur!BN159*VLOOKUP('Données projet'!$B$11,Paramètres!$A$1:$I$89,3,0)*0.475*44/12</f>
        <v>0.32826554793887325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2.5820146274219229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>
        <f>BY159*VLOOKUP('Données projet'!$B$12,Paramètres!$A$1:$I$89,3,0)*VLOOKUP('Données projet'!$B$12,Paramètres!$A$1:$I$89,5,0)</f>
        <v>0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120.26681323682763</v>
      </c>
      <c r="CE159" s="59">
        <f t="shared" si="148"/>
        <v>344.92933166159389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2.8235037124388862</v>
      </c>
      <c r="CL159" s="21">
        <f>EXP(-LN(2)/25)*CL158+(1-EXP(-LN(2)/25))/(LN(2)/25)*Calculateur!CG159*Calculateur!CI159*VLOOKUP('Données projet'!$B$12,Paramètres!$A$1:$I$89,3,0)*0.475*44/12</f>
        <v>0.41125207846287359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3.2347557909017599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>
        <f>CT159*VLOOKUP('Données projet'!$B$13,Paramètres!$A$1:$I$89,3,0)*VLOOKUP('Données projet'!$B$13,Paramètres!$A$1:$I$89,5,0)</f>
        <v>0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120.26681323682763</v>
      </c>
      <c r="CZ159" s="59">
        <f t="shared" si="150"/>
        <v>344.92933166159389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2.8235037124388862</v>
      </c>
      <c r="DG159" s="21">
        <f>EXP(-LN(2)/25)*DG158+(1-EXP(-LN(2)/25))/(LN(2)/25)*Calculateur!DB159*Calculateur!DD159*VLOOKUP('Données projet'!$B$13,Paramètres!$A$1:$I$89,3,0)*0.475*44/12</f>
        <v>0.41125207846287359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3.2347557909017599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114.4650227251685</v>
      </c>
      <c r="T160" s="59">
        <f t="shared" si="142"/>
        <v>386.57315604590599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3.1333767629808595</v>
      </c>
      <c r="AA160" s="21">
        <f>EXP(-LN(2)/25)*AA159+(1-EXP(-LN(2)/25))/(LN(2)/25)*Calculateur!V160*Calculateur!X160*VLOOKUP('Données projet'!$B$9,Paramètres!$A$1:$I$89,3,0)*0.475*44/12</f>
        <v>0.45278498684952367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3.5861617498303833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114.4650227251685</v>
      </c>
      <c r="AO160" s="59">
        <f t="shared" si="144"/>
        <v>386.57315604590599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3.1333767629808595</v>
      </c>
      <c r="AV160" s="21">
        <f>EXP(-LN(2)/25)*AV159+(1-EXP(-LN(2)/25))/(LN(2)/25)*Calculateur!AQ160*Calculateur!AS160*VLOOKUP('Données projet'!$B$10,Paramètres!$A$1:$I$89,3,0)*0.475*44/12</f>
        <v>0.45278498684952367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3.5861617498303833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68.944412338382023</v>
      </c>
      <c r="BJ160" s="59">
        <f t="shared" si="146"/>
        <v>281.00389700159246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2.20955443468559</v>
      </c>
      <c r="BQ160" s="21">
        <f>EXP(-LN(2)/25)*BQ159+(1-EXP(-LN(2)/25))/(LN(2)/25)*Calculateur!BL160*Calculateur!BN160*VLOOKUP('Données projet'!$B$11,Paramètres!$A$1:$I$89,3,0)*0.475*44/12</f>
        <v>0.31928910926774984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2.5288435439533399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>
        <f>BY160*VLOOKUP('Données projet'!$B$12,Paramètres!$A$1:$I$89,3,0)*VLOOKUP('Données projet'!$B$12,Paramètres!$A$1:$I$89,5,0)</f>
        <v>0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120.26681323682763</v>
      </c>
      <c r="CE160" s="59">
        <f t="shared" si="148"/>
        <v>344.92933166159389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2.7681365268051743</v>
      </c>
      <c r="CL160" s="21">
        <f>EXP(-LN(2)/25)*CL159+(1-EXP(-LN(2)/25))/(LN(2)/25)*Calculateur!CG160*Calculateur!CI160*VLOOKUP('Données projet'!$B$12,Paramètres!$A$1:$I$89,3,0)*0.475*44/12</f>
        <v>0.40000636875049944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3.1681428955556736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>
        <f>CT160*VLOOKUP('Données projet'!$B$13,Paramètres!$A$1:$I$89,3,0)*VLOOKUP('Données projet'!$B$13,Paramètres!$A$1:$I$89,5,0)</f>
        <v>0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120.26681323682763</v>
      </c>
      <c r="CZ160" s="59">
        <f t="shared" si="150"/>
        <v>344.92933166159389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2.7681365268051743</v>
      </c>
      <c r="DG160" s="21">
        <f>EXP(-LN(2)/25)*DG159+(1-EXP(-LN(2)/25))/(LN(2)/25)*Calculateur!DB160*Calculateur!DD160*VLOOKUP('Données projet'!$B$13,Paramètres!$A$1:$I$89,3,0)*0.475*44/12</f>
        <v>0.40000636875049944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3.1681428955556736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114.4650227251685</v>
      </c>
      <c r="T161" s="59">
        <f t="shared" si="142"/>
        <v>386.57315604590599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3.0719331558299179</v>
      </c>
      <c r="AA161" s="21">
        <f>EXP(-LN(2)/25)*AA160+(1-EXP(-LN(2)/25))/(LN(2)/25)*Calculateur!V161*Calculateur!X161*VLOOKUP('Données projet'!$B$9,Paramètres!$A$1:$I$89,3,0)*0.475*44/12</f>
        <v>0.44040355757319583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3.5123367134031138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114.4650227251685</v>
      </c>
      <c r="AO161" s="59">
        <f t="shared" si="144"/>
        <v>386.57315604590599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3.0719331558299179</v>
      </c>
      <c r="AV161" s="21">
        <f>EXP(-LN(2)/25)*AV160+(1-EXP(-LN(2)/25))/(LN(2)/25)*Calculateur!AQ161*Calculateur!AS161*VLOOKUP('Données projet'!$B$10,Paramètres!$A$1:$I$89,3,0)*0.475*44/12</f>
        <v>0.44040355757319583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3.5123367134031138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68.944412338382023</v>
      </c>
      <c r="BJ161" s="59">
        <f t="shared" si="146"/>
        <v>281.00389700159246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2.1662264199165371</v>
      </c>
      <c r="BQ161" s="21">
        <f>EXP(-LN(2)/25)*BQ160+(1-EXP(-LN(2)/25))/(LN(2)/25)*Calculateur!BL161*Calculateur!BN161*VLOOKUP('Données projet'!$B$11,Paramètres!$A$1:$I$89,3,0)*0.475*44/12</f>
        <v>0.31055813178413871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2.4767845517006757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>
        <f>BY161*VLOOKUP('Données projet'!$B$12,Paramètres!$A$1:$I$89,3,0)*VLOOKUP('Données projet'!$B$12,Paramètres!$A$1:$I$89,5,0)</f>
        <v>0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120.26681323682763</v>
      </c>
      <c r="CE161" s="59">
        <f t="shared" si="148"/>
        <v>344.92933166159389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2.7138550579110907</v>
      </c>
      <c r="CL161" s="21">
        <f>EXP(-LN(2)/25)*CL160+(1-EXP(-LN(2)/25))/(LN(2)/25)*Calculateur!CG161*Calculateur!CI161*VLOOKUP('Données projet'!$B$12,Paramètres!$A$1:$I$89,3,0)*0.475*44/12</f>
        <v>0.38906817356159634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3.1029232314726869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>
        <f>CT161*VLOOKUP('Données projet'!$B$13,Paramètres!$A$1:$I$89,3,0)*VLOOKUP('Données projet'!$B$13,Paramètres!$A$1:$I$89,5,0)</f>
        <v>0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120.26681323682763</v>
      </c>
      <c r="CZ161" s="59">
        <f t="shared" si="150"/>
        <v>344.92933166159389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2.7138550579110907</v>
      </c>
      <c r="DG161" s="21">
        <f>EXP(-LN(2)/25)*DG160+(1-EXP(-LN(2)/25))/(LN(2)/25)*Calculateur!DB161*Calculateur!DD161*VLOOKUP('Données projet'!$B$13,Paramètres!$A$1:$I$89,3,0)*0.475*44/12</f>
        <v>0.38906817356159634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3.1029232314726869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114.4650227251685</v>
      </c>
      <c r="T162" s="59">
        <f t="shared" si="142"/>
        <v>386.57315604590599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3.0116944203383063</v>
      </c>
      <c r="AA162" s="21">
        <f>EXP(-LN(2)/25)*AA161+(1-EXP(-LN(2)/25))/(LN(2)/25)*Calculateur!V162*Calculateur!X162*VLOOKUP('Données projet'!$B$9,Paramètres!$A$1:$I$89,3,0)*0.475*44/12</f>
        <v>0.42836069913154023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3.4400551194698465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114.4650227251685</v>
      </c>
      <c r="AO162" s="59">
        <f t="shared" si="144"/>
        <v>386.57315604590599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3.0116944203383063</v>
      </c>
      <c r="AV162" s="21">
        <f>EXP(-LN(2)/25)*AV161+(1-EXP(-LN(2)/25))/(LN(2)/25)*Calculateur!AQ162*Calculateur!AS162*VLOOKUP('Données projet'!$B$10,Paramètres!$A$1:$I$89,3,0)*0.475*44/12</f>
        <v>0.42836069913154023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3.4400551194698465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68.944412338382023</v>
      </c>
      <c r="BJ162" s="59">
        <f t="shared" si="146"/>
        <v>281.00389700159246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2.1237480410896254</v>
      </c>
      <c r="BQ162" s="21">
        <f>EXP(-LN(2)/25)*BQ161+(1-EXP(-LN(2)/25))/(LN(2)/25)*Calculateur!BL162*Calculateur!BN162*VLOOKUP('Données projet'!$B$11,Paramètres!$A$1:$I$89,3,0)*0.475*44/12</f>
        <v>0.30206590333895911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2.4258139444285844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>
        <f>BY162*VLOOKUP('Données projet'!$B$12,Paramètres!$A$1:$I$89,3,0)*VLOOKUP('Données projet'!$B$12,Paramètres!$A$1:$I$89,5,0)</f>
        <v>0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120.26681323682763</v>
      </c>
      <c r="CE162" s="59">
        <f t="shared" si="148"/>
        <v>344.92933166159389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2.6606380155135936</v>
      </c>
      <c r="CL162" s="21">
        <f>EXP(-LN(2)/25)*CL161+(1-EXP(-LN(2)/25))/(LN(2)/25)*Calculateur!CG162*Calculateur!CI162*VLOOKUP('Données projet'!$B$12,Paramètres!$A$1:$I$89,3,0)*0.475*44/12</f>
        <v>0.37842908389534846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3.0390670994089422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>
        <f>CT162*VLOOKUP('Données projet'!$B$13,Paramètres!$A$1:$I$89,3,0)*VLOOKUP('Données projet'!$B$13,Paramètres!$A$1:$I$89,5,0)</f>
        <v>0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120.26681323682763</v>
      </c>
      <c r="CZ162" s="59">
        <f t="shared" si="150"/>
        <v>344.92933166159389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2.6606380155135936</v>
      </c>
      <c r="DG162" s="21">
        <f>EXP(-LN(2)/25)*DG161+(1-EXP(-LN(2)/25))/(LN(2)/25)*Calculateur!DB162*Calculateur!DD162*VLOOKUP('Données projet'!$B$13,Paramètres!$A$1:$I$89,3,0)*0.475*44/12</f>
        <v>0.37842908389534846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3.0390670994089422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114.4650227251685</v>
      </c>
      <c r="T163" s="59">
        <f t="shared" si="142"/>
        <v>386.57315604590599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2.9526369297076847</v>
      </c>
      <c r="AA163" s="21">
        <f>EXP(-LN(2)/25)*AA162+(1-EXP(-LN(2)/25))/(LN(2)/25)*Calculateur!V163*Calculateur!X163*VLOOKUP('Données projet'!$B$9,Paramètres!$A$1:$I$89,3,0)*0.475*44/12</f>
        <v>0.41664715328727814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3.3692840829949628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114.4650227251685</v>
      </c>
      <c r="AO163" s="59">
        <f t="shared" si="144"/>
        <v>386.57315604590599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2.9526369297076847</v>
      </c>
      <c r="AV163" s="21">
        <f>EXP(-LN(2)/25)*AV162+(1-EXP(-LN(2)/25))/(LN(2)/25)*Calculateur!AQ163*Calculateur!AS163*VLOOKUP('Données projet'!$B$10,Paramètres!$A$1:$I$89,3,0)*0.475*44/12</f>
        <v>0.41664715328727814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3.3692840829949628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68.944412338382023</v>
      </c>
      <c r="BJ163" s="59">
        <f t="shared" si="146"/>
        <v>281.00389700159246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2.0821026373622571</v>
      </c>
      <c r="BQ163" s="21">
        <f>EXP(-LN(2)/25)*BQ162+(1-EXP(-LN(2)/25))/(LN(2)/25)*Calculateur!BL163*Calculateur!BN163*VLOOKUP('Données projet'!$B$11,Paramètres!$A$1:$I$89,3,0)*0.475*44/12</f>
        <v>0.29380589532719981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2.3759085326894569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>
        <f>BY163*VLOOKUP('Données projet'!$B$12,Paramètres!$A$1:$I$89,3,0)*VLOOKUP('Données projet'!$B$12,Paramètres!$A$1:$I$89,5,0)</f>
        <v>0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120.26681323682763</v>
      </c>
      <c r="CE163" s="59">
        <f t="shared" si="148"/>
        <v>344.92933166159389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2.6084645268583206</v>
      </c>
      <c r="CL163" s="21">
        <f>EXP(-LN(2)/25)*CL162+(1-EXP(-LN(2)/25))/(LN(2)/25)*Calculateur!CG163*Calculateur!CI163*VLOOKUP('Données projet'!$B$12,Paramètres!$A$1:$I$89,3,0)*0.475*44/12</f>
        <v>0.36808092069550957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2.9765454475538302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>
        <f>CT163*VLOOKUP('Données projet'!$B$13,Paramètres!$A$1:$I$89,3,0)*VLOOKUP('Données projet'!$B$13,Paramètres!$A$1:$I$89,5,0)</f>
        <v>0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120.26681323682763</v>
      </c>
      <c r="CZ163" s="59">
        <f t="shared" si="150"/>
        <v>344.92933166159389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2.6084645268583206</v>
      </c>
      <c r="DG163" s="21">
        <f>EXP(-LN(2)/25)*DG162+(1-EXP(-LN(2)/25))/(LN(2)/25)*Calculateur!DB163*Calculateur!DD163*VLOOKUP('Données projet'!$B$13,Paramètres!$A$1:$I$89,3,0)*0.475*44/12</f>
        <v>0.36808092069550957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2.9765454475538302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114.4650227251685</v>
      </c>
      <c r="T164" s="59">
        <f t="shared" si="142"/>
        <v>386.57315604590599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2.8947375204468169</v>
      </c>
      <c r="AA164" s="21">
        <f>EXP(-LN(2)/25)*AA163+(1-EXP(-LN(2)/25))/(LN(2)/25)*Calculateur!V164*Calculateur!X164*VLOOKUP('Données projet'!$B$9,Paramètres!$A$1:$I$89,3,0)*0.475*44/12</f>
        <v>0.40525391497011598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3.2999914354169331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114.4650227251685</v>
      </c>
      <c r="AO164" s="59">
        <f t="shared" si="144"/>
        <v>386.57315604590599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2.8947375204468169</v>
      </c>
      <c r="AV164" s="21">
        <f>EXP(-LN(2)/25)*AV163+(1-EXP(-LN(2)/25))/(LN(2)/25)*Calculateur!AQ164*Calculateur!AS164*VLOOKUP('Données projet'!$B$10,Paramètres!$A$1:$I$89,3,0)*0.475*44/12</f>
        <v>0.40525391497011598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3.2999914354169331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68.944412338382023</v>
      </c>
      <c r="BJ164" s="59">
        <f t="shared" si="146"/>
        <v>281.00389700159246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2.0412738746007943</v>
      </c>
      <c r="BQ164" s="21">
        <f>EXP(-LN(2)/25)*BQ163+(1-EXP(-LN(2)/25))/(LN(2)/25)*Calculateur!BL164*Calculateur!BN164*VLOOKUP('Données projet'!$B$11,Paramètres!$A$1:$I$89,3,0)*0.475*44/12</f>
        <v>0.28577175766889701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2.3270456322696913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>
        <f>BY164*VLOOKUP('Données projet'!$B$12,Paramètres!$A$1:$I$89,3,0)*VLOOKUP('Données projet'!$B$12,Paramètres!$A$1:$I$89,5,0)</f>
        <v>0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120.26681323682763</v>
      </c>
      <c r="CE164" s="59">
        <f t="shared" si="148"/>
        <v>344.92933166159389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2.5573141284928917</v>
      </c>
      <c r="CL164" s="21">
        <f>EXP(-LN(2)/25)*CL163+(1-EXP(-LN(2)/25))/(LN(2)/25)*Calculateur!CG164*Calculateur!CI164*VLOOKUP('Données projet'!$B$12,Paramètres!$A$1:$I$89,3,0)*0.475*44/12</f>
        <v>0.35801572856255648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2.9153298570554482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>
        <f>CT164*VLOOKUP('Données projet'!$B$13,Paramètres!$A$1:$I$89,3,0)*VLOOKUP('Données projet'!$B$13,Paramètres!$A$1:$I$89,5,0)</f>
        <v>0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120.26681323682763</v>
      </c>
      <c r="CZ164" s="59">
        <f t="shared" si="150"/>
        <v>344.92933166159389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2.5573141284928917</v>
      </c>
      <c r="DG164" s="21">
        <f>EXP(-LN(2)/25)*DG163+(1-EXP(-LN(2)/25))/(LN(2)/25)*Calculateur!DB164*Calculateur!DD164*VLOOKUP('Données projet'!$B$13,Paramètres!$A$1:$I$89,3,0)*0.475*44/12</f>
        <v>0.35801572856255648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2.9153298570554482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114.4650227251685</v>
      </c>
      <c r="T165" s="59">
        <f t="shared" si="142"/>
        <v>386.57315604590599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2.8379734832864023</v>
      </c>
      <c r="AA165" s="21">
        <f>EXP(-LN(2)/25)*AA164+(1-EXP(-LN(2)/25))/(LN(2)/25)*Calculateur!V165*Calculateur!X165*VLOOKUP('Données projet'!$B$9,Paramètres!$A$1:$I$89,3,0)*0.475*44/12</f>
        <v>0.39417222535388097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3.2321457086402834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114.4650227251685</v>
      </c>
      <c r="AO165" s="59">
        <f t="shared" si="144"/>
        <v>386.57315604590599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2.8379734832864023</v>
      </c>
      <c r="AV165" s="21">
        <f>EXP(-LN(2)/25)*AV164+(1-EXP(-LN(2)/25))/(LN(2)/25)*Calculateur!AQ165*Calculateur!AS165*VLOOKUP('Données projet'!$B$10,Paramètres!$A$1:$I$89,3,0)*0.475*44/12</f>
        <v>0.39417222535388097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3.2321457086402834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68.944412338382023</v>
      </c>
      <c r="BJ165" s="59">
        <f t="shared" si="146"/>
        <v>281.00389700159246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2.0012457389739975</v>
      </c>
      <c r="BQ165" s="21">
        <f>EXP(-LN(2)/25)*BQ164+(1-EXP(-LN(2)/25))/(LN(2)/25)*Calculateur!BL165*Calculateur!BN165*VLOOKUP('Données projet'!$B$11,Paramètres!$A$1:$I$89,3,0)*0.475*44/12</f>
        <v>0.2779573139273574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2.2792030529013547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>
        <f>BY165*VLOOKUP('Données projet'!$B$12,Paramètres!$A$1:$I$89,3,0)*VLOOKUP('Données projet'!$B$12,Paramètres!$A$1:$I$89,5,0)</f>
        <v>0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120.26681323682763</v>
      </c>
      <c r="CE165" s="59">
        <f t="shared" si="148"/>
        <v>344.92933166159389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2.5071667582407464</v>
      </c>
      <c r="CL165" s="21">
        <f>EXP(-LN(2)/25)*CL164+(1-EXP(-LN(2)/25))/(LN(2)/25)*Calculateur!CG165*Calculateur!CI165*VLOOKUP('Données projet'!$B$12,Paramètres!$A$1:$I$89,3,0)*0.475*44/12</f>
        <v>0.34822576963778445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2.8553925278785308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>
        <f>CT165*VLOOKUP('Données projet'!$B$13,Paramètres!$A$1:$I$89,3,0)*VLOOKUP('Données projet'!$B$13,Paramètres!$A$1:$I$89,5,0)</f>
        <v>0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120.26681323682763</v>
      </c>
      <c r="CZ165" s="59">
        <f t="shared" si="150"/>
        <v>344.92933166159389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2.5071667582407464</v>
      </c>
      <c r="DG165" s="21">
        <f>EXP(-LN(2)/25)*DG164+(1-EXP(-LN(2)/25))/(LN(2)/25)*Calculateur!DB165*Calculateur!DD165*VLOOKUP('Données projet'!$B$13,Paramètres!$A$1:$I$89,3,0)*0.475*44/12</f>
        <v>0.34822576963778445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2.8553925278785308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114.4650227251685</v>
      </c>
      <c r="T166" s="59">
        <f t="shared" si="142"/>
        <v>386.57315604590599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2.7823225542720595</v>
      </c>
      <c r="AA166" s="21">
        <f>EXP(-LN(2)/25)*AA165+(1-EXP(-LN(2)/25))/(LN(2)/25)*Calculateur!V166*Calculateur!X166*VLOOKUP('Données projet'!$B$9,Paramètres!$A$1:$I$89,3,0)*0.475*44/12</f>
        <v>0.38339356512296263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3.1657161193950221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114.4650227251685</v>
      </c>
      <c r="AO166" s="59">
        <f t="shared" si="144"/>
        <v>386.57315604590599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2.7823225542720595</v>
      </c>
      <c r="AV166" s="21">
        <f>EXP(-LN(2)/25)*AV165+(1-EXP(-LN(2)/25))/(LN(2)/25)*Calculateur!AQ166*Calculateur!AS166*VLOOKUP('Données projet'!$B$10,Paramètres!$A$1:$I$89,3,0)*0.475*44/12</f>
        <v>0.38339356512296263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3.1657161193950221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68.944412338382023</v>
      </c>
      <c r="BJ166" s="59">
        <f t="shared" si="146"/>
        <v>281.00389700159246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1.9620025306720901</v>
      </c>
      <c r="BQ166" s="21">
        <f>EXP(-LN(2)/25)*BQ165+(1-EXP(-LN(2)/25))/(LN(2)/25)*Calculateur!BL166*Calculateur!BN166*VLOOKUP('Données projet'!$B$11,Paramètres!$A$1:$I$89,3,0)*0.475*44/12</f>
        <v>0.27035655656087393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2.2323590872329642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>
        <f>BY166*VLOOKUP('Données projet'!$B$12,Paramètres!$A$1:$I$89,3,0)*VLOOKUP('Données projet'!$B$12,Paramètres!$A$1:$I$89,5,0)</f>
        <v>0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120.26681323682763</v>
      </c>
      <c r="CE166" s="59">
        <f t="shared" si="148"/>
        <v>344.92933166159389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2.4580027473323698</v>
      </c>
      <c r="CL166" s="21">
        <f>EXP(-LN(2)/25)*CL165+(1-EXP(-LN(2)/25))/(LN(2)/25)*Calculateur!CG166*Calculateur!CI166*VLOOKUP('Données projet'!$B$12,Paramètres!$A$1:$I$89,3,0)*0.475*44/12</f>
        <v>0.33870351765464191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2.7967062649870118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>
        <f>CT166*VLOOKUP('Données projet'!$B$13,Paramètres!$A$1:$I$89,3,0)*VLOOKUP('Données projet'!$B$13,Paramètres!$A$1:$I$89,5,0)</f>
        <v>0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120.26681323682763</v>
      </c>
      <c r="CZ166" s="59">
        <f t="shared" si="150"/>
        <v>344.92933166159389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2.4580027473323698</v>
      </c>
      <c r="DG166" s="21">
        <f>EXP(-LN(2)/25)*DG165+(1-EXP(-LN(2)/25))/(LN(2)/25)*Calculateur!DB166*Calculateur!DD166*VLOOKUP('Données projet'!$B$13,Paramètres!$A$1:$I$89,3,0)*0.475*44/12</f>
        <v>0.33870351765464191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2.7967062649870118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114.4650227251685</v>
      </c>
      <c r="T167" s="59">
        <f t="shared" si="142"/>
        <v>386.57315604590599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2.7277629060319728</v>
      </c>
      <c r="AA167" s="21">
        <f>EXP(-LN(2)/25)*AA166+(1-EXP(-LN(2)/25))/(LN(2)/25)*Calculateur!V167*Calculateur!X167*VLOOKUP('Données projet'!$B$9,Paramètres!$A$1:$I$89,3,0)*0.475*44/12</f>
        <v>0.37290964792288389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3.1006725539548565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114.4650227251685</v>
      </c>
      <c r="AO167" s="59">
        <f t="shared" si="144"/>
        <v>386.57315604590599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2.7277629060319728</v>
      </c>
      <c r="AV167" s="21">
        <f>EXP(-LN(2)/25)*AV166+(1-EXP(-LN(2)/25))/(LN(2)/25)*Calculateur!AQ167*Calculateur!AS167*VLOOKUP('Données projet'!$B$10,Paramètres!$A$1:$I$89,3,0)*0.475*44/12</f>
        <v>0.37290964792288389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3.1006725539548565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68.944412338382023</v>
      </c>
      <c r="BJ167" s="59">
        <f t="shared" si="146"/>
        <v>281.00389700159246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1.9235288577489895</v>
      </c>
      <c r="BQ167" s="21">
        <f>EXP(-LN(2)/25)*BQ166+(1-EXP(-LN(2)/25))/(LN(2)/25)*Calculateur!BL167*Calculateur!BN167*VLOOKUP('Données projet'!$B$11,Paramètres!$A$1:$I$89,3,0)*0.475*44/12</f>
        <v>0.26296364230428343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2.1864925000532729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>
        <f>BY167*VLOOKUP('Données projet'!$B$12,Paramètres!$A$1:$I$89,3,0)*VLOOKUP('Données projet'!$B$12,Paramètres!$A$1:$I$89,5,0)</f>
        <v>0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120.26681323682763</v>
      </c>
      <c r="CE167" s="59">
        <f t="shared" si="148"/>
        <v>344.92933166159389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2.4098028126908209</v>
      </c>
      <c r="CL167" s="21">
        <f>EXP(-LN(2)/25)*CL166+(1-EXP(-LN(2)/25))/(LN(2)/25)*Calculateur!CG167*Calculateur!CI167*VLOOKUP('Données projet'!$B$12,Paramètres!$A$1:$I$89,3,0)*0.475*44/12</f>
        <v>0.32944165215273186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2.7392444648435528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>
        <f>CT167*VLOOKUP('Données projet'!$B$13,Paramètres!$A$1:$I$89,3,0)*VLOOKUP('Données projet'!$B$13,Paramètres!$A$1:$I$89,5,0)</f>
        <v>0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120.26681323682763</v>
      </c>
      <c r="CZ167" s="59">
        <f t="shared" si="150"/>
        <v>344.92933166159389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2.4098028126908209</v>
      </c>
      <c r="DG167" s="21">
        <f>EXP(-LN(2)/25)*DG166+(1-EXP(-LN(2)/25))/(LN(2)/25)*Calculateur!DB167*Calculateur!DD167*VLOOKUP('Données projet'!$B$13,Paramètres!$A$1:$I$89,3,0)*0.475*44/12</f>
        <v>0.32944165215273186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2.7392444648435528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114.4650227251685</v>
      </c>
      <c r="T168" s="59">
        <f t="shared" si="142"/>
        <v>386.57315604590599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2.6742731392157748</v>
      </c>
      <c r="AA168" s="21">
        <f>EXP(-LN(2)/25)*AA167+(1-EXP(-LN(2)/25))/(LN(2)/25)*Calculateur!V168*Calculateur!X168*VLOOKUP('Données projet'!$B$9,Paramètres!$A$1:$I$89,3,0)*0.475*44/12</f>
        <v>0.36271241398996656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3.0369855532057413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114.4650227251685</v>
      </c>
      <c r="AO168" s="59">
        <f t="shared" si="144"/>
        <v>386.57315604590599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2.6742731392157748</v>
      </c>
      <c r="AV168" s="21">
        <f>EXP(-LN(2)/25)*AV167+(1-EXP(-LN(2)/25))/(LN(2)/25)*Calculateur!AQ168*Calculateur!AS168*VLOOKUP('Données projet'!$B$10,Paramètres!$A$1:$I$89,3,0)*0.475*44/12</f>
        <v>0.36271241398996656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3.0369855532057413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68.944412338382023</v>
      </c>
      <c r="BJ168" s="59">
        <f t="shared" si="146"/>
        <v>281.00389700159246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1.8858096300852876</v>
      </c>
      <c r="BQ168" s="21">
        <f>EXP(-LN(2)/25)*BQ167+(1-EXP(-LN(2)/25))/(LN(2)/25)*Calculateur!BL168*Calculateur!BN168*VLOOKUP('Données projet'!$B$11,Paramètres!$A$1:$I$89,3,0)*0.475*44/12</f>
        <v>0.25577288767681589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2.1415825177621035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>
        <f>BY168*VLOOKUP('Données projet'!$B$12,Paramètres!$A$1:$I$89,3,0)*VLOOKUP('Données projet'!$B$12,Paramètres!$A$1:$I$89,5,0)</f>
        <v>0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120.26681323682763</v>
      </c>
      <c r="CE168" s="59">
        <f t="shared" si="148"/>
        <v>344.92933166159389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2.3625480493685354</v>
      </c>
      <c r="CL168" s="21">
        <f>EXP(-LN(2)/25)*CL167+(1-EXP(-LN(2)/25))/(LN(2)/25)*Calculateur!CG168*Calculateur!CI168*VLOOKUP('Données projet'!$B$12,Paramètres!$A$1:$I$89,3,0)*0.475*44/12</f>
        <v>0.32043305285003187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2.6829811022185672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>
        <f>CT168*VLOOKUP('Données projet'!$B$13,Paramètres!$A$1:$I$89,3,0)*VLOOKUP('Données projet'!$B$13,Paramètres!$A$1:$I$89,5,0)</f>
        <v>0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120.26681323682763</v>
      </c>
      <c r="CZ168" s="59">
        <f t="shared" si="150"/>
        <v>344.92933166159389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2.3625480493685354</v>
      </c>
      <c r="DG168" s="21">
        <f>EXP(-LN(2)/25)*DG167+(1-EXP(-LN(2)/25))/(LN(2)/25)*Calculateur!DB168*Calculateur!DD168*VLOOKUP('Données projet'!$B$13,Paramètres!$A$1:$I$89,3,0)*0.475*44/12</f>
        <v>0.32043305285003187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2.6829811022185672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114.4650227251685</v>
      </c>
      <c r="T169" s="59">
        <f t="shared" si="142"/>
        <v>386.57315604590599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2.621832274101306</v>
      </c>
      <c r="AA169" s="21">
        <f>EXP(-LN(2)/25)*AA168+(1-EXP(-LN(2)/25))/(LN(2)/25)*Calculateur!V169*Calculateur!X169*VLOOKUP('Données projet'!$B$9,Paramètres!$A$1:$I$89,3,0)*0.475*44/12</f>
        <v>0.35279402395519405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2.9746262980565001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114.4650227251685</v>
      </c>
      <c r="AO169" s="59">
        <f t="shared" si="144"/>
        <v>386.57315604590599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2.621832274101306</v>
      </c>
      <c r="AV169" s="21">
        <f>EXP(-LN(2)/25)*AV168+(1-EXP(-LN(2)/25))/(LN(2)/25)*Calculateur!AQ169*Calculateur!AS169*VLOOKUP('Données projet'!$B$10,Paramètres!$A$1:$I$89,3,0)*0.475*44/12</f>
        <v>0.35279402395519405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2.9746262980565001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68.944412338382023</v>
      </c>
      <c r="BJ169" s="59">
        <f t="shared" si="146"/>
        <v>281.00389700159246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1.8488300534696136</v>
      </c>
      <c r="BQ169" s="21">
        <f>EXP(-LN(2)/25)*BQ168+(1-EXP(-LN(2)/25))/(LN(2)/25)*Calculateur!BL169*Calculateur!BN169*VLOOKUP('Données projet'!$B$11,Paramètres!$A$1:$I$89,3,0)*0.475*44/12</f>
        <v>0.24877876461278176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2.0976088180823953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>
        <f>BY169*VLOOKUP('Données projet'!$B$12,Paramètres!$A$1:$I$89,3,0)*VLOOKUP('Données projet'!$B$12,Paramètres!$A$1:$I$89,5,0)</f>
        <v>0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120.26681323682763</v>
      </c>
      <c r="CE169" s="59">
        <f t="shared" si="148"/>
        <v>344.92933166159389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2.3162199231324405</v>
      </c>
      <c r="CL169" s="21">
        <f>EXP(-LN(2)/25)*CL168+(1-EXP(-LN(2)/25))/(LN(2)/25)*Calculateur!CG169*Calculateur!CI169*VLOOKUP('Données projet'!$B$12,Paramètres!$A$1:$I$89,3,0)*0.475*44/12</f>
        <v>0.31167079416900584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2.6278907173014465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>
        <f>CT169*VLOOKUP('Données projet'!$B$13,Paramètres!$A$1:$I$89,3,0)*VLOOKUP('Données projet'!$B$13,Paramètres!$A$1:$I$89,5,0)</f>
        <v>0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120.26681323682763</v>
      </c>
      <c r="CZ169" s="59">
        <f t="shared" si="150"/>
        <v>344.92933166159389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2.3162199231324405</v>
      </c>
      <c r="DG169" s="21">
        <f>EXP(-LN(2)/25)*DG168+(1-EXP(-LN(2)/25))/(LN(2)/25)*Calculateur!DB169*Calculateur!DD169*VLOOKUP('Données projet'!$B$13,Paramètres!$A$1:$I$89,3,0)*0.475*44/12</f>
        <v>0.31167079416900584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2.6278907173014465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114.4650227251685</v>
      </c>
      <c r="T170" s="59">
        <f t="shared" si="142"/>
        <v>386.57315604590599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2.5704197423659627</v>
      </c>
      <c r="AA170" s="21">
        <f>EXP(-LN(2)/25)*AA169+(1-EXP(-LN(2)/25))/(LN(2)/25)*Calculateur!V170*Calculateur!X170*VLOOKUP('Données projet'!$B$9,Paramètres!$A$1:$I$89,3,0)*0.475*44/12</f>
        <v>0.34314685281750784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2.9135665951834704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114.4650227251685</v>
      </c>
      <c r="AO170" s="59">
        <f t="shared" si="144"/>
        <v>386.57315604590599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2.5704197423659627</v>
      </c>
      <c r="AV170" s="21">
        <f>EXP(-LN(2)/25)*AV169+(1-EXP(-LN(2)/25))/(LN(2)/25)*Calculateur!AQ170*Calculateur!AS170*VLOOKUP('Données projet'!$B$10,Paramètres!$A$1:$I$89,3,0)*0.475*44/12</f>
        <v>0.34314685281750784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2.9135665951834704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68.944412338382023</v>
      </c>
      <c r="BJ170" s="59">
        <f t="shared" si="146"/>
        <v>281.00389700159246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1.8125756237960584</v>
      </c>
      <c r="BQ170" s="21">
        <f>EXP(-LN(2)/25)*BQ169+(1-EXP(-LN(2)/25))/(LN(2)/25)*Calculateur!BL170*Calculateur!BN170*VLOOKUP('Données projet'!$B$11,Paramètres!$A$1:$I$89,3,0)*0.475*44/12</f>
        <v>0.24197589621173859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2.0545515200077968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>
        <f>BY170*VLOOKUP('Données projet'!$B$12,Paramètres!$A$1:$I$89,3,0)*VLOOKUP('Données projet'!$B$12,Paramètres!$A$1:$I$89,5,0)</f>
        <v>0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120.26681323682763</v>
      </c>
      <c r="CE170" s="59">
        <f t="shared" si="148"/>
        <v>344.92933166159389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2.2708002631944684</v>
      </c>
      <c r="CL170" s="21">
        <f>EXP(-LN(2)/25)*CL169+(1-EXP(-LN(2)/25))/(LN(2)/25)*Calculateur!CG170*Calculateur!CI170*VLOOKUP('Données projet'!$B$12,Paramètres!$A$1:$I$89,3,0)*0.475*44/12</f>
        <v>0.30314813991239964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2.573948403106868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>
        <f>CT170*VLOOKUP('Données projet'!$B$13,Paramètres!$A$1:$I$89,3,0)*VLOOKUP('Données projet'!$B$13,Paramètres!$A$1:$I$89,5,0)</f>
        <v>0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120.26681323682763</v>
      </c>
      <c r="CZ170" s="59">
        <f t="shared" si="150"/>
        <v>344.92933166159389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2.2708002631944684</v>
      </c>
      <c r="DG170" s="21">
        <f>EXP(-LN(2)/25)*DG169+(1-EXP(-LN(2)/25))/(LN(2)/25)*Calculateur!DB170*Calculateur!DD170*VLOOKUP('Données projet'!$B$13,Paramètres!$A$1:$I$89,3,0)*0.475*44/12</f>
        <v>0.30314813991239964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2.573948403106868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114.4650227251685</v>
      </c>
      <c r="T171" s="59">
        <f t="shared" si="142"/>
        <v>386.57315604590599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2.5200153790194015</v>
      </c>
      <c r="AA171" s="21">
        <f>EXP(-LN(2)/25)*AA170+(1-EXP(-LN(2)/25))/(LN(2)/25)*Calculateur!V171*Calculateur!X171*VLOOKUP('Données projet'!$B$9,Paramètres!$A$1:$I$89,3,0)*0.475*44/12</f>
        <v>0.33376348408190437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2.8537788631013061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114.4650227251685</v>
      </c>
      <c r="AO171" s="59">
        <f t="shared" si="144"/>
        <v>386.57315604590599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2.5200153790194015</v>
      </c>
      <c r="AV171" s="21">
        <f>EXP(-LN(2)/25)*AV170+(1-EXP(-LN(2)/25))/(LN(2)/25)*Calculateur!AQ171*Calculateur!AS171*VLOOKUP('Données projet'!$B$10,Paramètres!$A$1:$I$89,3,0)*0.475*44/12</f>
        <v>0.33376348408190437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2.8537788631013061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68.944412338382023</v>
      </c>
      <c r="BJ171" s="59">
        <f t="shared" si="146"/>
        <v>281.00389700159246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1.777032121375383</v>
      </c>
      <c r="BQ171" s="21">
        <f>EXP(-LN(2)/25)*BQ170+(1-EXP(-LN(2)/25))/(LN(2)/25)*Calculateur!BL171*Calculateur!BN171*VLOOKUP('Données projet'!$B$11,Paramètres!$A$1:$I$89,3,0)*0.475*44/12</f>
        <v>0.23535905260486925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2.0123911739802525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>
        <f>BY171*VLOOKUP('Données projet'!$B$12,Paramètres!$A$1:$I$89,3,0)*VLOOKUP('Données projet'!$B$12,Paramètres!$A$1:$I$89,5,0)</f>
        <v>0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120.26681323682763</v>
      </c>
      <c r="CE171" s="59">
        <f t="shared" si="148"/>
        <v>344.92933166159389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2.2262712550846229</v>
      </c>
      <c r="CL171" s="21">
        <f>EXP(-LN(2)/25)*CL170+(1-EXP(-LN(2)/25))/(LN(2)/25)*Calculateur!CG171*Calculateur!CI171*VLOOKUP('Données projet'!$B$12,Paramètres!$A$1:$I$89,3,0)*0.475*44/12</f>
        <v>0.29485853808462725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2.52112979316925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>
        <f>CT171*VLOOKUP('Données projet'!$B$13,Paramètres!$A$1:$I$89,3,0)*VLOOKUP('Données projet'!$B$13,Paramètres!$A$1:$I$89,5,0)</f>
        <v>0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120.26681323682763</v>
      </c>
      <c r="CZ171" s="59">
        <f t="shared" si="150"/>
        <v>344.92933166159389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2.2262712550846229</v>
      </c>
      <c r="DG171" s="21">
        <f>EXP(-LN(2)/25)*DG170+(1-EXP(-LN(2)/25))/(LN(2)/25)*Calculateur!DB171*Calculateur!DD171*VLOOKUP('Données projet'!$B$13,Paramètres!$A$1:$I$89,3,0)*0.475*44/12</f>
        <v>0.29485853808462725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2.52112979316925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114.4650227251685</v>
      </c>
      <c r="T172" s="59">
        <f t="shared" si="142"/>
        <v>386.57315604590599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2.4705994144944405</v>
      </c>
      <c r="AA172" s="21">
        <f>EXP(-LN(2)/25)*AA171+(1-EXP(-LN(2)/25))/(LN(2)/25)*Calculateur!V172*Calculateur!X172*VLOOKUP('Données projet'!$B$9,Paramètres!$A$1:$I$89,3,0)*0.475*44/12</f>
        <v>0.32463670405782591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2.7952361185522663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114.4650227251685</v>
      </c>
      <c r="AO172" s="59">
        <f t="shared" si="144"/>
        <v>386.57315604590599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2.4705994144944405</v>
      </c>
      <c r="AV172" s="21">
        <f>EXP(-LN(2)/25)*AV171+(1-EXP(-LN(2)/25))/(LN(2)/25)*Calculateur!AQ172*Calculateur!AS172*VLOOKUP('Données projet'!$B$10,Paramètres!$A$1:$I$89,3,0)*0.475*44/12</f>
        <v>0.32463670405782591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2.7952361185522663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68.944412338382023</v>
      </c>
      <c r="BJ172" s="59">
        <f t="shared" si="146"/>
        <v>281.00389700159246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1.7421856053577813</v>
      </c>
      <c r="BQ172" s="21">
        <f>EXP(-LN(2)/25)*BQ171+(1-EXP(-LN(2)/25))/(LN(2)/25)*Calculateur!BL172*Calculateur!BN172*VLOOKUP('Données projet'!$B$11,Paramètres!$A$1:$I$89,3,0)*0.475*44/12</f>
        <v>0.22892314693439444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1.9711087522921757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>
        <f>BY172*VLOOKUP('Données projet'!$B$12,Paramètres!$A$1:$I$89,3,0)*VLOOKUP('Données projet'!$B$12,Paramètres!$A$1:$I$89,5,0)</f>
        <v>0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120.26681323682763</v>
      </c>
      <c r="CE172" s="59">
        <f t="shared" si="148"/>
        <v>344.92933166159389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2.1826154336637984</v>
      </c>
      <c r="CL172" s="21">
        <f>EXP(-LN(2)/25)*CL171+(1-EXP(-LN(2)/25))/(LN(2)/25)*Calculateur!CG172*Calculateur!CI172*VLOOKUP('Données projet'!$B$12,Paramètres!$A$1:$I$89,3,0)*0.475*44/12</f>
        <v>0.28679561585476648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2.4694110495185648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>
        <f>CT172*VLOOKUP('Données projet'!$B$13,Paramètres!$A$1:$I$89,3,0)*VLOOKUP('Données projet'!$B$13,Paramètres!$A$1:$I$89,5,0)</f>
        <v>0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120.26681323682763</v>
      </c>
      <c r="CZ172" s="59">
        <f t="shared" si="150"/>
        <v>344.92933166159389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2.1826154336637984</v>
      </c>
      <c r="DG172" s="21">
        <f>EXP(-LN(2)/25)*DG171+(1-EXP(-LN(2)/25))/(LN(2)/25)*Calculateur!DB172*Calculateur!DD172*VLOOKUP('Données projet'!$B$13,Paramètres!$A$1:$I$89,3,0)*0.475*44/12</f>
        <v>0.28679561585476648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2.4694110495185648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114.4650227251685</v>
      </c>
      <c r="T173" s="59">
        <f t="shared" si="142"/>
        <v>386.57315604590599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2.4221524668930519</v>
      </c>
      <c r="AA173" s="21">
        <f>EXP(-LN(2)/25)*AA172+(1-EXP(-LN(2)/25))/(LN(2)/25)*Calculateur!V173*Calculateur!X173*VLOOKUP('Données projet'!$B$9,Paramètres!$A$1:$I$89,3,0)*0.475*44/12</f>
        <v>0.31575949631346234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2.7379119632065141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114.4650227251685</v>
      </c>
      <c r="AO173" s="59">
        <f t="shared" si="144"/>
        <v>386.57315604590599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2.4221524668930519</v>
      </c>
      <c r="AV173" s="21">
        <f>EXP(-LN(2)/25)*AV172+(1-EXP(-LN(2)/25))/(LN(2)/25)*Calculateur!AQ173*Calculateur!AS173*VLOOKUP('Données projet'!$B$10,Paramètres!$A$1:$I$89,3,0)*0.475*44/12</f>
        <v>0.31575949631346234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2.7379119632065141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68.944412338382023</v>
      </c>
      <c r="BJ173" s="59">
        <f t="shared" si="146"/>
        <v>281.00389700159246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1.7080224082650086</v>
      </c>
      <c r="BQ173" s="21">
        <f>EXP(-LN(2)/25)*BQ172+(1-EXP(-LN(2)/25))/(LN(2)/25)*Calculateur!BL173*Calculateur!BN173*VLOOKUP('Données projet'!$B$11,Paramètres!$A$1:$I$89,3,0)*0.475*44/12</f>
        <v>0.22266323144292835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1.9306856397079371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>
        <f>BY173*VLOOKUP('Données projet'!$B$12,Paramètres!$A$1:$I$89,3,0)*VLOOKUP('Données projet'!$B$12,Paramètres!$A$1:$I$89,5,0)</f>
        <v>0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120.26681323682763</v>
      </c>
      <c r="CE173" s="59">
        <f t="shared" si="148"/>
        <v>344.92933166159389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2.1398156762736145</v>
      </c>
      <c r="CL173" s="21">
        <f>EXP(-LN(2)/25)*CL172+(1-EXP(-LN(2)/25))/(LN(2)/25)*Calculateur!CG173*Calculateur!CI173*VLOOKUP('Données projet'!$B$12,Paramètres!$A$1:$I$89,3,0)*0.475*44/12</f>
        <v>0.27895317465729191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2.4187688509309062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>
        <f>CT173*VLOOKUP('Données projet'!$B$13,Paramètres!$A$1:$I$89,3,0)*VLOOKUP('Données projet'!$B$13,Paramètres!$A$1:$I$89,5,0)</f>
        <v>0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120.26681323682763</v>
      </c>
      <c r="CZ173" s="59">
        <f t="shared" si="150"/>
        <v>344.92933166159389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2.1398156762736145</v>
      </c>
      <c r="DG173" s="21">
        <f>EXP(-LN(2)/25)*DG172+(1-EXP(-LN(2)/25))/(LN(2)/25)*Calculateur!DB173*Calculateur!DD173*VLOOKUP('Données projet'!$B$13,Paramètres!$A$1:$I$89,3,0)*0.475*44/12</f>
        <v>0.27895317465729191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2.4187688509309062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114.4650227251685</v>
      </c>
      <c r="T174" s="59">
        <f t="shared" si="142"/>
        <v>386.57315604590599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2.3746555343844062</v>
      </c>
      <c r="AA174" s="21">
        <f>EXP(-LN(2)/25)*AA173+(1-EXP(-LN(2)/25))/(LN(2)/25)*Calculateur!V174*Calculateur!X174*VLOOKUP('Données projet'!$B$9,Paramètres!$A$1:$I$89,3,0)*0.475*44/12</f>
        <v>0.30712503628170046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2.6817805706661066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114.4650227251685</v>
      </c>
      <c r="AO174" s="59">
        <f t="shared" si="144"/>
        <v>386.57315604590599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2.3746555343844062</v>
      </c>
      <c r="AV174" s="21">
        <f>EXP(-LN(2)/25)*AV173+(1-EXP(-LN(2)/25))/(LN(2)/25)*Calculateur!AQ174*Calculateur!AS174*VLOOKUP('Données projet'!$B$10,Paramètres!$A$1:$I$89,3,0)*0.475*44/12</f>
        <v>0.30712503628170046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2.6817805706661066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68.944412338382023</v>
      </c>
      <c r="BJ174" s="59">
        <f t="shared" si="146"/>
        <v>281.00389700159246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1.6745291306297325</v>
      </c>
      <c r="BQ174" s="21">
        <f>EXP(-LN(2)/25)*BQ173+(1-EXP(-LN(2)/25))/(LN(2)/25)*Calculateur!BL174*Calculateur!BN174*VLOOKUP('Données projet'!$B$11,Paramètres!$A$1:$I$89,3,0)*0.475*44/12</f>
        <v>0.21657449366977102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1.8911036242995036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>
        <f>BY174*VLOOKUP('Données projet'!$B$12,Paramètres!$A$1:$I$89,3,0)*VLOOKUP('Données projet'!$B$12,Paramètres!$A$1:$I$89,5,0)</f>
        <v>0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120.26681323682763</v>
      </c>
      <c r="CE174" s="59">
        <f t="shared" si="148"/>
        <v>344.92933166159389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2.0978551960205776</v>
      </c>
      <c r="CL174" s="21">
        <f>EXP(-LN(2)/25)*CL173+(1-EXP(-LN(2)/25))/(LN(2)/25)*Calculateur!CG174*Calculateur!CI174*VLOOKUP('Données projet'!$B$12,Paramètres!$A$1:$I$89,3,0)*0.475*44/12</f>
        <v>0.27132518542677836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2.369180381447356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>
        <f>CT174*VLOOKUP('Données projet'!$B$13,Paramètres!$A$1:$I$89,3,0)*VLOOKUP('Données projet'!$B$13,Paramètres!$A$1:$I$89,5,0)</f>
        <v>0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120.26681323682763</v>
      </c>
      <c r="CZ174" s="59">
        <f t="shared" si="150"/>
        <v>344.92933166159389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2.0978551960205776</v>
      </c>
      <c r="DG174" s="21">
        <f>EXP(-LN(2)/25)*DG173+(1-EXP(-LN(2)/25))/(LN(2)/25)*Calculateur!DB174*Calculateur!DD174*VLOOKUP('Données projet'!$B$13,Paramètres!$A$1:$I$89,3,0)*0.475*44/12</f>
        <v>0.27132518542677836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2.369180381447356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114.4650227251685</v>
      </c>
      <c r="T175" s="59">
        <f t="shared" si="142"/>
        <v>386.57315604590599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2.3280899877519867</v>
      </c>
      <c r="AA175" s="21">
        <f>EXP(-LN(2)/25)*AA174+(1-EXP(-LN(2)/25))/(LN(2)/25)*Calculateur!V175*Calculateur!X175*VLOOKUP('Données projet'!$B$9,Paramètres!$A$1:$I$89,3,0)*0.475*44/12</f>
        <v>0.29872668601357366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2.6268166737655605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114.4650227251685</v>
      </c>
      <c r="AO175" s="59">
        <f t="shared" si="144"/>
        <v>386.57315604590599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2.3280899877519867</v>
      </c>
      <c r="AV175" s="21">
        <f>EXP(-LN(2)/25)*AV174+(1-EXP(-LN(2)/25))/(LN(2)/25)*Calculateur!AQ175*Calculateur!AS175*VLOOKUP('Données projet'!$B$10,Paramètres!$A$1:$I$89,3,0)*0.475*44/12</f>
        <v>0.29872668601357366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2.6268166737655605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68.944412338382023</v>
      </c>
      <c r="BJ175" s="59">
        <f t="shared" si="146"/>
        <v>281.00389700159246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1.6416926357400021</v>
      </c>
      <c r="BQ175" s="21">
        <f>EXP(-LN(2)/25)*BQ174+(1-EXP(-LN(2)/25))/(LN(2)/25)*Calculateur!BL175*Calculateur!BN175*VLOOKUP('Données projet'!$B$11,Paramètres!$A$1:$I$89,3,0)*0.475*44/12</f>
        <v>0.21065225275121349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1.8523448884912157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>
        <f>BY175*VLOOKUP('Données projet'!$B$12,Paramètres!$A$1:$I$89,3,0)*VLOOKUP('Données projet'!$B$12,Paramètres!$A$1:$I$89,5,0)</f>
        <v>0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120.26681323682763</v>
      </c>
      <c r="CE175" s="59">
        <f t="shared" si="148"/>
        <v>344.92933166159389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2.0567175351919369</v>
      </c>
      <c r="CL175" s="21">
        <f>EXP(-LN(2)/25)*CL174+(1-EXP(-LN(2)/25))/(LN(2)/25)*Calculateur!CG175*Calculateur!CI175*VLOOKUP('Données projet'!$B$12,Paramètres!$A$1:$I$89,3,0)*0.475*44/12</f>
        <v>0.2639057839629117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2.3206233191548487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>
        <f>CT175*VLOOKUP('Données projet'!$B$13,Paramètres!$A$1:$I$89,3,0)*VLOOKUP('Données projet'!$B$13,Paramètres!$A$1:$I$89,5,0)</f>
        <v>0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120.26681323682763</v>
      </c>
      <c r="CZ175" s="59">
        <f t="shared" si="150"/>
        <v>344.92933166159389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2.0567175351919369</v>
      </c>
      <c r="DG175" s="21">
        <f>EXP(-LN(2)/25)*DG174+(1-EXP(-LN(2)/25))/(LN(2)/25)*Calculateur!DB175*Calculateur!DD175*VLOOKUP('Données projet'!$B$13,Paramètres!$A$1:$I$89,3,0)*0.475*44/12</f>
        <v>0.2639057839629117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2.3206233191548487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114.4650227251685</v>
      </c>
      <c r="T176" s="59">
        <f t="shared" si="142"/>
        <v>386.57315604590599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2.2824375630868499</v>
      </c>
      <c r="AA176" s="21">
        <f>EXP(-LN(2)/25)*AA175+(1-EXP(-LN(2)/25))/(LN(2)/25)*Calculateur!V176*Calculateur!X176*VLOOKUP('Données projet'!$B$9,Paramètres!$A$1:$I$89,3,0)*0.475*44/12</f>
        <v>0.29055798907517882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2.5729955521620287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114.4650227251685</v>
      </c>
      <c r="AO176" s="59">
        <f t="shared" si="144"/>
        <v>386.57315604590599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2.2824375630868499</v>
      </c>
      <c r="AV176" s="21">
        <f>EXP(-LN(2)/25)*AV175+(1-EXP(-LN(2)/25))/(LN(2)/25)*Calculateur!AQ176*Calculateur!AS176*VLOOKUP('Données projet'!$B$10,Paramètres!$A$1:$I$89,3,0)*0.475*44/12</f>
        <v>0.29055798907517882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2.5729955521620287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68.944412338382023</v>
      </c>
      <c r="BJ176" s="59">
        <f t="shared" si="146"/>
        <v>281.00389700159246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1.6095000444867751</v>
      </c>
      <c r="BQ176" s="21">
        <f>EXP(-LN(2)/25)*BQ175+(1-EXP(-LN(2)/25))/(LN(2)/25)*Calculateur!BL176*Calculateur!BN176*VLOOKUP('Données projet'!$B$11,Paramètres!$A$1:$I$89,3,0)*0.475*44/12</f>
        <v>0.20489195582201103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1.8143920003087861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>
        <f>BY176*VLOOKUP('Données projet'!$B$12,Paramètres!$A$1:$I$89,3,0)*VLOOKUP('Données projet'!$B$12,Paramètres!$A$1:$I$89,5,0)</f>
        <v>0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120.26681323682763</v>
      </c>
      <c r="CE176" s="59">
        <f t="shared" si="148"/>
        <v>344.92933166159389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2.0163865588006504</v>
      </c>
      <c r="CL176" s="21">
        <f>EXP(-LN(2)/25)*CL175+(1-EXP(-LN(2)/25))/(LN(2)/25)*Calculateur!CG176*Calculateur!CI176*VLOOKUP('Données projet'!$B$12,Paramètres!$A$1:$I$89,3,0)*0.475*44/12</f>
        <v>0.25668926642224388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2.2730758252228944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>
        <f>CT176*VLOOKUP('Données projet'!$B$13,Paramètres!$A$1:$I$89,3,0)*VLOOKUP('Données projet'!$B$13,Paramètres!$A$1:$I$89,5,0)</f>
        <v>0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120.26681323682763</v>
      </c>
      <c r="CZ176" s="59">
        <f t="shared" si="150"/>
        <v>344.92933166159389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2.0163865588006504</v>
      </c>
      <c r="DG176" s="21">
        <f>EXP(-LN(2)/25)*DG175+(1-EXP(-LN(2)/25))/(LN(2)/25)*Calculateur!DB176*Calculateur!DD176*VLOOKUP('Données projet'!$B$13,Paramètres!$A$1:$I$89,3,0)*0.475*44/12</f>
        <v>0.25668926642224388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2.2730758252228944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114.4650227251685</v>
      </c>
      <c r="T177" s="59">
        <f t="shared" si="142"/>
        <v>386.57315604590599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2.237680354624167</v>
      </c>
      <c r="AA177" s="21">
        <f>EXP(-LN(2)/25)*AA176+(1-EXP(-LN(2)/25))/(LN(2)/25)*Calculateur!V177*Calculateur!X177*VLOOKUP('Données projet'!$B$9,Paramètres!$A$1:$I$89,3,0)*0.475*44/12</f>
        <v>0.2826126655841375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2.5202930202083045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114.4650227251685</v>
      </c>
      <c r="AO177" s="59">
        <f t="shared" si="144"/>
        <v>386.57315604590599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2.237680354624167</v>
      </c>
      <c r="AV177" s="21">
        <f>EXP(-LN(2)/25)*AV176+(1-EXP(-LN(2)/25))/(LN(2)/25)*Calculateur!AQ177*Calculateur!AS177*VLOOKUP('Données projet'!$B$10,Paramètres!$A$1:$I$89,3,0)*0.475*44/12</f>
        <v>0.2826126655841375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2.5202930202083045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68.944412338382023</v>
      </c>
      <c r="BJ177" s="59">
        <f t="shared" si="146"/>
        <v>281.00389700159246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1.5779387303124819</v>
      </c>
      <c r="BQ177" s="21">
        <f>EXP(-LN(2)/25)*BQ176+(1-EXP(-LN(2)/25))/(LN(2)/25)*Calculateur!BL177*Calculateur!BN177*VLOOKUP('Données projet'!$B$11,Paramètres!$A$1:$I$89,3,0)*0.475*44/12</f>
        <v>0.19928917451525846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1.7772279048277404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>
        <f>BY177*VLOOKUP('Données projet'!$B$12,Paramètres!$A$1:$I$89,3,0)*VLOOKUP('Données projet'!$B$12,Paramètres!$A$1:$I$89,5,0)</f>
        <v>0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120.26681323682763</v>
      </c>
      <c r="CE177" s="59">
        <f t="shared" si="148"/>
        <v>344.92933166159389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1.9768464482569306</v>
      </c>
      <c r="CL177" s="21">
        <f>EXP(-LN(2)/25)*CL176+(1-EXP(-LN(2)/25))/(LN(2)/25)*Calculateur!CG177*Calculateur!CI177*VLOOKUP('Données projet'!$B$12,Paramètres!$A$1:$I$89,3,0)*0.475*44/12</f>
        <v>0.24967008493322576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2.2265165331901562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>
        <f>CT177*VLOOKUP('Données projet'!$B$13,Paramètres!$A$1:$I$89,3,0)*VLOOKUP('Données projet'!$B$13,Paramètres!$A$1:$I$89,5,0)</f>
        <v>0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120.26681323682763</v>
      </c>
      <c r="CZ177" s="59">
        <f t="shared" si="150"/>
        <v>344.92933166159389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1.9768464482569306</v>
      </c>
      <c r="DG177" s="21">
        <f>EXP(-LN(2)/25)*DG176+(1-EXP(-LN(2)/25))/(LN(2)/25)*Calculateur!DB177*Calculateur!DD177*VLOOKUP('Données projet'!$B$13,Paramètres!$A$1:$I$89,3,0)*0.475*44/12</f>
        <v>0.24967008493322576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2.2265165331901562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114.4650227251685</v>
      </c>
      <c r="T178" s="59">
        <f t="shared" si="142"/>
        <v>386.57315604590599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2.1938008077202356</v>
      </c>
      <c r="AA178" s="21">
        <f>EXP(-LN(2)/25)*AA177+(1-EXP(-LN(2)/25))/(LN(2)/25)*Calculateur!V178*Calculateur!X178*VLOOKUP('Données projet'!$B$9,Paramètres!$A$1:$I$89,3,0)*0.475*44/12</f>
        <v>0.27488460738178511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2.4686854151020206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114.4650227251685</v>
      </c>
      <c r="AO178" s="59">
        <f t="shared" si="144"/>
        <v>386.57315604590599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2.1938008077202356</v>
      </c>
      <c r="AV178" s="21">
        <f>EXP(-LN(2)/25)*AV177+(1-EXP(-LN(2)/25))/(LN(2)/25)*Calculateur!AQ178*Calculateur!AS178*VLOOKUP('Données projet'!$B$10,Paramètres!$A$1:$I$89,3,0)*0.475*44/12</f>
        <v>0.27488460738178511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2.4686854151020206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68.944412338382023</v>
      </c>
      <c r="BJ178" s="59">
        <f t="shared" si="146"/>
        <v>281.00389700159246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1.5469963142586458</v>
      </c>
      <c r="BQ178" s="21">
        <f>EXP(-LN(2)/25)*BQ177+(1-EXP(-LN(2)/25))/(LN(2)/25)*Calculateur!BL178*Calculateur!BN178*VLOOKUP('Données projet'!$B$11,Paramètres!$A$1:$I$89,3,0)*0.475*44/12</f>
        <v>0.1938396015579765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1.7408359158166222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>
        <f>BY178*VLOOKUP('Données projet'!$B$12,Paramètres!$A$1:$I$89,3,0)*VLOOKUP('Données projet'!$B$12,Paramètres!$A$1:$I$89,5,0)</f>
        <v>0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120.26681323682763</v>
      </c>
      <c r="CE178" s="59">
        <f t="shared" si="148"/>
        <v>344.92933166159389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1.9380816951638868</v>
      </c>
      <c r="CL178" s="21">
        <f>EXP(-LN(2)/25)*CL177+(1-EXP(-LN(2)/25))/(LN(2)/25)*Calculateur!CG178*Calculateur!CI178*VLOOKUP('Données projet'!$B$12,Paramètres!$A$1:$I$89,3,0)*0.475*44/12</f>
        <v>0.24284284333114756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2.1809245384950344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>
        <f>CT178*VLOOKUP('Données projet'!$B$13,Paramètres!$A$1:$I$89,3,0)*VLOOKUP('Données projet'!$B$13,Paramètres!$A$1:$I$89,5,0)</f>
        <v>0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120.26681323682763</v>
      </c>
      <c r="CZ178" s="59">
        <f t="shared" si="150"/>
        <v>344.92933166159389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1.9380816951638868</v>
      </c>
      <c r="DG178" s="21">
        <f>EXP(-LN(2)/25)*DG177+(1-EXP(-LN(2)/25))/(LN(2)/25)*Calculateur!DB178*Calculateur!DD178*VLOOKUP('Données projet'!$B$13,Paramètres!$A$1:$I$89,3,0)*0.475*44/12</f>
        <v>0.24284284333114756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2.1809245384950344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114.4650227251685</v>
      </c>
      <c r="T179" s="59">
        <f t="shared" si="142"/>
        <v>386.57315604590599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2.1507817119672095</v>
      </c>
      <c r="AA179" s="21">
        <f>EXP(-LN(2)/25)*AA178+(1-EXP(-LN(2)/25))/(LN(2)/25)*Calculateur!V179*Calculateur!X179*VLOOKUP('Données projet'!$B$9,Paramètres!$A$1:$I$89,3,0)*0.475*44/12</f>
        <v>0.26736787333737694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2.4181495853045862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114.4650227251685</v>
      </c>
      <c r="AO179" s="59">
        <f t="shared" si="144"/>
        <v>386.57315604590599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2.1507817119672095</v>
      </c>
      <c r="AV179" s="21">
        <f>EXP(-LN(2)/25)*AV178+(1-EXP(-LN(2)/25))/(LN(2)/25)*Calculateur!AQ179*Calculateur!AS179*VLOOKUP('Données projet'!$B$10,Paramètres!$A$1:$I$89,3,0)*0.475*44/12</f>
        <v>0.26736787333737694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2.4181495853045862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68.944412338382023</v>
      </c>
      <c r="BJ179" s="59">
        <f t="shared" si="146"/>
        <v>281.00389700159246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1.5166606601106152</v>
      </c>
      <c r="BQ179" s="21">
        <f>EXP(-LN(2)/25)*BQ178+(1-EXP(-LN(2)/25))/(LN(2)/25)*Calculateur!BL179*Calculateur!BN179*VLOOKUP('Données projet'!$B$11,Paramètres!$A$1:$I$89,3,0)*0.475*44/12</f>
        <v>0.18853904745979203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1.7051997075704073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>
        <f>BY179*VLOOKUP('Données projet'!$B$12,Paramètres!$A$1:$I$89,3,0)*VLOOKUP('Données projet'!$B$12,Paramètres!$A$1:$I$89,5,0)</f>
        <v>0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120.26681323682763</v>
      </c>
      <c r="CE179" s="59">
        <f t="shared" si="148"/>
        <v>344.92933166159389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1.9000770952348331</v>
      </c>
      <c r="CL179" s="21">
        <f>EXP(-LN(2)/25)*CL178+(1-EXP(-LN(2)/25))/(LN(2)/25)*Calculateur!CG179*Calculateur!CI179*VLOOKUP('Données projet'!$B$12,Paramètres!$A$1:$I$89,3,0)*0.475*44/12</f>
        <v>0.23620229300970721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2.1362793882445406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>
        <f>CT179*VLOOKUP('Données projet'!$B$13,Paramètres!$A$1:$I$89,3,0)*VLOOKUP('Données projet'!$B$13,Paramètres!$A$1:$I$89,5,0)</f>
        <v>0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120.26681323682763</v>
      </c>
      <c r="CZ179" s="59">
        <f t="shared" si="150"/>
        <v>344.92933166159389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1.9000770952348331</v>
      </c>
      <c r="DG179" s="21">
        <f>EXP(-LN(2)/25)*DG178+(1-EXP(-LN(2)/25))/(LN(2)/25)*Calculateur!DB179*Calculateur!DD179*VLOOKUP('Données projet'!$B$13,Paramètres!$A$1:$I$89,3,0)*0.475*44/12</f>
        <v>0.23620229300970721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2.1362793882445406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114.4650227251685</v>
      </c>
      <c r="T180" s="59">
        <f t="shared" si="142"/>
        <v>386.57315604590599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2.1086061944428427</v>
      </c>
      <c r="AA180" s="21">
        <f>EXP(-LN(2)/25)*AA179+(1-EXP(-LN(2)/25))/(LN(2)/25)*Calculateur!V180*Calculateur!X180*VLOOKUP('Données projet'!$B$9,Paramètres!$A$1:$I$89,3,0)*0.475*44/12</f>
        <v>0.26005668478070099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2.3686628792235438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114.4650227251685</v>
      </c>
      <c r="AO180" s="59">
        <f t="shared" si="144"/>
        <v>386.57315604590599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2.1086061944428427</v>
      </c>
      <c r="AV180" s="21">
        <f>EXP(-LN(2)/25)*AV179+(1-EXP(-LN(2)/25))/(LN(2)/25)*Calculateur!AQ180*Calculateur!AS180*VLOOKUP('Données projet'!$B$10,Paramètres!$A$1:$I$89,3,0)*0.475*44/12</f>
        <v>0.26005668478070099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2.3686628792235438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68.944412338382023</v>
      </c>
      <c r="BJ180" s="59">
        <f t="shared" si="146"/>
        <v>281.00389700159246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1.4869198696375054</v>
      </c>
      <c r="BQ180" s="21">
        <f>EXP(-LN(2)/25)*BQ179+(1-EXP(-LN(2)/25))/(LN(2)/25)*Calculateur!BL180*Calculateur!BN180*VLOOKUP('Données projet'!$B$11,Paramètres!$A$1:$I$89,3,0)*0.475*44/12</f>
        <v>0.18338343729216641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1.6703033069296718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>
        <f>BY180*VLOOKUP('Données projet'!$B$12,Paramètres!$A$1:$I$89,3,0)*VLOOKUP('Données projet'!$B$12,Paramètres!$A$1:$I$89,5,0)</f>
        <v>0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120.26681323682763</v>
      </c>
      <c r="CE180" s="59">
        <f t="shared" si="148"/>
        <v>344.92933166159389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1.8628177423298711</v>
      </c>
      <c r="CL180" s="21">
        <f>EXP(-LN(2)/25)*CL179+(1-EXP(-LN(2)/25))/(LN(2)/25)*Calculateur!CG180*Calculateur!CI180*VLOOKUP('Données projet'!$B$12,Paramètres!$A$1:$I$89,3,0)*0.475*44/12</f>
        <v>0.22974332888601803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2.0925610712158891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>
        <f>CT180*VLOOKUP('Données projet'!$B$13,Paramètres!$A$1:$I$89,3,0)*VLOOKUP('Données projet'!$B$13,Paramètres!$A$1:$I$89,5,0)</f>
        <v>0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120.26681323682763</v>
      </c>
      <c r="CZ180" s="59">
        <f t="shared" si="150"/>
        <v>344.92933166159389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1.8628177423298711</v>
      </c>
      <c r="DG180" s="21">
        <f>EXP(-LN(2)/25)*DG179+(1-EXP(-LN(2)/25))/(LN(2)/25)*Calculateur!DB180*Calculateur!DD180*VLOOKUP('Données projet'!$B$13,Paramètres!$A$1:$I$89,3,0)*0.475*44/12</f>
        <v>0.22974332888601803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2.0925610712158891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114.4650227251685</v>
      </c>
      <c r="T181" s="59">
        <f t="shared" si="142"/>
        <v>386.57315604590599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2.0672577130926029</v>
      </c>
      <c r="AA181" s="21">
        <f>EXP(-LN(2)/25)*AA180+(1-EXP(-LN(2)/25))/(LN(2)/25)*Calculateur!V181*Calculateur!X181*VLOOKUP('Données projet'!$B$9,Paramètres!$A$1:$I$89,3,0)*0.475*44/12</f>
        <v>0.25294542105958601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2.3202031341521887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114.4650227251685</v>
      </c>
      <c r="AO181" s="59">
        <f t="shared" si="144"/>
        <v>386.57315604590599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2.0672577130926029</v>
      </c>
      <c r="AV181" s="21">
        <f>EXP(-LN(2)/25)*AV180+(1-EXP(-LN(2)/25))/(LN(2)/25)*Calculateur!AQ181*Calculateur!AS181*VLOOKUP('Données projet'!$B$10,Paramètres!$A$1:$I$89,3,0)*0.475*44/12</f>
        <v>0.25294542105958601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2.3202031341521887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68.944412338382023</v>
      </c>
      <c r="BJ181" s="59">
        <f t="shared" si="146"/>
        <v>281.00389700159246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1.4577622779254824</v>
      </c>
      <c r="BQ181" s="21">
        <f>EXP(-LN(2)/25)*BQ180+(1-EXP(-LN(2)/25))/(LN(2)/25)*Calculateur!BL181*Calculateur!BN181*VLOOKUP('Données projet'!$B$11,Paramètres!$A$1:$I$89,3,0)*0.475*44/12</f>
        <v>0.17836880755569628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1.6361310854811788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>
        <f>BY181*VLOOKUP('Données projet'!$B$12,Paramètres!$A$1:$I$89,3,0)*VLOOKUP('Données projet'!$B$12,Paramètres!$A$1:$I$89,5,0)</f>
        <v>0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120.26681323682763</v>
      </c>
      <c r="CE181" s="59">
        <f t="shared" si="148"/>
        <v>344.92933166159389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1.8262890226094139</v>
      </c>
      <c r="CL181" s="21">
        <f>EXP(-LN(2)/25)*CL180+(1-EXP(-LN(2)/25))/(LN(2)/25)*Calculateur!CG181*Calculateur!CI181*VLOOKUP('Données projet'!$B$12,Paramètres!$A$1:$I$89,3,0)*0.475*44/12</f>
        <v>0.22346098547595328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2.0497500080853674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>
        <f>CT181*VLOOKUP('Données projet'!$B$13,Paramètres!$A$1:$I$89,3,0)*VLOOKUP('Données projet'!$B$13,Paramètres!$A$1:$I$89,5,0)</f>
        <v>0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120.26681323682763</v>
      </c>
      <c r="CZ181" s="59">
        <f t="shared" si="150"/>
        <v>344.92933166159389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1.8262890226094139</v>
      </c>
      <c r="DG181" s="21">
        <f>EXP(-LN(2)/25)*DG180+(1-EXP(-LN(2)/25))/(LN(2)/25)*Calculateur!DB181*Calculateur!DD181*VLOOKUP('Données projet'!$B$13,Paramètres!$A$1:$I$89,3,0)*0.475*44/12</f>
        <v>0.22346098547595328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2.0497500080853674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114.4650227251685</v>
      </c>
      <c r="T182" s="59">
        <f t="shared" si="142"/>
        <v>386.57315604590599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2.0267200502415581</v>
      </c>
      <c r="AA182" s="21">
        <f>EXP(-LN(2)/25)*AA181+(1-EXP(-LN(2)/25))/(LN(2)/25)*Calculateur!V182*Calculateur!X182*VLOOKUP('Données projet'!$B$9,Paramètres!$A$1:$I$89,3,0)*0.475*44/12</f>
        <v>0.24602861521889005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2.2727486654604481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114.4650227251685</v>
      </c>
      <c r="AO182" s="59">
        <f t="shared" si="144"/>
        <v>386.57315604590599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2.0267200502415581</v>
      </c>
      <c r="AV182" s="21">
        <f>EXP(-LN(2)/25)*AV181+(1-EXP(-LN(2)/25))/(LN(2)/25)*Calculateur!AQ182*Calculateur!AS182*VLOOKUP('Données projet'!$B$10,Paramètres!$A$1:$I$89,3,0)*0.475*44/12</f>
        <v>0.24602861521889005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2.2727486654604481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68.944412338382023</v>
      </c>
      <c r="BJ182" s="59">
        <f t="shared" si="146"/>
        <v>281.00389700159246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1.4291764488025573</v>
      </c>
      <c r="BQ182" s="21">
        <f>EXP(-LN(2)/25)*BQ181+(1-EXP(-LN(2)/25))/(LN(2)/25)*Calculateur!BL182*Calculateur!BN182*VLOOKUP('Données projet'!$B$11,Paramètres!$A$1:$I$89,3,0)*0.475*44/12</f>
        <v>0.17349130313307784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1.6026677519356352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>
        <f>BY182*VLOOKUP('Données projet'!$B$12,Paramètres!$A$1:$I$89,3,0)*VLOOKUP('Données projet'!$B$12,Paramètres!$A$1:$I$89,5,0)</f>
        <v>0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120.26681323682763</v>
      </c>
      <c r="CE182" s="59">
        <f t="shared" si="148"/>
        <v>344.92933166159389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1.790476608802356</v>
      </c>
      <c r="CL182" s="21">
        <f>EXP(-LN(2)/25)*CL181+(1-EXP(-LN(2)/25))/(LN(2)/25)*Calculateur!CG182*Calculateur!CI182*VLOOKUP('Données projet'!$B$12,Paramètres!$A$1:$I$89,3,0)*0.475*44/12</f>
        <v>0.21735043307681085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2.0078270418791671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>
        <f>CT182*VLOOKUP('Données projet'!$B$13,Paramètres!$A$1:$I$89,3,0)*VLOOKUP('Données projet'!$B$13,Paramètres!$A$1:$I$89,5,0)</f>
        <v>0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120.26681323682763</v>
      </c>
      <c r="CZ182" s="59">
        <f t="shared" si="150"/>
        <v>344.92933166159389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1.790476608802356</v>
      </c>
      <c r="DG182" s="21">
        <f>EXP(-LN(2)/25)*DG181+(1-EXP(-LN(2)/25))/(LN(2)/25)*Calculateur!DB182*Calculateur!DD182*VLOOKUP('Données projet'!$B$13,Paramètres!$A$1:$I$89,3,0)*0.475*44/12</f>
        <v>0.21735043307681085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2.0078270418791671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114.4650227251685</v>
      </c>
      <c r="T183" s="59">
        <f t="shared" si="142"/>
        <v>386.57315604590599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1.9869773062334894</v>
      </c>
      <c r="AA183" s="21">
        <f>EXP(-LN(2)/25)*AA182+(1-EXP(-LN(2)/25))/(LN(2)/25)*Calculateur!V183*Calculateur!X183*VLOOKUP('Données projet'!$B$9,Paramètres!$A$1:$I$89,3,0)*0.475*44/12</f>
        <v>0.23930094979764693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2.2262782560311365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114.4650227251685</v>
      </c>
      <c r="AO183" s="59">
        <f t="shared" si="144"/>
        <v>386.57315604590599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1.9869773062334894</v>
      </c>
      <c r="AV183" s="21">
        <f>EXP(-LN(2)/25)*AV182+(1-EXP(-LN(2)/25))/(LN(2)/25)*Calculateur!AQ183*Calculateur!AS183*VLOOKUP('Données projet'!$B$10,Paramètres!$A$1:$I$89,3,0)*0.475*44/12</f>
        <v>0.23930094979764693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2.2262782560311365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68.944412338382023</v>
      </c>
      <c r="BJ183" s="59">
        <f t="shared" si="146"/>
        <v>281.00389700159246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1.4011511703530986</v>
      </c>
      <c r="BQ183" s="21">
        <f>EXP(-LN(2)/25)*BQ182+(1-EXP(-LN(2)/25))/(LN(2)/25)*Calculateur!BL183*Calculateur!BN183*VLOOKUP('Données projet'!$B$11,Paramètres!$A$1:$I$89,3,0)*0.475*44/12</f>
        <v>0.16874717432539271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1.5698983446784913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>
        <f>BY183*VLOOKUP('Données projet'!$B$12,Paramètres!$A$1:$I$89,3,0)*VLOOKUP('Données projet'!$B$12,Paramètres!$A$1:$I$89,5,0)</f>
        <v>0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120.26681323682763</v>
      </c>
      <c r="CE183" s="59">
        <f t="shared" si="148"/>
        <v>344.92933166159389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1.755366454586639</v>
      </c>
      <c r="CL183" s="21">
        <f>EXP(-LN(2)/25)*CL182+(1-EXP(-LN(2)/25))/(LN(2)/25)*Calculateur!CG183*Calculateur!CI183*VLOOKUP('Données projet'!$B$12,Paramètres!$A$1:$I$89,3,0)*0.475*44/12</f>
        <v>0.21140697405436293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1.9667734286410019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>
        <f>CT183*VLOOKUP('Données projet'!$B$13,Paramètres!$A$1:$I$89,3,0)*VLOOKUP('Données projet'!$B$13,Paramètres!$A$1:$I$89,5,0)</f>
        <v>0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120.26681323682763</v>
      </c>
      <c r="CZ183" s="59">
        <f t="shared" si="150"/>
        <v>344.92933166159389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1.755366454586639</v>
      </c>
      <c r="DG183" s="21">
        <f>EXP(-LN(2)/25)*DG182+(1-EXP(-LN(2)/25))/(LN(2)/25)*Calculateur!DB183*Calculateur!DD183*VLOOKUP('Données projet'!$B$13,Paramètres!$A$1:$I$89,3,0)*0.475*44/12</f>
        <v>0.21140697405436293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1.9667734286410019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114.4650227251685</v>
      </c>
      <c r="T184" s="59">
        <f t="shared" si="142"/>
        <v>386.57315604590599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1.9480138931947388</v>
      </c>
      <c r="AA184" s="21">
        <f>EXP(-LN(2)/25)*AA183+(1-EXP(-LN(2)/25))/(LN(2)/25)*Calculateur!V184*Calculateur!X184*VLOOKUP('Données projet'!$B$9,Paramètres!$A$1:$I$89,3,0)*0.475*44/12</f>
        <v>0.23275725274114026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2.180771145935879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114.4650227251685</v>
      </c>
      <c r="AO184" s="59">
        <f t="shared" si="144"/>
        <v>386.57315604590599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1.9480138931947388</v>
      </c>
      <c r="AV184" s="21">
        <f>EXP(-LN(2)/25)*AV183+(1-EXP(-LN(2)/25))/(LN(2)/25)*Calculateur!AQ184*Calculateur!AS184*VLOOKUP('Données projet'!$B$10,Paramètres!$A$1:$I$89,3,0)*0.475*44/12</f>
        <v>0.23275725274114026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2.180771145935879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68.944412338382023</v>
      </c>
      <c r="BJ184" s="59">
        <f t="shared" si="146"/>
        <v>281.00389700159246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1.3736754505203017</v>
      </c>
      <c r="BQ184" s="21">
        <f>EXP(-LN(2)/25)*BQ183+(1-EXP(-LN(2)/25))/(LN(2)/25)*Calculateur!BL184*Calculateur!BN184*VLOOKUP('Données projet'!$B$11,Paramètres!$A$1:$I$89,3,0)*0.475*44/12</f>
        <v>0.16413277396943662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1.5378082244897384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>
        <f>BY184*VLOOKUP('Données projet'!$B$12,Paramètres!$A$1:$I$89,3,0)*VLOOKUP('Données projet'!$B$12,Paramètres!$A$1:$I$89,5,0)</f>
        <v>0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120.26681323682763</v>
      </c>
      <c r="CE184" s="59">
        <f t="shared" si="148"/>
        <v>344.92933166159389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1.7209447890800127</v>
      </c>
      <c r="CL184" s="21">
        <f>EXP(-LN(2)/25)*CL183+(1-EXP(-LN(2)/25))/(LN(2)/25)*Calculateur!CG184*Calculateur!CI184*VLOOKUP('Données projet'!$B$12,Paramètres!$A$1:$I$89,3,0)*0.475*44/12</f>
        <v>0.2056260392314368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1.9265708283114495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>
        <f>CT184*VLOOKUP('Données projet'!$B$13,Paramètres!$A$1:$I$89,3,0)*VLOOKUP('Données projet'!$B$13,Paramètres!$A$1:$I$89,5,0)</f>
        <v>0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120.26681323682763</v>
      </c>
      <c r="CZ184" s="59">
        <f t="shared" si="150"/>
        <v>344.92933166159389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1.7209447890800127</v>
      </c>
      <c r="DG184" s="21">
        <f>EXP(-LN(2)/25)*DG183+(1-EXP(-LN(2)/25))/(LN(2)/25)*Calculateur!DB184*Calculateur!DD184*VLOOKUP('Données projet'!$B$13,Paramètres!$A$1:$I$89,3,0)*0.475*44/12</f>
        <v>0.2056260392314368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1.9265708283114495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114.4650227251685</v>
      </c>
      <c r="T185" s="59">
        <f t="shared" si="142"/>
        <v>386.57315604590599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1.9098145289203428</v>
      </c>
      <c r="AA185" s="21">
        <f>EXP(-LN(2)/25)*AA184+(1-EXP(-LN(2)/25))/(LN(2)/25)*Calculateur!V185*Calculateur!X185*VLOOKUP('Données projet'!$B$9,Paramètres!$A$1:$I$89,3,0)*0.475*44/12</f>
        <v>0.22639249342476184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2.1362070223451046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114.4650227251685</v>
      </c>
      <c r="AO185" s="59">
        <f t="shared" si="144"/>
        <v>386.57315604590599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1.9098145289203428</v>
      </c>
      <c r="AV185" s="21">
        <f>EXP(-LN(2)/25)*AV184+(1-EXP(-LN(2)/25))/(LN(2)/25)*Calculateur!AQ185*Calculateur!AS185*VLOOKUP('Données projet'!$B$10,Paramètres!$A$1:$I$89,3,0)*0.475*44/12</f>
        <v>0.22639249342476184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2.1362070223451046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68.944412338382023</v>
      </c>
      <c r="BJ185" s="59">
        <f t="shared" si="146"/>
        <v>281.00389700159246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1.3467385127948917</v>
      </c>
      <c r="BQ185" s="21">
        <f>EXP(-LN(2)/25)*BQ184+(1-EXP(-LN(2)/25))/(LN(2)/25)*Calculateur!BL185*Calculateur!BN185*VLOOKUP('Données projet'!$B$11,Paramètres!$A$1:$I$89,3,0)*0.475*44/12</f>
        <v>0.15964455463387492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1.5063830674287666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>
        <f>BY185*VLOOKUP('Données projet'!$B$12,Paramètres!$A$1:$I$89,3,0)*VLOOKUP('Données projet'!$B$12,Paramètres!$A$1:$I$89,5,0)</f>
        <v>0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120.26681323682763</v>
      </c>
      <c r="CE185" s="59">
        <f t="shared" si="148"/>
        <v>344.92933166159389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1.6871981114388284</v>
      </c>
      <c r="CL185" s="21">
        <f>EXP(-LN(2)/25)*CL184+(1-EXP(-LN(2)/25))/(LN(2)/25)*Calculateur!CG185*Calculateur!CI185*VLOOKUP('Données projet'!$B$12,Paramètres!$A$1:$I$89,3,0)*0.475*44/12</f>
        <v>0.20000318437524972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1.887201295814078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>
        <f>CT185*VLOOKUP('Données projet'!$B$13,Paramètres!$A$1:$I$89,3,0)*VLOOKUP('Données projet'!$B$13,Paramètres!$A$1:$I$89,5,0)</f>
        <v>0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120.26681323682763</v>
      </c>
      <c r="CZ185" s="59">
        <f t="shared" si="150"/>
        <v>344.92933166159389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1.6871981114388284</v>
      </c>
      <c r="DG185" s="21">
        <f>EXP(-LN(2)/25)*DG184+(1-EXP(-LN(2)/25))/(LN(2)/25)*Calculateur!DB185*Calculateur!DD185*VLOOKUP('Données projet'!$B$13,Paramètres!$A$1:$I$89,3,0)*0.475*44/12</f>
        <v>0.20000318437524972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1.887201295814078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114.4650227251685</v>
      </c>
      <c r="T186" s="59">
        <f t="shared" si="142"/>
        <v>386.57315604590599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1.8723642308800559</v>
      </c>
      <c r="AA186" s="21">
        <f>EXP(-LN(2)/25)*AA185+(1-EXP(-LN(2)/25))/(LN(2)/25)*Calculateur!V186*Calculateur!X186*VLOOKUP('Données projet'!$B$9,Paramètres!$A$1:$I$89,3,0)*0.475*44/12</f>
        <v>0.22020177878659791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2.0925660096666538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114.4650227251685</v>
      </c>
      <c r="AO186" s="59">
        <f t="shared" si="144"/>
        <v>386.57315604590599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1.8723642308800559</v>
      </c>
      <c r="AV186" s="21">
        <f>EXP(-LN(2)/25)*AV185+(1-EXP(-LN(2)/25))/(LN(2)/25)*Calculateur!AQ186*Calculateur!AS186*VLOOKUP('Données projet'!$B$10,Paramètres!$A$1:$I$89,3,0)*0.475*44/12</f>
        <v>0.22020177878659791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2.0925660096666538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68.944412338382023</v>
      </c>
      <c r="BJ186" s="59">
        <f t="shared" si="146"/>
        <v>281.00389700159246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1.3203297919883672</v>
      </c>
      <c r="BQ186" s="21">
        <f>EXP(-LN(2)/25)*BQ185+(1-EXP(-LN(2)/25))/(LN(2)/25)*Calculateur!BL186*Calculateur!BN186*VLOOKUP('Données projet'!$B$11,Paramètres!$A$1:$I$89,3,0)*0.475*44/12</f>
        <v>0.15527906589206936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1.4756088578804365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>
        <f>BY186*VLOOKUP('Données projet'!$B$12,Paramètres!$A$1:$I$89,3,0)*VLOOKUP('Données projet'!$B$12,Paramètres!$A$1:$I$89,5,0)</f>
        <v>0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120.26681323682763</v>
      </c>
      <c r="CE186" s="59">
        <f t="shared" si="148"/>
        <v>344.92933166159389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1.6541131855627469</v>
      </c>
      <c r="CL186" s="21">
        <f>EXP(-LN(2)/25)*CL185+(1-EXP(-LN(2)/25))/(LN(2)/25)*Calculateur!CG186*Calculateur!CI186*VLOOKUP('Données projet'!$B$12,Paramètres!$A$1:$I$89,3,0)*0.475*44/12</f>
        <v>0.19453408678079817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1.848647272343545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>
        <f>CT186*VLOOKUP('Données projet'!$B$13,Paramètres!$A$1:$I$89,3,0)*VLOOKUP('Données projet'!$B$13,Paramètres!$A$1:$I$89,5,0)</f>
        <v>0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120.26681323682763</v>
      </c>
      <c r="CZ186" s="59">
        <f t="shared" si="150"/>
        <v>344.92933166159389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1.6541131855627469</v>
      </c>
      <c r="DG186" s="21">
        <f>EXP(-LN(2)/25)*DG185+(1-EXP(-LN(2)/25))/(LN(2)/25)*Calculateur!DB186*Calculateur!DD186*VLOOKUP('Données projet'!$B$13,Paramètres!$A$1:$I$89,3,0)*0.475*44/12</f>
        <v>0.19453408678079817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1.848647272343545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114.4650227251685</v>
      </c>
      <c r="T187" s="59">
        <f t="shared" si="142"/>
        <v>386.57315604590599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1.8356483103419128</v>
      </c>
      <c r="AA187" s="21">
        <f>EXP(-LN(2)/25)*AA186+(1-EXP(-LN(2)/25))/(LN(2)/25)*Calculateur!V187*Calculateur!X187*VLOOKUP('Données projet'!$B$9,Paramètres!$A$1:$I$89,3,0)*0.475*44/12</f>
        <v>0.21418034956577012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2.0498286599076829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114.4650227251685</v>
      </c>
      <c r="AO187" s="59">
        <f t="shared" si="144"/>
        <v>386.57315604590599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1.8356483103419128</v>
      </c>
      <c r="AV187" s="21">
        <f>EXP(-LN(2)/25)*AV186+(1-EXP(-LN(2)/25))/(LN(2)/25)*Calculateur!AQ187*Calculateur!AS187*VLOOKUP('Données projet'!$B$10,Paramètres!$A$1:$I$89,3,0)*0.475*44/12</f>
        <v>0.21418034956577012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2.0498286599076829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68.944412338382023</v>
      </c>
      <c r="BJ187" s="59">
        <f t="shared" si="146"/>
        <v>281.00389700159246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1.2944389300891295</v>
      </c>
      <c r="BQ187" s="21">
        <f>EXP(-LN(2)/25)*BQ186+(1-EXP(-LN(2)/25))/(LN(2)/25)*Calculateur!BL187*Calculateur!BN187*VLOOKUP('Données projet'!$B$11,Paramètres!$A$1:$I$89,3,0)*0.475*44/12</f>
        <v>0.15103295166947955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1.445471881758609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>
        <f>BY187*VLOOKUP('Données projet'!$B$12,Paramètres!$A$1:$I$89,3,0)*VLOOKUP('Données projet'!$B$12,Paramètres!$A$1:$I$89,5,0)</f>
        <v>0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120.26681323682763</v>
      </c>
      <c r="CE187" s="59">
        <f t="shared" si="148"/>
        <v>344.92933166159389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1.6216770349032832</v>
      </c>
      <c r="CL187" s="21">
        <f>EXP(-LN(2)/25)*CL186+(1-EXP(-LN(2)/25))/(LN(2)/25)*Calculateur!CG187*Calculateur!CI187*VLOOKUP('Données projet'!$B$12,Paramètres!$A$1:$I$89,3,0)*0.475*44/12</f>
        <v>0.18921454194767423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1.8108915768509575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>
        <f>CT187*VLOOKUP('Données projet'!$B$13,Paramètres!$A$1:$I$89,3,0)*VLOOKUP('Données projet'!$B$13,Paramètres!$A$1:$I$89,5,0)</f>
        <v>0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120.26681323682763</v>
      </c>
      <c r="CZ187" s="59">
        <f t="shared" si="150"/>
        <v>344.92933166159389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1.6216770349032832</v>
      </c>
      <c r="DG187" s="21">
        <f>EXP(-LN(2)/25)*DG186+(1-EXP(-LN(2)/25))/(LN(2)/25)*Calculateur!DB187*Calculateur!DD187*VLOOKUP('Données projet'!$B$13,Paramètres!$A$1:$I$89,3,0)*0.475*44/12</f>
        <v>0.18921454194767423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1.8108915768509575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114.4650227251685</v>
      </c>
      <c r="T188" s="59">
        <f t="shared" si="142"/>
        <v>386.57315604590599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1.7996523666110225</v>
      </c>
      <c r="AA188" s="21">
        <f>EXP(-LN(2)/25)*AA187+(1-EXP(-LN(2)/25))/(LN(2)/25)*Calculateur!V188*Calculateur!X188*VLOOKUP('Données projet'!$B$9,Paramètres!$A$1:$I$89,3,0)*0.475*44/12</f>
        <v>0.20832357664363907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2.0079759432546616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114.4650227251685</v>
      </c>
      <c r="AO188" s="59">
        <f t="shared" si="144"/>
        <v>386.57315604590599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1.7996523666110225</v>
      </c>
      <c r="AV188" s="21">
        <f>EXP(-LN(2)/25)*AV187+(1-EXP(-LN(2)/25))/(LN(2)/25)*Calculateur!AQ188*Calculateur!AS188*VLOOKUP('Données projet'!$B$10,Paramètres!$A$1:$I$89,3,0)*0.475*44/12</f>
        <v>0.20832357664363907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2.0079759432546616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68.944412338382023</v>
      </c>
      <c r="BJ188" s="59">
        <f t="shared" si="146"/>
        <v>281.00389700159246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1.2690557721998694</v>
      </c>
      <c r="BQ188" s="21">
        <f>EXP(-LN(2)/25)*BQ187+(1-EXP(-LN(2)/25))/(LN(2)/25)*Calculateur!BL188*Calculateur!BN188*VLOOKUP('Données projet'!$B$11,Paramètres!$A$1:$I$89,3,0)*0.475*44/12</f>
        <v>0.1469029476635999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1.4159587198634693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>
        <f>BY188*VLOOKUP('Données projet'!$B$12,Paramètres!$A$1:$I$89,3,0)*VLOOKUP('Données projet'!$B$12,Paramètres!$A$1:$I$89,5,0)</f>
        <v>0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120.26681323682763</v>
      </c>
      <c r="CE188" s="59">
        <f t="shared" si="148"/>
        <v>344.92933166159389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1.589876937374153</v>
      </c>
      <c r="CL188" s="21">
        <f>EXP(-LN(2)/25)*CL187+(1-EXP(-LN(2)/25))/(LN(2)/25)*Calculateur!CG188*Calculateur!CI188*VLOOKUP('Données projet'!$B$12,Paramètres!$A$1:$I$89,3,0)*0.475*44/12</f>
        <v>0.18404046034775479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1.7739173977219078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>
        <f>CT188*VLOOKUP('Données projet'!$B$13,Paramètres!$A$1:$I$89,3,0)*VLOOKUP('Données projet'!$B$13,Paramètres!$A$1:$I$89,5,0)</f>
        <v>0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120.26681323682763</v>
      </c>
      <c r="CZ188" s="59">
        <f t="shared" si="150"/>
        <v>344.92933166159389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1.589876937374153</v>
      </c>
      <c r="DG188" s="21">
        <f>EXP(-LN(2)/25)*DG187+(1-EXP(-LN(2)/25))/(LN(2)/25)*Calculateur!DB188*Calculateur!DD188*VLOOKUP('Données projet'!$B$13,Paramètres!$A$1:$I$89,3,0)*0.475*44/12</f>
        <v>0.18404046034775479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1.7739173977219078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114.4650227251685</v>
      </c>
      <c r="T189" s="59">
        <f t="shared" si="142"/>
        <v>386.57315604590599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1.7643622813813371</v>
      </c>
      <c r="AA189" s="21">
        <f>EXP(-LN(2)/25)*AA188+(1-EXP(-LN(2)/25))/(LN(2)/25)*Calculateur!V189*Calculateur!X189*VLOOKUP('Données projet'!$B$9,Paramètres!$A$1:$I$89,3,0)*0.475*44/12</f>
        <v>0.20262695748505799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1.966989238866395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114.4650227251685</v>
      </c>
      <c r="AO189" s="59">
        <f t="shared" si="144"/>
        <v>386.57315604590599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1.7643622813813371</v>
      </c>
      <c r="AV189" s="21">
        <f>EXP(-LN(2)/25)*AV188+(1-EXP(-LN(2)/25))/(LN(2)/25)*Calculateur!AQ189*Calculateur!AS189*VLOOKUP('Données projet'!$B$10,Paramètres!$A$1:$I$89,3,0)*0.475*44/12</f>
        <v>0.20262695748505799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1.966989238866395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68.944412338382023</v>
      </c>
      <c r="BJ189" s="59">
        <f t="shared" si="146"/>
        <v>281.00389700159246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1.2441703625546201</v>
      </c>
      <c r="BQ189" s="21">
        <f>EXP(-LN(2)/25)*BQ188+(1-EXP(-LN(2)/25))/(LN(2)/25)*Calculateur!BL189*Calculateur!BN189*VLOOKUP('Données projet'!$B$11,Paramètres!$A$1:$I$89,3,0)*0.475*44/12</f>
        <v>0.1428858788344485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1.3870562413890686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>
        <f>BY189*VLOOKUP('Données projet'!$B$12,Paramètres!$A$1:$I$89,3,0)*VLOOKUP('Données projet'!$B$12,Paramètres!$A$1:$I$89,5,0)</f>
        <v>0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120.26681323682763</v>
      </c>
      <c r="CE189" s="59">
        <f t="shared" si="148"/>
        <v>344.92933166159389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1.558700420361425</v>
      </c>
      <c r="CL189" s="21">
        <f>EXP(-LN(2)/25)*CL188+(1-EXP(-LN(2)/25))/(LN(2)/25)*Calculateur!CG189*Calculateur!CI189*VLOOKUP('Données projet'!$B$12,Paramètres!$A$1:$I$89,3,0)*0.475*44/12</f>
        <v>0.17900786428127824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1.7377082846427032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>
        <f>CT189*VLOOKUP('Données projet'!$B$13,Paramètres!$A$1:$I$89,3,0)*VLOOKUP('Données projet'!$B$13,Paramètres!$A$1:$I$89,5,0)</f>
        <v>0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120.26681323682763</v>
      </c>
      <c r="CZ189" s="59">
        <f t="shared" si="150"/>
        <v>344.92933166159389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1.558700420361425</v>
      </c>
      <c r="DG189" s="21">
        <f>EXP(-LN(2)/25)*DG188+(1-EXP(-LN(2)/25))/(LN(2)/25)*Calculateur!DB189*Calculateur!DD189*VLOOKUP('Données projet'!$B$13,Paramètres!$A$1:$I$89,3,0)*0.475*44/12</f>
        <v>0.17900786428127824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1.7377082846427032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114.4650227251685</v>
      </c>
      <c r="T190" s="59">
        <f t="shared" si="142"/>
        <v>386.57315604590599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1.7297642131981792</v>
      </c>
      <c r="AA190" s="21">
        <f>EXP(-LN(2)/25)*AA189+(1-EXP(-LN(2)/25))/(LN(2)/25)*Calculateur!V190*Calculateur!X190*VLOOKUP('Données projet'!$B$9,Paramètres!$A$1:$I$89,3,0)*0.475*44/12</f>
        <v>0.19708611267694048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1.9268503258751197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114.4650227251685</v>
      </c>
      <c r="AO190" s="59">
        <f t="shared" si="144"/>
        <v>386.57315604590599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1.7297642131981792</v>
      </c>
      <c r="AV190" s="21">
        <f>EXP(-LN(2)/25)*AV189+(1-EXP(-LN(2)/25))/(LN(2)/25)*Calculateur!AQ190*Calculateur!AS190*VLOOKUP('Données projet'!$B$10,Paramètres!$A$1:$I$89,3,0)*0.475*44/12</f>
        <v>0.19708611267694048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1.9268503258751197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68.944412338382023</v>
      </c>
      <c r="BJ190" s="59">
        <f t="shared" si="146"/>
        <v>281.00389700159246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1.2197729406139131</v>
      </c>
      <c r="BQ190" s="21">
        <f>EXP(-LN(2)/25)*BQ189+(1-EXP(-LN(2)/25))/(LN(2)/25)*Calculateur!BL190*Calculateur!BN190*VLOOKUP('Données projet'!$B$11,Paramètres!$A$1:$I$89,3,0)*0.475*44/12</f>
        <v>0.1389786569636787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1.3587515975775917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>
        <f>BY190*VLOOKUP('Données projet'!$B$12,Paramètres!$A$1:$I$89,3,0)*VLOOKUP('Données projet'!$B$12,Paramètres!$A$1:$I$89,5,0)</f>
        <v>0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120.26681323682763</v>
      </c>
      <c r="CE190" s="59">
        <f t="shared" si="148"/>
        <v>344.92933166159389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1.5281352558315187</v>
      </c>
      <c r="CL190" s="21">
        <f>EXP(-LN(2)/25)*CL189+(1-EXP(-LN(2)/25))/(LN(2)/25)*Calculateur!CG190*Calculateur!CI190*VLOOKUP('Données projet'!$B$12,Paramètres!$A$1:$I$89,3,0)*0.475*44/12</f>
        <v>0.17411288481889223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1.7022481406504109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>
        <f>CT190*VLOOKUP('Données projet'!$B$13,Paramètres!$A$1:$I$89,3,0)*VLOOKUP('Données projet'!$B$13,Paramètres!$A$1:$I$89,5,0)</f>
        <v>0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120.26681323682763</v>
      </c>
      <c r="CZ190" s="59">
        <f t="shared" si="150"/>
        <v>344.92933166159389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1.5281352558315187</v>
      </c>
      <c r="DG190" s="21">
        <f>EXP(-LN(2)/25)*DG189+(1-EXP(-LN(2)/25))/(LN(2)/25)*Calculateur!DB190*Calculateur!DD190*VLOOKUP('Données projet'!$B$13,Paramètres!$A$1:$I$89,3,0)*0.475*44/12</f>
        <v>0.17411288481889223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1.7022481406504109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114.4650227251685</v>
      </c>
      <c r="T191" s="59">
        <f t="shared" si="142"/>
        <v>386.57315604590599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1.6958445920293552</v>
      </c>
      <c r="AA191" s="21">
        <f>EXP(-LN(2)/25)*AA190+(1-EXP(-LN(2)/25))/(LN(2)/25)*Calculateur!V191*Calculateur!X191*VLOOKUP('Données projet'!$B$9,Paramètres!$A$1:$I$89,3,0)*0.475*44/12</f>
        <v>0.19169678256148132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1.8875413745908365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114.4650227251685</v>
      </c>
      <c r="AO191" s="59">
        <f t="shared" si="144"/>
        <v>386.57315604590599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1.6958445920293552</v>
      </c>
      <c r="AV191" s="21">
        <f>EXP(-LN(2)/25)*AV190+(1-EXP(-LN(2)/25))/(LN(2)/25)*Calculateur!AQ191*Calculateur!AS191*VLOOKUP('Données projet'!$B$10,Paramètres!$A$1:$I$89,3,0)*0.475*44/12</f>
        <v>0.19169678256148132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1.8875413745908365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68.944412338382023</v>
      </c>
      <c r="BJ191" s="59">
        <f t="shared" si="146"/>
        <v>281.00389700159246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1.1958539372365053</v>
      </c>
      <c r="BQ191" s="21">
        <f>EXP(-LN(2)/25)*BQ190+(1-EXP(-LN(2)/25))/(LN(2)/25)*Calculateur!BL191*Calculateur!BN191*VLOOKUP('Données projet'!$B$11,Paramètres!$A$1:$I$89,3,0)*0.475*44/12</f>
        <v>0.13517827828043696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1.3310322155169423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>
        <f>BY191*VLOOKUP('Données projet'!$B$12,Paramètres!$A$1:$I$89,3,0)*VLOOKUP('Données projet'!$B$12,Paramètres!$A$1:$I$89,5,0)</f>
        <v>0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120.26681323682763</v>
      </c>
      <c r="CE191" s="59">
        <f t="shared" si="148"/>
        <v>344.92933166159389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1.4981694555351344</v>
      </c>
      <c r="CL191" s="21">
        <f>EXP(-LN(2)/25)*CL190+(1-EXP(-LN(2)/25))/(LN(2)/25)*Calculateur!CG191*Calculateur!CI191*VLOOKUP('Données projet'!$B$12,Paramètres!$A$1:$I$89,3,0)*0.475*44/12</f>
        <v>0.16935175882732095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1.6675212143624554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>
        <f>CT191*VLOOKUP('Données projet'!$B$13,Paramètres!$A$1:$I$89,3,0)*VLOOKUP('Données projet'!$B$13,Paramètres!$A$1:$I$89,5,0)</f>
        <v>0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120.26681323682763</v>
      </c>
      <c r="CZ191" s="59">
        <f t="shared" si="150"/>
        <v>344.92933166159389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1.4981694555351344</v>
      </c>
      <c r="DG191" s="21">
        <f>EXP(-LN(2)/25)*DG190+(1-EXP(-LN(2)/25))/(LN(2)/25)*Calculateur!DB191*Calculateur!DD191*VLOOKUP('Données projet'!$B$13,Paramètres!$A$1:$I$89,3,0)*0.475*44/12</f>
        <v>0.16935175882732095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1.6675212143624554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114.4650227251685</v>
      </c>
      <c r="T192" s="59">
        <f t="shared" si="142"/>
        <v>386.57315604590599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1.6625901139427259</v>
      </c>
      <c r="AA192" s="21">
        <f>EXP(-LN(2)/25)*AA191+(1-EXP(-LN(2)/25))/(LN(2)/25)*Calculateur!V192*Calculateur!X192*VLOOKUP('Données projet'!$B$9,Paramètres!$A$1:$I$89,3,0)*0.475*44/12</f>
        <v>0.18645482396144195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1.8490449379041678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114.4650227251685</v>
      </c>
      <c r="AO192" s="59">
        <f t="shared" si="144"/>
        <v>386.57315604590599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1.6625901139427259</v>
      </c>
      <c r="AV192" s="21">
        <f>EXP(-LN(2)/25)*AV191+(1-EXP(-LN(2)/25))/(LN(2)/25)*Calculateur!AQ192*Calculateur!AS192*VLOOKUP('Données projet'!$B$10,Paramètres!$A$1:$I$89,3,0)*0.475*44/12</f>
        <v>0.18645482396144195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1.8490449379041678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68.944412338382023</v>
      </c>
      <c r="BJ192" s="59">
        <f t="shared" si="146"/>
        <v>281.00389700159246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1.1724039709261771</v>
      </c>
      <c r="BQ192" s="21">
        <f>EXP(-LN(2)/25)*BQ191+(1-EXP(-LN(2)/25))/(LN(2)/25)*Calculateur!BL192*Calculateur!BN192*VLOOKUP('Données projet'!$B$11,Paramètres!$A$1:$I$89,3,0)*0.475*44/12</f>
        <v>0.13148182115214171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1.3038857920783189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>
        <f>BY192*VLOOKUP('Données projet'!$B$12,Paramètres!$A$1:$I$89,3,0)*VLOOKUP('Données projet'!$B$12,Paramètres!$A$1:$I$89,5,0)</f>
        <v>0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120.26681323682763</v>
      </c>
      <c r="CE192" s="59">
        <f t="shared" si="148"/>
        <v>344.92933166159389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1.4687912663052287</v>
      </c>
      <c r="CL192" s="21">
        <f>EXP(-LN(2)/25)*CL191+(1-EXP(-LN(2)/25))/(LN(2)/25)*Calculateur!CG192*Calculateur!CI192*VLOOKUP('Données projet'!$B$12,Paramètres!$A$1:$I$89,3,0)*0.475*44/12</f>
        <v>0.16472082607636593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1.6335120923815947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>
        <f>CT192*VLOOKUP('Données projet'!$B$13,Paramètres!$A$1:$I$89,3,0)*VLOOKUP('Données projet'!$B$13,Paramètres!$A$1:$I$89,5,0)</f>
        <v>0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120.26681323682763</v>
      </c>
      <c r="CZ192" s="59">
        <f t="shared" si="150"/>
        <v>344.92933166159389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1.4687912663052287</v>
      </c>
      <c r="DG192" s="21">
        <f>EXP(-LN(2)/25)*DG191+(1-EXP(-LN(2)/25))/(LN(2)/25)*Calculateur!DB192*Calculateur!DD192*VLOOKUP('Données projet'!$B$13,Paramètres!$A$1:$I$89,3,0)*0.475*44/12</f>
        <v>0.16472082607636593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1.6335120923815947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114.4650227251685</v>
      </c>
      <c r="T193" s="59">
        <f t="shared" si="142"/>
        <v>386.57315604590599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1.6299877358881465</v>
      </c>
      <c r="AA193" s="21">
        <f>EXP(-LN(2)/25)*AA192+(1-EXP(-LN(2)/25))/(LN(2)/25)*Calculateur!V193*Calculateur!X193*VLOOKUP('Données projet'!$B$9,Paramètres!$A$1:$I$89,3,0)*0.475*44/12</f>
        <v>0.18135620699498328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1.8113439428831297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114.4650227251685</v>
      </c>
      <c r="AO193" s="59">
        <f t="shared" si="144"/>
        <v>386.57315604590599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1.6299877358881465</v>
      </c>
      <c r="AV193" s="21">
        <f>EXP(-LN(2)/25)*AV192+(1-EXP(-LN(2)/25))/(LN(2)/25)*Calculateur!AQ193*Calculateur!AS193*VLOOKUP('Données projet'!$B$10,Paramètres!$A$1:$I$89,3,0)*0.475*44/12</f>
        <v>0.18135620699498328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1.8113439428831297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68.944412338382023</v>
      </c>
      <c r="BJ193" s="59">
        <f t="shared" si="146"/>
        <v>281.00389700159246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1.1494138441521271</v>
      </c>
      <c r="BQ193" s="21">
        <f>EXP(-LN(2)/25)*BQ192+(1-EXP(-LN(2)/25))/(LN(2)/25)*Calculateur!BL193*Calculateur!BN193*VLOOKUP('Données projet'!$B$11,Paramètres!$A$1:$I$89,3,0)*0.475*44/12</f>
        <v>0.12788644383840794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1.2773002879905351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>
        <f>BY193*VLOOKUP('Données projet'!$B$12,Paramètres!$A$1:$I$89,3,0)*VLOOKUP('Données projet'!$B$12,Paramètres!$A$1:$I$89,5,0)</f>
        <v>0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120.26681323682763</v>
      </c>
      <c r="CE193" s="59">
        <f t="shared" si="148"/>
        <v>344.92933166159389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1.4399891654471955</v>
      </c>
      <c r="CL193" s="21">
        <f>EXP(-LN(2)/25)*CL192+(1-EXP(-LN(2)/25))/(LN(2)/25)*Calculateur!CG193*Calculateur!CI193*VLOOKUP('Données projet'!$B$12,Paramètres!$A$1:$I$89,3,0)*0.475*44/12</f>
        <v>0.16021652642501594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1.6002056918722114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>
        <f>CT193*VLOOKUP('Données projet'!$B$13,Paramètres!$A$1:$I$89,3,0)*VLOOKUP('Données projet'!$B$13,Paramètres!$A$1:$I$89,5,0)</f>
        <v>0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120.26681323682763</v>
      </c>
      <c r="CZ193" s="59">
        <f t="shared" si="150"/>
        <v>344.92933166159389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1.4399891654471955</v>
      </c>
      <c r="DG193" s="21">
        <f>EXP(-LN(2)/25)*DG192+(1-EXP(-LN(2)/25))/(LN(2)/25)*Calculateur!DB193*Calculateur!DD193*VLOOKUP('Données projet'!$B$13,Paramètres!$A$1:$I$89,3,0)*0.475*44/12</f>
        <v>0.16021652642501594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1.6002056918722114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114.4650227251685</v>
      </c>
      <c r="T194" s="59">
        <f t="shared" si="142"/>
        <v>386.57315604590599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1.5980246705817303</v>
      </c>
      <c r="AA194" s="21">
        <f>EXP(-LN(2)/25)*AA193+(1-EXP(-LN(2)/25))/(LN(2)/25)*Calculateur!V194*Calculateur!X194*VLOOKUP('Données projet'!$B$9,Paramètres!$A$1:$I$89,3,0)*0.475*44/12</f>
        <v>0.17639701197759702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1.7744216825593273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114.4650227251685</v>
      </c>
      <c r="AO194" s="59">
        <f t="shared" si="144"/>
        <v>386.57315604590599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1.5980246705817303</v>
      </c>
      <c r="AV194" s="21">
        <f>EXP(-LN(2)/25)*AV193+(1-EXP(-LN(2)/25))/(LN(2)/25)*Calculateur!AQ194*Calculateur!AS194*VLOOKUP('Données projet'!$B$10,Paramètres!$A$1:$I$89,3,0)*0.475*44/12</f>
        <v>0.17639701197759702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1.7744216825593273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68.944412338382023</v>
      </c>
      <c r="BJ194" s="59">
        <f t="shared" si="146"/>
        <v>281.00389700159246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1.1268745397415236</v>
      </c>
      <c r="BQ194" s="21">
        <f>EXP(-LN(2)/25)*BQ193+(1-EXP(-LN(2)/25))/(LN(2)/25)*Calculateur!BL194*Calculateur!BN194*VLOOKUP('Données projet'!$B$11,Paramètres!$A$1:$I$89,3,0)*0.475*44/12</f>
        <v>0.12438938230639088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1.2512639220479145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>
        <f>BY194*VLOOKUP('Données projet'!$B$12,Paramètres!$A$1:$I$89,3,0)*VLOOKUP('Données projet'!$B$12,Paramètres!$A$1:$I$89,5,0)</f>
        <v>0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120.26681323682763</v>
      </c>
      <c r="CE194" s="59">
        <f t="shared" si="148"/>
        <v>344.92933166159389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1.4117518562194413</v>
      </c>
      <c r="CL194" s="21">
        <f>EXP(-LN(2)/25)*CL193+(1-EXP(-LN(2)/25))/(LN(2)/25)*Calculateur!CG194*Calculateur!CI194*VLOOKUP('Données projet'!$B$12,Paramètres!$A$1:$I$89,3,0)*0.475*44/12</f>
        <v>0.15583539708450292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1.5675872533039443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>
        <f>CT194*VLOOKUP('Données projet'!$B$13,Paramètres!$A$1:$I$89,3,0)*VLOOKUP('Données projet'!$B$13,Paramètres!$A$1:$I$89,5,0)</f>
        <v>0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120.26681323682763</v>
      </c>
      <c r="CZ194" s="59">
        <f t="shared" si="150"/>
        <v>344.92933166159389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1.4117518562194413</v>
      </c>
      <c r="DG194" s="21">
        <f>EXP(-LN(2)/25)*DG193+(1-EXP(-LN(2)/25))/(LN(2)/25)*Calculateur!DB194*Calculateur!DD194*VLOOKUP('Données projet'!$B$13,Paramètres!$A$1:$I$89,3,0)*0.475*44/12</f>
        <v>0.15583539708450292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1.5675872533039443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114.4650227251685</v>
      </c>
      <c r="T195" s="59">
        <f t="shared" si="142"/>
        <v>386.57315604590599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1.566688381490428</v>
      </c>
      <c r="AA195" s="21">
        <f>EXP(-LN(2)/25)*AA194+(1-EXP(-LN(2)/25))/(LN(2)/25)*Calculateur!V195*Calculateur!X195*VLOOKUP('Données projet'!$B$9,Paramètres!$A$1:$I$89,3,0)*0.475*44/12</f>
        <v>0.17157342640875392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1.7382618078991818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114.4650227251685</v>
      </c>
      <c r="AO195" s="59">
        <f t="shared" si="144"/>
        <v>386.57315604590599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1.566688381490428</v>
      </c>
      <c r="AV195" s="21">
        <f>EXP(-LN(2)/25)*AV194+(1-EXP(-LN(2)/25))/(LN(2)/25)*Calculateur!AQ195*Calculateur!AS195*VLOOKUP('Données projet'!$B$10,Paramètres!$A$1:$I$89,3,0)*0.475*44/12</f>
        <v>0.17157342640875392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1.7382618078991818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68.944412338382023</v>
      </c>
      <c r="BJ195" s="59">
        <f t="shared" si="146"/>
        <v>281.00389700159246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1.1047772173427939</v>
      </c>
      <c r="BQ195" s="21">
        <f>EXP(-LN(2)/25)*BQ194+(1-EXP(-LN(2)/25))/(LN(2)/25)*Calculateur!BL195*Calculateur!BN195*VLOOKUP('Données projet'!$B$11,Paramètres!$A$1:$I$89,3,0)*0.475*44/12</f>
        <v>0.1209879481058693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1.2257651654486632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>
        <f>BY195*VLOOKUP('Données projet'!$B$12,Paramètres!$A$1:$I$89,3,0)*VLOOKUP('Données projet'!$B$12,Paramètres!$A$1:$I$89,5,0)</f>
        <v>0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120.26681323682763</v>
      </c>
      <c r="CE195" s="59">
        <f t="shared" si="148"/>
        <v>344.92933166159389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1.3840682634025854</v>
      </c>
      <c r="CL195" s="21">
        <f>EXP(-LN(2)/25)*CL194+(1-EXP(-LN(2)/25))/(LN(2)/25)*Calculateur!CG195*Calculateur!CI195*VLOOKUP('Données projet'!$B$12,Paramètres!$A$1:$I$89,3,0)*0.475*44/12</f>
        <v>0.15157406995619982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1.5356423333587852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>
        <f>CT195*VLOOKUP('Données projet'!$B$13,Paramètres!$A$1:$I$89,3,0)*VLOOKUP('Données projet'!$B$13,Paramètres!$A$1:$I$89,5,0)</f>
        <v>0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120.26681323682763</v>
      </c>
      <c r="CZ195" s="59">
        <f t="shared" si="150"/>
        <v>344.92933166159389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1.3840682634025854</v>
      </c>
      <c r="DG195" s="21">
        <f>EXP(-LN(2)/25)*DG194+(1-EXP(-LN(2)/25))/(LN(2)/25)*Calculateur!DB195*Calculateur!DD195*VLOOKUP('Données projet'!$B$13,Paramètres!$A$1:$I$89,3,0)*0.475*44/12</f>
        <v>0.15157406995619982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1.5356423333587852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114.4650227251685</v>
      </c>
      <c r="T196" s="59">
        <f t="shared" si="142"/>
        <v>386.57315604590599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1.5359665779149572</v>
      </c>
      <c r="AA196" s="21">
        <f>EXP(-LN(2)/25)*AA195+(1-EXP(-LN(2)/25))/(LN(2)/25)*Calculateur!V196*Calculateur!X196*VLOOKUP('Données projet'!$B$9,Paramètres!$A$1:$I$89,3,0)*0.475*44/12</f>
        <v>0.16688174204095219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1.7028483199559092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114.4650227251685</v>
      </c>
      <c r="AO196" s="59">
        <f t="shared" si="144"/>
        <v>386.57315604590599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1.5359665779149572</v>
      </c>
      <c r="AV196" s="21">
        <f>EXP(-LN(2)/25)*AV195+(1-EXP(-LN(2)/25))/(LN(2)/25)*Calculateur!AQ196*Calculateur!AS196*VLOOKUP('Données projet'!$B$10,Paramètres!$A$1:$I$89,3,0)*0.475*44/12</f>
        <v>0.16688174204095219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1.7028483199559092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68.944412338382023</v>
      </c>
      <c r="BJ196" s="59">
        <f t="shared" si="146"/>
        <v>281.00389700159246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1.0831132099582674</v>
      </c>
      <c r="BQ196" s="21">
        <f>EXP(-LN(2)/25)*BQ195+(1-EXP(-LN(2)/25))/(LN(2)/25)*Calculateur!BL196*Calculateur!BN196*VLOOKUP('Données projet'!$B$11,Paramètres!$A$1:$I$89,3,0)*0.475*44/12</f>
        <v>0.11767952630243463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1.200792736260702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>
        <f>BY196*VLOOKUP('Données projet'!$B$12,Paramètres!$A$1:$I$89,3,0)*VLOOKUP('Données projet'!$B$12,Paramètres!$A$1:$I$89,5,0)</f>
        <v>0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120.26681323682763</v>
      </c>
      <c r="CE196" s="59">
        <f t="shared" si="148"/>
        <v>344.92933166159389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1.3569275289555438</v>
      </c>
      <c r="CL196" s="21">
        <f>EXP(-LN(2)/25)*CL195+(1-EXP(-LN(2)/25))/(LN(2)/25)*Calculateur!CG196*Calculateur!CI196*VLOOKUP('Données projet'!$B$12,Paramètres!$A$1:$I$89,3,0)*0.475*44/12</f>
        <v>0.14742926904231363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1.5043567979978574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>
        <f>CT196*VLOOKUP('Données projet'!$B$13,Paramètres!$A$1:$I$89,3,0)*VLOOKUP('Données projet'!$B$13,Paramètres!$A$1:$I$89,5,0)</f>
        <v>0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120.26681323682763</v>
      </c>
      <c r="CZ196" s="59">
        <f t="shared" si="150"/>
        <v>344.92933166159389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1.3569275289555438</v>
      </c>
      <c r="DG196" s="21">
        <f>EXP(-LN(2)/25)*DG195+(1-EXP(-LN(2)/25))/(LN(2)/25)*Calculateur!DB196*Calculateur!DD196*VLOOKUP('Données projet'!$B$13,Paramètres!$A$1:$I$89,3,0)*0.475*44/12</f>
        <v>0.14742926904231363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1.5043567979978574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114.4650227251685</v>
      </c>
      <c r="T197" s="59">
        <f t="shared" ref="T197:T203" si="204">$T$3</f>
        <v>386.57315604590599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1.5058472101691514</v>
      </c>
      <c r="AA197" s="21">
        <f>EXP(-LN(2)/25)*AA196+(1-EXP(-LN(2)/25))/(LN(2)/25)*Calculateur!V197*Calculateur!X197*VLOOKUP('Données projet'!$B$9,Paramètres!$A$1:$I$89,3,0)*0.475*44/12</f>
        <v>0.16231835202891295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1.6681655621980642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114.4650227251685</v>
      </c>
      <c r="AO197" s="59">
        <f t="shared" ref="AO197:AO203" si="205">$AO$3</f>
        <v>386.57315604590599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1.5058472101691514</v>
      </c>
      <c r="AV197" s="21">
        <f>EXP(-LN(2)/25)*AV196+(1-EXP(-LN(2)/25))/(LN(2)/25)*Calculateur!AQ197*Calculateur!AS197*VLOOKUP('Données projet'!$B$10,Paramètres!$A$1:$I$89,3,0)*0.475*44/12</f>
        <v>0.16231835202891295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1.6681655621980642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68.944412338382023</v>
      </c>
      <c r="BJ197" s="59">
        <f t="shared" ref="BJ197:BJ203" si="206">$BJ$3</f>
        <v>281.00389700159246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1.0618740205448116</v>
      </c>
      <c r="BQ197" s="21">
        <f>EXP(-LN(2)/25)*BQ196+(1-EXP(-LN(2)/25))/(LN(2)/25)*Calculateur!BL197*Calculateur!BN197*VLOOKUP('Données projet'!$B$11,Paramètres!$A$1:$I$89,3,0)*0.475*44/12</f>
        <v>0.11446157346719722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1.1763355940120088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>
        <f>BY197*VLOOKUP('Données projet'!$B$12,Paramètres!$A$1:$I$89,3,0)*VLOOKUP('Données projet'!$B$12,Paramètres!$A$1:$I$89,5,0)</f>
        <v>0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120.26681323682763</v>
      </c>
      <c r="CE197" s="59">
        <f t="shared" ref="CE197:CE203" si="207">$CE$3</f>
        <v>344.92933166159389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1.3303190077567952</v>
      </c>
      <c r="CL197" s="21">
        <f>EXP(-LN(2)/25)*CL196+(1-EXP(-LN(2)/25))/(LN(2)/25)*Calculateur!CG197*Calculateur!CI197*VLOOKUP('Données projet'!$B$12,Paramètres!$A$1:$I$89,3,0)*0.475*44/12</f>
        <v>0.14339780792738324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1.4737168156841784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>
        <f>CT197*VLOOKUP('Données projet'!$B$13,Paramètres!$A$1:$I$89,3,0)*VLOOKUP('Données projet'!$B$13,Paramètres!$A$1:$I$89,5,0)</f>
        <v>0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120.26681323682763</v>
      </c>
      <c r="CZ197" s="59">
        <f t="shared" ref="CZ197:CZ203" si="208">$CZ$3</f>
        <v>344.92933166159389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1.3303190077567952</v>
      </c>
      <c r="DG197" s="21">
        <f>EXP(-LN(2)/25)*DG196+(1-EXP(-LN(2)/25))/(LN(2)/25)*Calculateur!DB197*Calculateur!DD197*VLOOKUP('Données projet'!$B$13,Paramètres!$A$1:$I$89,3,0)*0.475*44/12</f>
        <v>0.14339780792738324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1.4737168156841784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114.4650227251685</v>
      </c>
      <c r="T198" s="59">
        <f t="shared" si="204"/>
        <v>386.57315604590599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1.4763184648538406</v>
      </c>
      <c r="AA198" s="21">
        <f>EXP(-LN(2)/25)*AA197+(1-EXP(-LN(2)/25))/(LN(2)/25)*Calculateur!V198*Calculateur!X198*VLOOKUP('Données projet'!$B$9,Paramètres!$A$1:$I$89,3,0)*0.475*44/12</f>
        <v>0.15787974815673117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1.6341982130105717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114.4650227251685</v>
      </c>
      <c r="AO198" s="59">
        <f t="shared" si="205"/>
        <v>386.57315604590599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1.4763184648538406</v>
      </c>
      <c r="AV198" s="21">
        <f>EXP(-LN(2)/25)*AV197+(1-EXP(-LN(2)/25))/(LN(2)/25)*Calculateur!AQ198*Calculateur!AS198*VLOOKUP('Données projet'!$B$10,Paramètres!$A$1:$I$89,3,0)*0.475*44/12</f>
        <v>0.15787974815673117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1.6341982130105717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68.944412338382023</v>
      </c>
      <c r="BJ198" s="59">
        <f t="shared" si="206"/>
        <v>281.00389700159246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1.0410513186811274</v>
      </c>
      <c r="BQ198" s="21">
        <f>EXP(-LN(2)/25)*BQ197+(1-EXP(-LN(2)/25))/(LN(2)/25)*Calculateur!BL198*Calculateur!BN198*VLOOKUP('Données projet'!$B$11,Paramètres!$A$1:$I$89,3,0)*0.475*44/12</f>
        <v>0.11133161572146417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1.1523829344025915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>
        <f>BY198*VLOOKUP('Données projet'!$B$12,Paramètres!$A$1:$I$89,3,0)*VLOOKUP('Données projet'!$B$12,Paramètres!$A$1:$I$89,5,0)</f>
        <v>0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120.26681323682763</v>
      </c>
      <c r="CE198" s="59">
        <f t="shared" si="207"/>
        <v>344.92933166159389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1.3042322634291588</v>
      </c>
      <c r="CL198" s="21">
        <f>EXP(-LN(2)/25)*CL197+(1-EXP(-LN(2)/25))/(LN(2)/25)*Calculateur!CG198*Calculateur!CI198*VLOOKUP('Données projet'!$B$12,Paramètres!$A$1:$I$89,3,0)*0.475*44/12</f>
        <v>0.13947658732864596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1.4437088507578046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>
        <f>CT198*VLOOKUP('Données projet'!$B$13,Paramètres!$A$1:$I$89,3,0)*VLOOKUP('Données projet'!$B$13,Paramètres!$A$1:$I$89,5,0)</f>
        <v>0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120.26681323682763</v>
      </c>
      <c r="CZ198" s="59">
        <f t="shared" si="208"/>
        <v>344.92933166159389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1.3042322634291588</v>
      </c>
      <c r="DG198" s="21">
        <f>EXP(-LN(2)/25)*DG197+(1-EXP(-LN(2)/25))/(LN(2)/25)*Calculateur!DB198*Calculateur!DD198*VLOOKUP('Données projet'!$B$13,Paramètres!$A$1:$I$89,3,0)*0.475*44/12</f>
        <v>0.13947658732864596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1.4437088507578046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114.4650227251685</v>
      </c>
      <c r="T199" s="59">
        <f t="shared" si="204"/>
        <v>386.57315604590599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1.4473687602234067</v>
      </c>
      <c r="AA199" s="21">
        <f>EXP(-LN(2)/25)*AA198+(1-EXP(-LN(2)/25))/(LN(2)/25)*Calculateur!V199*Calculateur!X199*VLOOKUP('Données projet'!$B$9,Paramètres!$A$1:$I$89,3,0)*0.475*44/12</f>
        <v>0.15356251814085023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1.6009312783642569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114.4650227251685</v>
      </c>
      <c r="AO199" s="59">
        <f t="shared" si="205"/>
        <v>386.57315604590599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1.4473687602234067</v>
      </c>
      <c r="AV199" s="21">
        <f>EXP(-LN(2)/25)*AV198+(1-EXP(-LN(2)/25))/(LN(2)/25)*Calculateur!AQ199*Calculateur!AS199*VLOOKUP('Données projet'!$B$10,Paramètres!$A$1:$I$89,3,0)*0.475*44/12</f>
        <v>0.15356251814085023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1.6009312783642569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68.944412338382023</v>
      </c>
      <c r="BJ199" s="59">
        <f t="shared" si="206"/>
        <v>281.00389700159246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1.0206369373003961</v>
      </c>
      <c r="BQ199" s="21">
        <f>EXP(-LN(2)/25)*BQ198+(1-EXP(-LN(2)/25))/(LN(2)/25)*Calculateur!BL199*Calculateur!BN199*VLOOKUP('Données projet'!$B$11,Paramètres!$A$1:$I$89,3,0)*0.475*44/12</f>
        <v>0.10828724683488551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1.1289241841352815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>
        <f>BY199*VLOOKUP('Données projet'!$B$12,Paramètres!$A$1:$I$89,3,0)*VLOOKUP('Données projet'!$B$12,Paramètres!$A$1:$I$89,5,0)</f>
        <v>0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120.26681323682763</v>
      </c>
      <c r="CE199" s="59">
        <f t="shared" si="207"/>
        <v>344.92933166159389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1.2786570642464443</v>
      </c>
      <c r="CL199" s="21">
        <f>EXP(-LN(2)/25)*CL198+(1-EXP(-LN(2)/25))/(LN(2)/25)*Calculateur!CG199*Calculateur!CI199*VLOOKUP('Données projet'!$B$12,Paramètres!$A$1:$I$89,3,0)*0.475*44/12</f>
        <v>0.13566259271338918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1.4143196569598335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>
        <f>CT199*VLOOKUP('Données projet'!$B$13,Paramètres!$A$1:$I$89,3,0)*VLOOKUP('Données projet'!$B$13,Paramètres!$A$1:$I$89,5,0)</f>
        <v>0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120.26681323682763</v>
      </c>
      <c r="CZ199" s="59">
        <f t="shared" si="208"/>
        <v>344.92933166159389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1.2786570642464443</v>
      </c>
      <c r="DG199" s="21">
        <f>EXP(-LN(2)/25)*DG198+(1-EXP(-LN(2)/25))/(LN(2)/25)*Calculateur!DB199*Calculateur!DD199*VLOOKUP('Données projet'!$B$13,Paramètres!$A$1:$I$89,3,0)*0.475*44/12</f>
        <v>0.13566259271338918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1.4143196569598335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114.4650227251685</v>
      </c>
      <c r="T200" s="59">
        <f t="shared" si="204"/>
        <v>386.57315604590599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1.4189867416431994</v>
      </c>
      <c r="AA200" s="21">
        <f>EXP(-LN(2)/25)*AA199+(1-EXP(-LN(2)/25))/(LN(2)/25)*Calculateur!V200*Calculateur!X200*VLOOKUP('Données projet'!$B$9,Paramètres!$A$1:$I$89,3,0)*0.475*44/12</f>
        <v>0.14936334300678683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1.5683500846499863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114.4650227251685</v>
      </c>
      <c r="AO200" s="59">
        <f t="shared" si="205"/>
        <v>386.57315604590599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1.4189867416431994</v>
      </c>
      <c r="AV200" s="21">
        <f>EXP(-LN(2)/25)*AV199+(1-EXP(-LN(2)/25))/(LN(2)/25)*Calculateur!AQ200*Calculateur!AS200*VLOOKUP('Données projet'!$B$10,Paramètres!$A$1:$I$89,3,0)*0.475*44/12</f>
        <v>0.14936334300678683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1.5683500846499863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68.944412338382023</v>
      </c>
      <c r="BJ200" s="59">
        <f t="shared" si="206"/>
        <v>281.00389700159246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1.0006228694869976</v>
      </c>
      <c r="BQ200" s="21">
        <f>EXP(-LN(2)/25)*BQ199+(1-EXP(-LN(2)/25))/(LN(2)/25)*Calculateur!BL200*Calculateur!BN200*VLOOKUP('Données projet'!$B$11,Paramètres!$A$1:$I$89,3,0)*0.475*44/12</f>
        <v>0.10532612637560675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1.1059489958626043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>
        <f>BY200*VLOOKUP('Données projet'!$B$12,Paramètres!$A$1:$I$89,3,0)*VLOOKUP('Données projet'!$B$12,Paramètres!$A$1:$I$89,5,0)</f>
        <v>0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120.26681323682763</v>
      </c>
      <c r="CE200" s="59">
        <f t="shared" si="207"/>
        <v>344.92933166159389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1.2535833791203717</v>
      </c>
      <c r="CL200" s="21">
        <f>EXP(-LN(2)/25)*CL199+(1-EXP(-LN(2)/25))/(LN(2)/25)*Calculateur!CG200*Calculateur!CI200*VLOOKUP('Données projet'!$B$12,Paramètres!$A$1:$I$89,3,0)*0.475*44/12</f>
        <v>0.13195289198145585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1.3855362711018275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>
        <f>CT200*VLOOKUP('Données projet'!$B$13,Paramètres!$A$1:$I$89,3,0)*VLOOKUP('Données projet'!$B$13,Paramètres!$A$1:$I$89,5,0)</f>
        <v>0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120.26681323682763</v>
      </c>
      <c r="CZ200" s="59">
        <f t="shared" si="208"/>
        <v>344.92933166159389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1.2535833791203717</v>
      </c>
      <c r="DG200" s="21">
        <f>EXP(-LN(2)/25)*DG199+(1-EXP(-LN(2)/25))/(LN(2)/25)*Calculateur!DB200*Calculateur!DD200*VLOOKUP('Données projet'!$B$13,Paramètres!$A$1:$I$89,3,0)*0.475*44/12</f>
        <v>0.13195289198145585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1.3855362711018275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114.4650227251685</v>
      </c>
      <c r="T201" s="59">
        <f t="shared" si="204"/>
        <v>386.57315604590599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1.391161277136028</v>
      </c>
      <c r="AA201" s="21">
        <f>EXP(-LN(2)/25)*AA200+(1-EXP(-LN(2)/25))/(LN(2)/25)*Calculateur!V201*Calculateur!X201*VLOOKUP('Données projet'!$B$9,Paramètres!$A$1:$I$89,3,0)*0.475*44/12</f>
        <v>0.14527899453758941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1.5364402716736174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114.4650227251685</v>
      </c>
      <c r="AO201" s="59">
        <f t="shared" si="205"/>
        <v>386.57315604590599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1.391161277136028</v>
      </c>
      <c r="AV201" s="21">
        <f>EXP(-LN(2)/25)*AV200+(1-EXP(-LN(2)/25))/(LN(2)/25)*Calculateur!AQ201*Calculateur!AS201*VLOOKUP('Données projet'!$B$10,Paramètres!$A$1:$I$89,3,0)*0.475*44/12</f>
        <v>0.14527899453758941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1.5364402716736174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68.944412338382023</v>
      </c>
      <c r="BJ201" s="59">
        <f t="shared" si="206"/>
        <v>281.00389700159246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0.98100126533604393</v>
      </c>
      <c r="BQ201" s="21">
        <f>EXP(-LN(2)/25)*BQ200+(1-EXP(-LN(2)/25))/(LN(2)/25)*Calculateur!BL201*Calculateur!BN201*VLOOKUP('Données projet'!$B$11,Paramètres!$A$1:$I$89,3,0)*0.475*44/12</f>
        <v>0.10244597791100551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1.0834472432470494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>
        <f>BY201*VLOOKUP('Données projet'!$B$12,Paramètres!$A$1:$I$89,3,0)*VLOOKUP('Données projet'!$B$12,Paramètres!$A$1:$I$89,5,0)</f>
        <v>0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120.26681323682763</v>
      </c>
      <c r="CE201" s="59">
        <f t="shared" si="207"/>
        <v>344.92933166159389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1.2290013736661833</v>
      </c>
      <c r="CL201" s="21">
        <f>EXP(-LN(2)/25)*CL200+(1-EXP(-LN(2)/25))/(LN(2)/25)*Calculateur!CG201*Calculateur!CI201*VLOOKUP('Données projet'!$B$12,Paramètres!$A$1:$I$89,3,0)*0.475*44/12</f>
        <v>0.12834463321112194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1.3573460068773053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>
        <f>CT201*VLOOKUP('Données projet'!$B$13,Paramètres!$A$1:$I$89,3,0)*VLOOKUP('Données projet'!$B$13,Paramètres!$A$1:$I$89,5,0)</f>
        <v>0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120.26681323682763</v>
      </c>
      <c r="CZ201" s="59">
        <f t="shared" si="208"/>
        <v>344.92933166159389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1.2290013736661833</v>
      </c>
      <c r="DG201" s="21">
        <f>EXP(-LN(2)/25)*DG200+(1-EXP(-LN(2)/25))/(LN(2)/25)*Calculateur!DB201*Calculateur!DD201*VLOOKUP('Données projet'!$B$13,Paramètres!$A$1:$I$89,3,0)*0.475*44/12</f>
        <v>0.12834463321112194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1.3573460068773053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114.4650227251685</v>
      </c>
      <c r="T202" s="59">
        <f t="shared" si="204"/>
        <v>386.57315604590599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1.3638814530159846</v>
      </c>
      <c r="AA202" s="21">
        <f>EXP(-LN(2)/25)*AA201+(1-EXP(-LN(2)/25))/(LN(2)/25)*Calculateur!V202*Calculateur!X202*VLOOKUP('Données projet'!$B$9,Paramètres!$A$1:$I$89,3,0)*0.475*44/12</f>
        <v>0.14130633279206875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1.5051877858080533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114.4650227251685</v>
      </c>
      <c r="AO202" s="59">
        <f t="shared" si="205"/>
        <v>386.57315604590599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1.3638814530159846</v>
      </c>
      <c r="AV202" s="21">
        <f>EXP(-LN(2)/25)*AV201+(1-EXP(-LN(2)/25))/(LN(2)/25)*Calculateur!AQ202*Calculateur!AS202*VLOOKUP('Données projet'!$B$10,Paramètres!$A$1:$I$89,3,0)*0.475*44/12</f>
        <v>0.14130633279206875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1.5051877858080533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68.944412338382023</v>
      </c>
      <c r="BJ202" s="59">
        <f t="shared" si="206"/>
        <v>281.00389700159246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0.96176442887449365</v>
      </c>
      <c r="BQ202" s="21">
        <f>EXP(-LN(2)/25)*BQ201+(1-EXP(-LN(2)/25))/(LN(2)/25)*Calculateur!BL202*Calculateur!BN202*VLOOKUP('Données projet'!$B$11,Paramètres!$A$1:$I$89,3,0)*0.475*44/12</f>
        <v>9.964458725762923E-2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1.0614090161321228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>
        <f>BY202*VLOOKUP('Données projet'!$B$12,Paramètres!$A$1:$I$89,3,0)*VLOOKUP('Données projet'!$B$12,Paramètres!$A$1:$I$89,5,0)</f>
        <v>0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120.26681323682763</v>
      </c>
      <c r="CE202" s="59">
        <f t="shared" si="207"/>
        <v>344.92933166159389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1.2049014063454089</v>
      </c>
      <c r="CL202" s="21">
        <f>EXP(-LN(2)/25)*CL201+(1-EXP(-LN(2)/25))/(LN(2)/25)*Calculateur!CG202*Calculateur!CI202*VLOOKUP('Données projet'!$B$12,Paramètres!$A$1:$I$89,3,0)*0.475*44/12</f>
        <v>0.12483504246661288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1.3297364488120218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>
        <f>CT202*VLOOKUP('Données projet'!$B$13,Paramètres!$A$1:$I$89,3,0)*VLOOKUP('Données projet'!$B$13,Paramètres!$A$1:$I$89,5,0)</f>
        <v>0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120.26681323682763</v>
      </c>
      <c r="CZ202" s="59">
        <f t="shared" si="208"/>
        <v>344.92933166159389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1.2049014063454089</v>
      </c>
      <c r="DG202" s="21">
        <f>EXP(-LN(2)/25)*DG201+(1-EXP(-LN(2)/25))/(LN(2)/25)*Calculateur!DB202*Calculateur!DD202*VLOOKUP('Données projet'!$B$13,Paramètres!$A$1:$I$89,3,0)*0.475*44/12</f>
        <v>0.12483504246661288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1.3297364488120218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114.4650227251685</v>
      </c>
      <c r="T203" s="59">
        <f t="shared" si="204"/>
        <v>386.57315604590599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1.3371365696078856</v>
      </c>
      <c r="AA203" s="21">
        <f>EXP(-LN(2)/25)*AA202+(1-EXP(-LN(2)/25))/(LN(2)/25)*Calculateur!V203*Calculateur!X203*VLOOKUP('Données projet'!$B$9,Paramètres!$A$1:$I$89,3,0)*0.475*44/12</f>
        <v>0.13744230369089255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1.4745788732987781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114.4650227251685</v>
      </c>
      <c r="AO203" s="59">
        <f t="shared" si="205"/>
        <v>386.57315604590599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1.3371365696078856</v>
      </c>
      <c r="AV203" s="21">
        <f>EXP(-LN(2)/25)*AV202+(1-EXP(-LN(2)/25))/(LN(2)/25)*Calculateur!AQ203*Calculateur!AS203*VLOOKUP('Données projet'!$B$10,Paramètres!$A$1:$I$89,3,0)*0.475*44/12</f>
        <v>0.13744230369089255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1.4745788732987781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68.944412338382023</v>
      </c>
      <c r="BJ203" s="59">
        <f t="shared" si="206"/>
        <v>281.00389700159246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0.94290481504264267</v>
      </c>
      <c r="BQ203" s="21">
        <f>EXP(-LN(2)/25)*BQ202+(1-EXP(-LN(2)/25))/(LN(2)/25)*Calculateur!BL203*Calculateur!BN203*VLOOKUP('Données projet'!$B$11,Paramètres!$A$1:$I$89,3,0)*0.475*44/12</f>
        <v>9.6919800778988249E-2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1.0398246158216309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>
        <f>BY203*VLOOKUP('Données projet'!$B$12,Paramètres!$A$1:$I$89,3,0)*VLOOKUP('Données projet'!$B$12,Paramètres!$A$1:$I$89,5,0)</f>
        <v>0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120.26681323682763</v>
      </c>
      <c r="CE203" s="59">
        <f t="shared" si="207"/>
        <v>344.92933166159389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1.1812740246842661</v>
      </c>
      <c r="CL203" s="21">
        <f>EXP(-LN(2)/25)*CL202+(1-EXP(-LN(2)/25))/(LN(2)/25)*Calculateur!CG203*Calculateur!CI203*VLOOKUP('Données projet'!$B$12,Paramètres!$A$1:$I$89,3,0)*0.475*44/12</f>
        <v>0.12142142166557378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1.3026954463498399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>
        <f>CT203*VLOOKUP('Données projet'!$B$13,Paramètres!$A$1:$I$89,3,0)*VLOOKUP('Données projet'!$B$13,Paramètres!$A$1:$I$89,5,0)</f>
        <v>0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120.26681323682763</v>
      </c>
      <c r="CZ203" s="59">
        <f t="shared" si="208"/>
        <v>344.92933166159389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1.1812740246842661</v>
      </c>
      <c r="DG203" s="21">
        <f>EXP(-LN(2)/25)*DG202+(1-EXP(-LN(2)/25))/(LN(2)/25)*Calculateur!DB203*Calculateur!DD203*VLOOKUP('Données projet'!$B$13,Paramètres!$A$1:$I$89,3,0)*0.475*44/12</f>
        <v>0.12142142166557378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1.3026954463498399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1.3076604860118306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1.3076604860118306</v>
      </c>
      <c r="BA205" s="82">
        <f>EXP(LN('Données projet'!B88)/'Données projet'!A88)</f>
        <v>1.2968395546510096</v>
      </c>
      <c r="BV205" s="82">
        <f>EXP(LN('Données projet'!B114)/'Données projet'!A114)</f>
        <v>1.2457309396155174</v>
      </c>
      <c r="CQ205" s="82">
        <f>EXP(LN('Données projet'!B140)/'Données projet'!A140)</f>
        <v>1.2457309396155174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76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77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76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78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78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77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76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77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9" zoomScaleNormal="100" workbookViewId="0">
      <selection activeCell="B17" sqref="B17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80" t="s">
        <v>191</v>
      </c>
      <c r="C2" s="281"/>
      <c r="D2" s="281"/>
      <c r="E2" s="281"/>
      <c r="F2" s="281"/>
      <c r="G2" s="282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9"/>
      <c r="C4" s="279"/>
      <c r="D4" s="279"/>
      <c r="E4" s="279"/>
      <c r="F4" s="279"/>
      <c r="G4" s="279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2" zoomScale="90" zoomScaleNormal="90" workbookViewId="0">
      <selection activeCell="K22" sqref="K22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80" t="s">
        <v>271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2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Peuplier Koster</v>
      </c>
      <c r="B6" s="146">
        <f>'Données projet'!D9</f>
        <v>7.3532288999999995</v>
      </c>
      <c r="C6" s="147">
        <f ca="1">IF(OR('Données projet'!B9="",'Données projet'!C9="",'Données projet'!C9=0%),0,Calculateur!S3)</f>
        <v>114.4650227251685</v>
      </c>
      <c r="D6" s="147">
        <f>IF(OR('Données projet'!B9="",'Données projet'!C9="",'Données projet'!C9=0%),0,Calculateur!T3)</f>
        <v>386.57315604590599</v>
      </c>
      <c r="E6" s="147">
        <f ca="1">MIN(C6,D6)</f>
        <v>114.4650227251685</v>
      </c>
      <c r="F6" s="147">
        <f ca="1">E6*B6</f>
        <v>841.68751314186568</v>
      </c>
      <c r="G6" s="147">
        <f ca="1">F6*(100%-'Données projet'!$C$24)*(100%-'Données projet'!$C$25)*(100%-'Données projet'!$C$26)*(100%-'Données projet'!$C$27)</f>
        <v>575.71425898903624</v>
      </c>
      <c r="H6" s="148">
        <f>IF(OR('Données projet'!B9="",'Données projet'!C9="",'Données projet'!C9=0%),0,AVERAGE(Calculateur!$AC$3:$AC$33)*B6)</f>
        <v>243.49124661451626</v>
      </c>
      <c r="I6" s="149">
        <f>H6*(100%-'Données projet'!$C$24)*(100%-'Données projet'!$C$25)*(100%-'Données projet'!$C$26)*(100%-'Données projet'!$C$27)</f>
        <v>166.54801268432914</v>
      </c>
      <c r="J6" s="150">
        <f>IF(OR('Données projet'!B9="",'Données projet'!C9="",'Données projet'!C9=0%),0,SUM(Calculateur!$V$3:$V$33)*VLOOKUP('Données projet'!$B$9,Paramètres!$A$1:$I$89,9,0)*B6)</f>
        <v>2491.788677343</v>
      </c>
      <c r="K6" s="151">
        <f>J6*(100%-'Données projet'!$C$24)*(100%-'Données projet'!$C$25)*(100%-'Données projet'!$C$26)*(100%-'Données projet'!$C$27)</f>
        <v>1704.3834553026122</v>
      </c>
      <c r="L6" s="152">
        <f ca="1">G6+I6+K6</f>
        <v>2446.6457269759776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>Peuplier Koster</v>
      </c>
      <c r="B7" s="154">
        <f>'Données projet'!D10</f>
        <v>4.9021526</v>
      </c>
      <c r="C7" s="147">
        <f ca="1">IF(OR('Données projet'!B10="",'Données projet'!C10="",'Données projet'!C10=0%),0,Calculateur!AN3)</f>
        <v>114.4650227251685</v>
      </c>
      <c r="D7" s="147">
        <f>IF(OR('Données projet'!B10="",'Données projet'!C10="",'Données projet'!C10=0%),0,Calculateur!AO3)</f>
        <v>386.57315604590599</v>
      </c>
      <c r="E7" s="147">
        <f t="shared" ref="E7:E15" ca="1" si="0">MIN(C7,D7)</f>
        <v>114.4650227251685</v>
      </c>
      <c r="F7" s="147">
        <f t="shared" ref="F7:F15" ca="1" si="1">E7*B7</f>
        <v>561.12500876124386</v>
      </c>
      <c r="G7" s="147">
        <f ca="1">F7*(100%-'Données projet'!$C$24)*(100%-'Données projet'!$C$25)*(100%-'Données projet'!$C$26)*(100%-'Données projet'!$C$27)</f>
        <v>383.80950599269079</v>
      </c>
      <c r="H7" s="155">
        <f>IF(OR('Données projet'!B10="",'Données projet'!C10="",'Données projet'!C10=0%),0,AVERAGE(Calculateur!$AX$3:$AX$33)*B7)</f>
        <v>162.32749774301087</v>
      </c>
      <c r="I7" s="149">
        <f>H7*(100%-'Données projet'!$C$24)*(100%-'Données projet'!$C$25)*(100%-'Données projet'!$C$26)*(100%-'Données projet'!$C$27)</f>
        <v>111.03200845621943</v>
      </c>
      <c r="J7" s="150">
        <f>IF(OR('Données projet'!B10="",'Données projet'!C10="",'Données projet'!C10=0%),0,SUM(Calculateur!$AQ$3:$AQ$33)*VLOOKUP('Données projet'!$B$10,Paramètres!$A$1:$I$89,9,0)*B7)</f>
        <v>1661.1924515620001</v>
      </c>
      <c r="K7" s="151">
        <f>J7*(100%-'Données projet'!$C$24)*(100%-'Données projet'!$C$25)*(100%-'Données projet'!$C$26)*(100%-'Données projet'!$C$27)</f>
        <v>1136.2556368684081</v>
      </c>
      <c r="L7" s="152">
        <f t="shared" ref="L7:L15" ca="1" si="2">G7+I7+K7</f>
        <v>1631.0971513173183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>Peuplier Koster</v>
      </c>
      <c r="B8" s="154">
        <f>'Données projet'!D11</f>
        <v>2.4510763</v>
      </c>
      <c r="C8" s="147">
        <f ca="1">IF(OR('Données projet'!B11="",'Données projet'!C11="",'Données projet'!C11=0%),0,Calculateur!BI3)</f>
        <v>68.944412338382023</v>
      </c>
      <c r="D8" s="147">
        <f>IF(OR('Données projet'!B11="",'Données projet'!C11="",'Données projet'!C11=0%),0,Calculateur!BJ3)</f>
        <v>281.00389700159246</v>
      </c>
      <c r="E8" s="147">
        <f t="shared" ca="1" si="0"/>
        <v>68.944412338382023</v>
      </c>
      <c r="F8" s="147">
        <f t="shared" ca="1" si="1"/>
        <v>168.98801510003577</v>
      </c>
      <c r="G8" s="147">
        <f ca="1">F8*(100%-'Données projet'!$C$24)*(100%-'Données projet'!$C$25)*(100%-'Données projet'!$C$26)*(100%-'Données projet'!$C$27)</f>
        <v>115.58780232842446</v>
      </c>
      <c r="H8" s="155">
        <f>IF(OR('Données projet'!B11="",'Données projet'!C11="",'Données projet'!C11=0%),0,AVERAGE(Calculateur!$BS$3:$BS$33)*B8)</f>
        <v>57.234011362277386</v>
      </c>
      <c r="I8" s="149">
        <f>H8*(100%-'Données projet'!$C$24)*(100%-'Données projet'!$C$25)*(100%-'Données projet'!$C$26)*(100%-'Données projet'!$C$27)</f>
        <v>39.148063771797737</v>
      </c>
      <c r="J8" s="150">
        <f>IF(OR('Données projet'!B11="",'Données projet'!C11="",'Données projet'!C11=0%),0,SUM(Calculateur!$BL$3:$BL$33)*VLOOKUP('Données projet'!$B$11,Paramètres!$A$1:$I$89,9,0)*B8)</f>
        <v>585.709192648</v>
      </c>
      <c r="K8" s="151">
        <f>J8*(100%-'Données projet'!$C$24)*(100%-'Données projet'!$C$25)*(100%-'Données projet'!$C$26)*(100%-'Données projet'!$C$27)</f>
        <v>400.62508777123202</v>
      </c>
      <c r="L8" s="152">
        <f t="shared" ca="1" si="2"/>
        <v>555.36095387145429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>Peuplier Dorskamp</v>
      </c>
      <c r="B9" s="154">
        <f>'Données projet'!D12</f>
        <v>4.9021526</v>
      </c>
      <c r="C9" s="147">
        <f ca="1">IF(OR('Données projet'!B12="",'Données projet'!C12="",'Données projet'!C12=0%),0,Calculateur!CD3)</f>
        <v>120.26681323682763</v>
      </c>
      <c r="D9" s="147">
        <f>IF(OR('Données projet'!B12="",'Données projet'!C12="",'Données projet'!C12=0%),0,Calculateur!CE3)</f>
        <v>344.92933166159389</v>
      </c>
      <c r="E9" s="147">
        <f t="shared" ca="1" si="0"/>
        <v>120.26681323682763</v>
      </c>
      <c r="F9" s="147">
        <f t="shared" ca="1" si="1"/>
        <v>589.56627120262897</v>
      </c>
      <c r="G9" s="147">
        <f ca="1">F9*(100%-'Données projet'!$C$24)*(100%-'Données projet'!$C$25)*(100%-'Données projet'!$C$26)*(100%-'Données projet'!$C$27)</f>
        <v>403.26332950259825</v>
      </c>
      <c r="H9" s="155">
        <f>IF(OR('Données projet'!B12="",'Données projet'!C12="",'Données projet'!C12=0%),0,AVERAGE(Calculateur!$CN$3:$CN$33)*B9)</f>
        <v>143.40588757664759</v>
      </c>
      <c r="I9" s="149">
        <f>H9*(100%-'Données projet'!$C$24)*(100%-'Données projet'!$C$25)*(100%-'Données projet'!$C$26)*(100%-'Données projet'!$C$27)</f>
        <v>98.089627102426945</v>
      </c>
      <c r="J9" s="150">
        <f>IF(OR('Données projet'!B12="",'Données projet'!C12="",'Données projet'!C12=0%),0,SUM(Calculateur!$CG$3:$CG$33)*VLOOKUP('Données projet'!$B$12,Paramètres!$A$1:$I$89,9,0)*B9)</f>
        <v>1423.8792441959999</v>
      </c>
      <c r="K9" s="151">
        <f>J9*(100%-'Données projet'!$C$24)*(100%-'Données projet'!$C$25)*(100%-'Données projet'!$C$26)*(100%-'Données projet'!$C$27)</f>
        <v>973.93340303006414</v>
      </c>
      <c r="L9" s="152">
        <f t="shared" ca="1" si="2"/>
        <v>1475.2863596350894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>Peuplier Dorskamp</v>
      </c>
      <c r="B10" s="154">
        <f>'Données projet'!D13</f>
        <v>2.9403895999999996</v>
      </c>
      <c r="C10" s="147">
        <f ca="1">IF(OR('Données projet'!B13="",'Données projet'!C13="",'Données projet'!C13=0%),0,Calculateur!CY3)</f>
        <v>120.26681323682763</v>
      </c>
      <c r="D10" s="147">
        <f>IF(OR('Données projet'!B13="",'Données projet'!C13="",'Données projet'!C13=0%),0,Calculateur!CZ3)</f>
        <v>344.92933166159389</v>
      </c>
      <c r="E10" s="147">
        <f t="shared" ca="1" si="0"/>
        <v>120.26681323682763</v>
      </c>
      <c r="F10" s="147">
        <f t="shared" ca="1" si="1"/>
        <v>353.63128686671024</v>
      </c>
      <c r="G10" s="147">
        <f ca="1">F10*(100%-'Données projet'!$C$24)*(100%-'Données projet'!$C$25)*(100%-'Données projet'!$C$26)*(100%-'Données projet'!$C$27)</f>
        <v>241.8838002168298</v>
      </c>
      <c r="H10" s="155">
        <f>IF(OR('Données projet'!B13="",'Données projet'!C13="",'Données projet'!C13=0%),0,AVERAGE(Calculateur!$DI$3:$DI$33)*B10)</f>
        <v>86.017146918099556</v>
      </c>
      <c r="I10" s="149">
        <f>H10*(100%-'Données projet'!$C$24)*(100%-'Données projet'!$C$25)*(100%-'Données projet'!$C$26)*(100%-'Données projet'!$C$27)</f>
        <v>58.835728491980099</v>
      </c>
      <c r="J10" s="150">
        <f>IF(OR('Données projet'!B13="",'Données projet'!C13="",'Données projet'!C13=0%),0,SUM(Calculateur!$DB$3:$DB$33)*VLOOKUP('Données projet'!$B$13,Paramètres!$A$1:$I$89,9,0)*B10)</f>
        <v>854.06556321599987</v>
      </c>
      <c r="K10" s="151">
        <f>J10*(100%-'Données projet'!$C$24)*(100%-'Données projet'!$C$25)*(100%-'Données projet'!$C$26)*(100%-'Données projet'!$C$27)</f>
        <v>584.18084523974392</v>
      </c>
      <c r="L10" s="152">
        <f t="shared" ca="1" si="2"/>
        <v>884.90037394855381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8"/>
      <c r="B16" s="212"/>
      <c r="C16" s="213"/>
      <c r="D16" s="23"/>
      <c r="E16" s="23"/>
      <c r="F16" s="165">
        <f t="shared" ref="F16:L16" ca="1" si="3">SUM(F6:F15)</f>
        <v>2514.9980950724839</v>
      </c>
      <c r="G16" s="166">
        <f t="shared" ca="1" si="3"/>
        <v>1720.2586970295795</v>
      </c>
      <c r="H16" s="167">
        <f t="shared" si="3"/>
        <v>692.47579021455169</v>
      </c>
      <c r="I16" s="167">
        <f t="shared" si="3"/>
        <v>473.65344050675338</v>
      </c>
      <c r="J16" s="168">
        <f t="shared" si="3"/>
        <v>7016.6351289649992</v>
      </c>
      <c r="K16" s="168">
        <f t="shared" si="3"/>
        <v>4799.3784282120596</v>
      </c>
      <c r="L16" s="169">
        <f t="shared" ca="1" si="3"/>
        <v>6993.2905657483934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8"/>
      <c r="B17" s="212"/>
      <c r="C17" s="213"/>
      <c r="D17" s="23"/>
      <c r="E17" s="23"/>
      <c r="F17" s="283" t="s">
        <v>246</v>
      </c>
      <c r="G17" s="284"/>
      <c r="H17" s="284"/>
      <c r="I17" s="284"/>
      <c r="J17" s="284"/>
      <c r="K17" s="284"/>
      <c r="L17" s="28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8"/>
      <c r="B18" s="212"/>
      <c r="C18" s="213"/>
      <c r="D18" s="23"/>
      <c r="E18" s="23"/>
      <c r="F18" s="279"/>
      <c r="G18" s="279"/>
      <c r="H18" s="279"/>
      <c r="I18" s="279"/>
      <c r="J18" s="279"/>
      <c r="K18" s="279"/>
      <c r="L18" s="279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Peuplier Koster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>Peuplier Koster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>Peuplier Koster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>Peuplier Dorskamp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>Peuplier Dorskamp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H1" zoomScale="56" zoomScaleNormal="80" workbookViewId="0">
      <selection activeCell="C296" sqref="C296:C321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80" t="s">
        <v>272</v>
      </c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2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57" t="s">
        <v>315</v>
      </c>
      <c r="I4" s="257"/>
      <c r="K4" s="299" t="s">
        <v>253</v>
      </c>
      <c r="L4" s="300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1" t="s">
        <v>310</v>
      </c>
      <c r="S7" s="292"/>
      <c r="T7" s="292"/>
      <c r="U7" s="292"/>
      <c r="V7" s="29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Peuplier Koster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7.3532288999999995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>Peuplier Koster</v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4.9021526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>Peuplier Koster</v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2.4510763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>Peuplier Dorskamp</v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4.9021526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Peuplier Koster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>Peuplier Dorskamp</v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2.9403895999999996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29"/>
      <c r="G15" s="302" t="s">
        <v>318</v>
      </c>
      <c r="H15" s="190">
        <v>1</v>
      </c>
      <c r="I15" s="191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/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302"/>
      <c r="H16" s="190"/>
      <c r="I16" s="191"/>
      <c r="J16" s="201"/>
      <c r="K16" s="207"/>
      <c r="L16" s="299" t="s">
        <v>254</v>
      </c>
      <c r="M16" s="300"/>
      <c r="N16" s="2">
        <v>30</v>
      </c>
      <c r="O16" s="23"/>
      <c r="P16" s="23"/>
      <c r="Q16" s="233"/>
      <c r="R16" s="23"/>
      <c r="S16" s="36" t="str">
        <f>B200</f>
        <v/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8" t="s">
        <v>132</v>
      </c>
      <c r="C17" s="197"/>
      <c r="D17" s="196" t="s">
        <v>132</v>
      </c>
      <c r="E17" s="193"/>
      <c r="F17" s="229"/>
      <c r="G17" s="302"/>
      <c r="J17" s="201"/>
      <c r="K17" s="207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3"/>
      <c r="R17" s="23"/>
      <c r="S17" s="36" t="str">
        <f>B231</f>
        <v/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8" t="s">
        <v>132</v>
      </c>
      <c r="C18" s="197"/>
      <c r="D18" s="196" t="s">
        <v>132</v>
      </c>
      <c r="E18" s="193"/>
      <c r="F18" s="229"/>
      <c r="G18" s="302"/>
      <c r="J18" s="201"/>
      <c r="K18" s="207"/>
      <c r="L18" s="259" t="s">
        <v>255</v>
      </c>
      <c r="M18" s="261"/>
      <c r="N18" s="192">
        <v>10</v>
      </c>
      <c r="O18" s="23"/>
      <c r="P18" s="23"/>
      <c r="Q18" s="233"/>
      <c r="R18" s="23"/>
      <c r="S18" s="36" t="str">
        <f>B262</f>
        <v/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8" t="s">
        <v>132</v>
      </c>
      <c r="C19" s="197"/>
      <c r="D19" s="196" t="s">
        <v>132</v>
      </c>
      <c r="E19" s="193"/>
      <c r="F19" s="229"/>
      <c r="G19" s="302"/>
      <c r="H19" s="211" t="s">
        <v>178</v>
      </c>
      <c r="I19" s="211" t="s">
        <v>287</v>
      </c>
      <c r="J19" s="93"/>
      <c r="K19" s="173"/>
      <c r="L19" s="299" t="s">
        <v>288</v>
      </c>
      <c r="M19" s="300"/>
      <c r="N19" s="179">
        <f>N17*N18</f>
        <v>0</v>
      </c>
      <c r="O19" s="23"/>
      <c r="P19" s="4"/>
      <c r="Q19" s="234"/>
      <c r="R19" s="4"/>
      <c r="S19" s="36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8" t="s">
        <v>132</v>
      </c>
      <c r="C20" s="197"/>
      <c r="D20" s="196" t="s">
        <v>132</v>
      </c>
      <c r="E20" s="193"/>
      <c r="F20" s="229"/>
      <c r="G20" s="302"/>
      <c r="H20" s="190">
        <v>0</v>
      </c>
      <c r="I20" s="191"/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8" t="s">
        <v>132</v>
      </c>
      <c r="C21" s="197"/>
      <c r="D21" s="196" t="s">
        <v>132</v>
      </c>
      <c r="E21" s="193"/>
      <c r="F21" s="229"/>
      <c r="H21" s="190">
        <v>1</v>
      </c>
      <c r="I21" s="191"/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8" t="s">
        <v>132</v>
      </c>
      <c r="C22" s="197"/>
      <c r="D22" s="196" t="s">
        <v>132</v>
      </c>
      <c r="E22" s="193"/>
      <c r="F22" s="229"/>
      <c r="H22" s="190">
        <v>2</v>
      </c>
      <c r="I22" s="191"/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6</v>
      </c>
      <c r="B23" s="181">
        <f>'Données projet'!D36</f>
        <v>0</v>
      </c>
      <c r="C23" s="193"/>
      <c r="D23" s="182">
        <f>B23*C23</f>
        <v>0</v>
      </c>
      <c r="E23" s="193"/>
      <c r="F23" s="229"/>
      <c r="H23" s="190">
        <v>3</v>
      </c>
      <c r="I23" s="191"/>
      <c r="K23" s="207"/>
      <c r="L23" s="301" t="s">
        <v>260</v>
      </c>
      <c r="M23" s="301"/>
      <c r="N23" s="301"/>
      <c r="O23" s="23"/>
      <c r="P23" s="23"/>
      <c r="Q23" s="233"/>
      <c r="R23" s="23"/>
      <c r="S23" s="36" t="s">
        <v>264</v>
      </c>
      <c r="T23" s="29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296"/>
      <c r="V23" s="29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7</v>
      </c>
      <c r="B24" s="181">
        <f>'Données projet'!D37</f>
        <v>0</v>
      </c>
      <c r="C24" s="193"/>
      <c r="D24" s="182">
        <f t="shared" ref="D24:D42" si="2">B24*C24</f>
        <v>0</v>
      </c>
      <c r="E24" s="193"/>
      <c r="F24" s="232"/>
      <c r="H24" s="190">
        <v>4</v>
      </c>
      <c r="I24" s="191"/>
      <c r="K24" s="207"/>
      <c r="O24" s="23"/>
      <c r="P24" s="23"/>
      <c r="Q24" s="233"/>
      <c r="R24" s="23"/>
      <c r="S24" s="36" t="s">
        <v>261</v>
      </c>
      <c r="T24" s="29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7"/>
      <c r="V24" s="29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8</v>
      </c>
      <c r="B25" s="181">
        <f>'Données projet'!D38</f>
        <v>0</v>
      </c>
      <c r="C25" s="193"/>
      <c r="D25" s="182">
        <f t="shared" si="2"/>
        <v>0</v>
      </c>
      <c r="E25" s="193"/>
      <c r="F25" s="232"/>
      <c r="H25" s="190">
        <v>5</v>
      </c>
      <c r="I25" s="191"/>
      <c r="K25" s="207"/>
      <c r="L25" s="130" t="s">
        <v>285</v>
      </c>
      <c r="M25" s="130"/>
      <c r="N25" s="130"/>
      <c r="O25" s="130"/>
      <c r="P25" s="192">
        <v>0</v>
      </c>
      <c r="Q25" s="233"/>
      <c r="R25" s="23"/>
      <c r="S25" s="186" t="s">
        <v>266</v>
      </c>
      <c r="T25" s="298">
        <f ca="1">T23-T24</f>
        <v>0</v>
      </c>
      <c r="U25" s="298"/>
      <c r="V25" s="29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9</v>
      </c>
      <c r="B26" s="181">
        <f>'Données projet'!D39</f>
        <v>0</v>
      </c>
      <c r="C26" s="193"/>
      <c r="D26" s="182">
        <f t="shared" si="2"/>
        <v>0</v>
      </c>
      <c r="E26" s="193"/>
      <c r="F26" s="232"/>
      <c r="G26" s="228"/>
      <c r="H26" s="190"/>
      <c r="I26" s="191"/>
      <c r="K26" s="207"/>
      <c r="L26" s="285" t="s">
        <v>258</v>
      </c>
      <c r="M26" s="286"/>
      <c r="N26" s="286"/>
      <c r="O26" s="286"/>
      <c r="P26" s="287"/>
      <c r="Q26" s="233"/>
      <c r="R26" s="23"/>
      <c r="S26" s="186" t="s">
        <v>265</v>
      </c>
      <c r="T26" s="295" t="str">
        <f ca="1">IF(T25&lt;0,"Votre projet est additionnel","Votre projet n'est pas additionnel")</f>
        <v>Votre projet n'est pas additionnel</v>
      </c>
      <c r="U26" s="295"/>
      <c r="V26" s="29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10</v>
      </c>
      <c r="B27" s="181">
        <f>'Données projet'!D40</f>
        <v>0</v>
      </c>
      <c r="C27" s="193"/>
      <c r="D27" s="182">
        <f t="shared" si="2"/>
        <v>0</v>
      </c>
      <c r="E27" s="193"/>
      <c r="F27" s="232"/>
      <c r="G27" s="228"/>
      <c r="H27" s="190"/>
      <c r="I27" s="191"/>
      <c r="K27" s="207"/>
      <c r="L27" s="288"/>
      <c r="M27" s="289"/>
      <c r="N27" s="289"/>
      <c r="O27" s="289"/>
      <c r="P27" s="290"/>
      <c r="Q27" s="233"/>
      <c r="R27" s="23"/>
      <c r="S27" s="294" t="s">
        <v>267</v>
      </c>
      <c r="T27" s="294"/>
      <c r="U27" s="294"/>
      <c r="V27" s="29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11</v>
      </c>
      <c r="B28" s="181">
        <f>'Données projet'!D41</f>
        <v>0</v>
      </c>
      <c r="C28" s="193"/>
      <c r="D28" s="182">
        <f t="shared" si="2"/>
        <v>0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12</v>
      </c>
      <c r="B29" s="181">
        <f>'Données projet'!D42</f>
        <v>0</v>
      </c>
      <c r="C29" s="193"/>
      <c r="D29" s="182">
        <f t="shared" si="2"/>
        <v>0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13</v>
      </c>
      <c r="B30" s="181">
        <f>'Données projet'!D43</f>
        <v>0</v>
      </c>
      <c r="C30" s="193"/>
      <c r="D30" s="182">
        <f t="shared" si="2"/>
        <v>0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14</v>
      </c>
      <c r="B31" s="181">
        <f>'Données projet'!D44</f>
        <v>0</v>
      </c>
      <c r="C31" s="193"/>
      <c r="D31" s="182">
        <f t="shared" si="2"/>
        <v>0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15</v>
      </c>
      <c r="B32" s="181">
        <f>'Données projet'!D45</f>
        <v>329</v>
      </c>
      <c r="C32" s="193"/>
      <c r="D32" s="182">
        <f t="shared" si="2"/>
        <v>0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>Peuplier Koster</v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8" t="s">
        <v>132</v>
      </c>
      <c r="C48" s="197"/>
      <c r="D48" s="196" t="s">
        <v>132</v>
      </c>
      <c r="E48" s="193"/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8" t="s">
        <v>132</v>
      </c>
      <c r="C49" s="197"/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 t="str">
        <f>IF(O48+1&lt;=MIN('Données projet'!$E$9:$E$18),O48+1,"STOP")</f>
        <v>STOP</v>
      </c>
      <c r="P49" s="185" t="e">
        <f t="shared" si="3"/>
        <v>#VALUE!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8" t="s">
        <v>132</v>
      </c>
      <c r="C50" s="197"/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 t="e">
        <f>IF(O49+1&lt;=MIN('Données projet'!$E$9:$E$18),O49+1,"STOP")</f>
        <v>#VALUE!</v>
      </c>
      <c r="P50" s="185" t="e">
        <f t="shared" si="3"/>
        <v>#VALUE!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8" t="s">
        <v>132</v>
      </c>
      <c r="C51" s="197"/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 t="e">
        <f>IF(O50+1&lt;=MIN('Données projet'!$E$9:$E$18),O50+1,"STOP")</f>
        <v>#VALUE!</v>
      </c>
      <c r="P51" s="185" t="e">
        <f t="shared" si="3"/>
        <v>#VALUE!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8" t="s">
        <v>132</v>
      </c>
      <c r="C52" s="197"/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 t="e">
        <f>IF(O51+1&lt;=MIN('Données projet'!$E$9:$E$18),O51+1,"STOP")</f>
        <v>#VALUE!</v>
      </c>
      <c r="P52" s="185" t="e">
        <f t="shared" si="3"/>
        <v>#VALUE!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8" t="s">
        <v>132</v>
      </c>
      <c r="C53" s="197"/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 t="e">
        <f>IF(O52+1&lt;=MIN('Données projet'!$E$9:$E$18),O52+1,"STOP")</f>
        <v>#VALUE!</v>
      </c>
      <c r="P53" s="185" t="e">
        <f t="shared" si="3"/>
        <v>#VALUE!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6</v>
      </c>
      <c r="B54" s="181">
        <f>'Données projet'!D62</f>
        <v>0</v>
      </c>
      <c r="C54" s="191"/>
      <c r="D54" s="179">
        <f>B54*C54</f>
        <v>0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 t="e">
        <f>IF(O53+1&lt;=MIN('Données projet'!$E$9:$E$18),O53+1,"STOP")</f>
        <v>#VALUE!</v>
      </c>
      <c r="P54" s="185" t="e">
        <f t="shared" si="3"/>
        <v>#VALUE!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7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 t="e">
        <f>IF(O54+1&lt;=MIN('Données projet'!$E$9:$E$18),O54+1,"STOP")</f>
        <v>#VALUE!</v>
      </c>
      <c r="P55" s="185" t="e">
        <f t="shared" si="3"/>
        <v>#VALUE!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8</v>
      </c>
      <c r="B56" s="181">
        <f>'Données projet'!D64</f>
        <v>0</v>
      </c>
      <c r="C56" s="191"/>
      <c r="D56" s="179">
        <f t="shared" si="4"/>
        <v>0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 t="e">
        <f>IF(O55+1&lt;=MIN('Données projet'!$E$9:$E$18),O55+1,"STOP")</f>
        <v>#VALUE!</v>
      </c>
      <c r="P56" s="185" t="e">
        <f t="shared" si="3"/>
        <v>#VALUE!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9</v>
      </c>
      <c r="B57" s="181">
        <f>'Données projet'!D65</f>
        <v>0</v>
      </c>
      <c r="C57" s="191"/>
      <c r="D57" s="179">
        <f t="shared" si="4"/>
        <v>0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 t="e">
        <f>IF(O56+1&lt;=MIN('Données projet'!$E$9:$E$18),O56+1,"STOP")</f>
        <v>#VALUE!</v>
      </c>
      <c r="P57" s="185" t="e">
        <f t="shared" si="3"/>
        <v>#VALUE!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10</v>
      </c>
      <c r="B58" s="181">
        <f>'Données projet'!D66</f>
        <v>0</v>
      </c>
      <c r="C58" s="191"/>
      <c r="D58" s="179">
        <f t="shared" si="4"/>
        <v>0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 t="e">
        <f>IF(O57+1&lt;=MIN('Données projet'!$E$9:$E$18),O57+1,"STOP")</f>
        <v>#VALUE!</v>
      </c>
      <c r="P58" s="185" t="e">
        <f t="shared" si="3"/>
        <v>#VALUE!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11</v>
      </c>
      <c r="B59" s="181">
        <f>'Données projet'!D67</f>
        <v>0</v>
      </c>
      <c r="C59" s="191"/>
      <c r="D59" s="179">
        <f t="shared" si="4"/>
        <v>0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 t="e">
        <f>IF(O58+1&lt;=MIN('Données projet'!$E$9:$E$18),O58+1,"STOP")</f>
        <v>#VALUE!</v>
      </c>
      <c r="P59" s="185" t="e">
        <f t="shared" si="3"/>
        <v>#VALUE!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12</v>
      </c>
      <c r="B60" s="181">
        <f>'Données projet'!D68</f>
        <v>0</v>
      </c>
      <c r="C60" s="191"/>
      <c r="D60" s="179">
        <f t="shared" si="4"/>
        <v>0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3"/>
        <v>#VALUE!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13</v>
      </c>
      <c r="B61" s="181">
        <f>'Données projet'!D69</f>
        <v>0</v>
      </c>
      <c r="C61" s="191"/>
      <c r="D61" s="179">
        <f t="shared" si="4"/>
        <v>0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14</v>
      </c>
      <c r="B62" s="181">
        <f>'Données projet'!D70</f>
        <v>0</v>
      </c>
      <c r="C62" s="191"/>
      <c r="D62" s="179">
        <f t="shared" si="4"/>
        <v>0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15</v>
      </c>
      <c r="B63" s="181">
        <f>'Données projet'!D71</f>
        <v>329</v>
      </c>
      <c r="C63" s="191"/>
      <c r="D63" s="179">
        <f t="shared" si="4"/>
        <v>0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>Peuplier Koster</v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8" t="s">
        <v>132</v>
      </c>
      <c r="C79" s="197"/>
      <c r="D79" s="196" t="s">
        <v>132</v>
      </c>
      <c r="E79" s="193"/>
      <c r="F79" s="230"/>
      <c r="G79" s="205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8" t="s">
        <v>132</v>
      </c>
      <c r="C80" s="197"/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8" t="s">
        <v>132</v>
      </c>
      <c r="C81" s="197"/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8" t="s">
        <v>132</v>
      </c>
      <c r="C82" s="197"/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8" t="s">
        <v>132</v>
      </c>
      <c r="C83" s="197"/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8" t="s">
        <v>132</v>
      </c>
      <c r="C84" s="197"/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8</v>
      </c>
      <c r="B85" s="181">
        <f>'Données projet'!D88</f>
        <v>0</v>
      </c>
      <c r="C85" s="191"/>
      <c r="D85" s="179">
        <f>B85*C85</f>
        <v>0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9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10</v>
      </c>
      <c r="B87" s="181">
        <f>'Données projet'!D90</f>
        <v>0</v>
      </c>
      <c r="C87" s="191"/>
      <c r="D87" s="179">
        <f t="shared" si="6"/>
        <v>0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11</v>
      </c>
      <c r="B88" s="181">
        <f>'Données projet'!D91</f>
        <v>0</v>
      </c>
      <c r="C88" s="191"/>
      <c r="D88" s="179">
        <f t="shared" si="6"/>
        <v>0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12</v>
      </c>
      <c r="B89" s="181">
        <f>'Données projet'!D92</f>
        <v>0</v>
      </c>
      <c r="C89" s="191"/>
      <c r="D89" s="179">
        <f t="shared" si="6"/>
        <v>0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13</v>
      </c>
      <c r="B90" s="181">
        <f>'Données projet'!D93</f>
        <v>0</v>
      </c>
      <c r="C90" s="191"/>
      <c r="D90" s="179">
        <f t="shared" si="6"/>
        <v>0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14</v>
      </c>
      <c r="B91" s="181">
        <f>'Données projet'!D94</f>
        <v>0</v>
      </c>
      <c r="C91" s="191"/>
      <c r="D91" s="179">
        <f t="shared" si="6"/>
        <v>0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15</v>
      </c>
      <c r="B92" s="181">
        <f>'Données projet'!D95</f>
        <v>232</v>
      </c>
      <c r="C92" s="191"/>
      <c r="D92" s="179">
        <f t="shared" si="6"/>
        <v>0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>Peuplier Dorskamp</v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8" t="s">
        <v>132</v>
      </c>
      <c r="C110" s="197"/>
      <c r="D110" s="196" t="s">
        <v>132</v>
      </c>
      <c r="E110" s="193"/>
      <c r="F110" s="230"/>
      <c r="G110" s="205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8" t="s">
        <v>132</v>
      </c>
      <c r="C111" s="197"/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8" t="s">
        <v>132</v>
      </c>
      <c r="C112" s="197"/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8" t="s">
        <v>132</v>
      </c>
      <c r="C113" s="197"/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8" t="s">
        <v>132</v>
      </c>
      <c r="C114" s="197"/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8" t="s">
        <v>132</v>
      </c>
      <c r="C115" s="197"/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5</v>
      </c>
      <c r="B116" s="181">
        <f>'Données projet'!D114</f>
        <v>0</v>
      </c>
      <c r="C116" s="191"/>
      <c r="D116" s="179">
        <f>B116*C116</f>
        <v>0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6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7</v>
      </c>
      <c r="B118" s="181">
        <f>'Données projet'!D116</f>
        <v>0</v>
      </c>
      <c r="C118" s="191"/>
      <c r="D118" s="179">
        <f t="shared" si="8"/>
        <v>0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8</v>
      </c>
      <c r="B119" s="181">
        <f>'Données projet'!D117</f>
        <v>0</v>
      </c>
      <c r="C119" s="191"/>
      <c r="D119" s="179">
        <f t="shared" si="8"/>
        <v>0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9</v>
      </c>
      <c r="B120" s="181">
        <f>'Données projet'!D118</f>
        <v>0</v>
      </c>
      <c r="C120" s="191"/>
      <c r="D120" s="179">
        <f t="shared" si="8"/>
        <v>0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10</v>
      </c>
      <c r="B121" s="181">
        <f>'Données projet'!D119</f>
        <v>0</v>
      </c>
      <c r="C121" s="191"/>
      <c r="D121" s="179">
        <f t="shared" si="8"/>
        <v>0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11</v>
      </c>
      <c r="B122" s="181">
        <f>'Données projet'!D120</f>
        <v>0</v>
      </c>
      <c r="C122" s="191"/>
      <c r="D122" s="179">
        <f t="shared" si="8"/>
        <v>0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12</v>
      </c>
      <c r="B123" s="181">
        <f>'Données projet'!D121</f>
        <v>0</v>
      </c>
      <c r="C123" s="191"/>
      <c r="D123" s="179">
        <f t="shared" si="8"/>
        <v>0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13</v>
      </c>
      <c r="B124" s="181">
        <f>'Données projet'!D122</f>
        <v>0</v>
      </c>
      <c r="C124" s="191"/>
      <c r="D124" s="179">
        <f t="shared" si="8"/>
        <v>0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14</v>
      </c>
      <c r="B125" s="181">
        <f>'Données projet'!D123</f>
        <v>0</v>
      </c>
      <c r="C125" s="191"/>
      <c r="D125" s="179">
        <f t="shared" si="8"/>
        <v>0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15</v>
      </c>
      <c r="B126" s="181">
        <f>'Données projet'!D124</f>
        <v>282</v>
      </c>
      <c r="C126" s="191"/>
      <c r="D126" s="179">
        <f t="shared" si="8"/>
        <v>0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>Peuplier Dorskamp</v>
      </c>
      <c r="C138" s="4"/>
      <c r="D138" s="4"/>
      <c r="E138" s="4"/>
      <c r="F138" s="229"/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8" t="s">
        <v>132</v>
      </c>
      <c r="C141" s="197"/>
      <c r="D141" s="196" t="s">
        <v>132</v>
      </c>
      <c r="E141" s="193"/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8" t="s">
        <v>132</v>
      </c>
      <c r="C142" s="197"/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8" t="s">
        <v>132</v>
      </c>
      <c r="C143" s="197"/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8" t="s">
        <v>132</v>
      </c>
      <c r="C144" s="197"/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8" t="s">
        <v>132</v>
      </c>
      <c r="C145" s="197"/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8" t="s">
        <v>132</v>
      </c>
      <c r="C146" s="197"/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5</v>
      </c>
      <c r="B147" s="175">
        <f>'Données projet'!D140</f>
        <v>0</v>
      </c>
      <c r="C147" s="191"/>
      <c r="D147" s="182">
        <f>B147*C147</f>
        <v>0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6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7</v>
      </c>
      <c r="B149" s="175">
        <f>'Données projet'!D142</f>
        <v>0</v>
      </c>
      <c r="C149" s="191"/>
      <c r="D149" s="182">
        <f t="shared" si="10"/>
        <v>0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8</v>
      </c>
      <c r="B150" s="175">
        <f>'Données projet'!D143</f>
        <v>0</v>
      </c>
      <c r="C150" s="191"/>
      <c r="D150" s="182">
        <f t="shared" si="10"/>
        <v>0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9</v>
      </c>
      <c r="B151" s="175">
        <f>'Données projet'!D144</f>
        <v>0</v>
      </c>
      <c r="C151" s="191"/>
      <c r="D151" s="182">
        <f t="shared" si="10"/>
        <v>0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10</v>
      </c>
      <c r="B152" s="175">
        <f>'Données projet'!D145</f>
        <v>0</v>
      </c>
      <c r="C152" s="191"/>
      <c r="D152" s="182">
        <f t="shared" si="10"/>
        <v>0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11</v>
      </c>
      <c r="B153" s="175">
        <f>'Données projet'!D146</f>
        <v>0</v>
      </c>
      <c r="C153" s="191"/>
      <c r="D153" s="182">
        <f t="shared" si="10"/>
        <v>0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12</v>
      </c>
      <c r="B154" s="175">
        <f>'Données projet'!D147</f>
        <v>0</v>
      </c>
      <c r="C154" s="191"/>
      <c r="D154" s="182">
        <f t="shared" si="10"/>
        <v>0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13</v>
      </c>
      <c r="B155" s="175">
        <f>'Données projet'!D148</f>
        <v>0</v>
      </c>
      <c r="C155" s="191"/>
      <c r="D155" s="182">
        <f t="shared" si="10"/>
        <v>0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14</v>
      </c>
      <c r="B156" s="175">
        <f>'Données projet'!D149</f>
        <v>0</v>
      </c>
      <c r="C156" s="191"/>
      <c r="D156" s="182">
        <f t="shared" si="10"/>
        <v>0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15</v>
      </c>
      <c r="B157" s="175">
        <f>'Données projet'!D150</f>
        <v>282</v>
      </c>
      <c r="C157" s="191"/>
      <c r="D157" s="182">
        <f t="shared" si="10"/>
        <v>0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29"/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8" t="s">
        <v>132</v>
      </c>
      <c r="C172" s="197"/>
      <c r="D172" s="196" t="s">
        <v>132</v>
      </c>
      <c r="E172" s="193"/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8" t="s">
        <v>132</v>
      </c>
      <c r="C173" s="197"/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8" t="s">
        <v>132</v>
      </c>
      <c r="C174" s="197"/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8" t="s">
        <v>132</v>
      </c>
      <c r="C175" s="197"/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8" t="s">
        <v>132</v>
      </c>
      <c r="C176" s="197"/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8" t="s">
        <v>132</v>
      </c>
      <c r="C177" s="197"/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29"/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8" t="s">
        <v>132</v>
      </c>
      <c r="C203" s="197"/>
      <c r="D203" s="196" t="s">
        <v>132</v>
      </c>
      <c r="E203" s="193"/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8" t="s">
        <v>132</v>
      </c>
      <c r="C204" s="197"/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8" t="s">
        <v>132</v>
      </c>
      <c r="C205" s="197"/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8" t="s">
        <v>132</v>
      </c>
      <c r="C206" s="197"/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8" t="s">
        <v>132</v>
      </c>
      <c r="C207" s="197"/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8" t="s">
        <v>132</v>
      </c>
      <c r="C208" s="197"/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8" t="s">
        <v>132</v>
      </c>
      <c r="C234" s="197"/>
      <c r="D234" s="196" t="s">
        <v>132</v>
      </c>
      <c r="E234" s="193"/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8" t="s">
        <v>132</v>
      </c>
      <c r="C235" s="197"/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8" t="s">
        <v>132</v>
      </c>
      <c r="C236" s="197"/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8" t="s">
        <v>132</v>
      </c>
      <c r="C237" s="197"/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8" t="s">
        <v>132</v>
      </c>
      <c r="C238" s="197"/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8" t="s">
        <v>132</v>
      </c>
      <c r="C239" s="197"/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8" t="s">
        <v>132</v>
      </c>
      <c r="C265" s="197"/>
      <c r="D265" s="196" t="s">
        <v>132</v>
      </c>
      <c r="E265" s="193"/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8" t="s">
        <v>132</v>
      </c>
      <c r="C266" s="197"/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8" t="s">
        <v>132</v>
      </c>
      <c r="C267" s="197"/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8" t="s">
        <v>132</v>
      </c>
      <c r="C268" s="197"/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8" t="s">
        <v>132</v>
      </c>
      <c r="C269" s="197"/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8" t="s">
        <v>132</v>
      </c>
      <c r="C270" s="197"/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8" t="s">
        <v>132</v>
      </c>
      <c r="C296" s="197"/>
      <c r="D296" s="196" t="s">
        <v>132</v>
      </c>
      <c r="E296" s="193"/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8" t="s">
        <v>132</v>
      </c>
      <c r="C297" s="197"/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8" t="s">
        <v>132</v>
      </c>
      <c r="C298" s="197"/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8" t="s">
        <v>132</v>
      </c>
      <c r="C299" s="197"/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8" t="s">
        <v>132</v>
      </c>
      <c r="C300" s="197"/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8" t="s">
        <v>132</v>
      </c>
      <c r="C301" s="197"/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0</v>
      </c>
      <c r="B317" s="181">
        <f>'Données projet'!D285</f>
        <v>0</v>
      </c>
      <c r="C317" s="191"/>
      <c r="D317" s="182">
        <f>B317*C317</f>
        <v>0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0</v>
      </c>
      <c r="B321" s="181">
        <f>'Données projet'!D289</f>
        <v>0</v>
      </c>
      <c r="C321" s="191"/>
      <c r="D321" s="182">
        <f t="shared" si="15"/>
        <v>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Calculateur</vt:lpstr>
      <vt:lpstr>Paramètres</vt:lpstr>
      <vt:lpstr>Scénario référence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2023-09-21T12:32:59Z</dcterms:modified>
</cp:coreProperties>
</file>