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2C5E70B0-5C8D-4CC5-A6BA-ACBE97A96FDF}" xr6:coauthVersionLast="47" xr6:coauthVersionMax="47" xr10:uidLastSave="{00000000-0000-0000-0000-000000000000}"/>
  <bookViews>
    <workbookView xWindow="-110" yWindow="-110" windowWidth="19420" windowHeight="10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EC4" i="2"/>
  <c r="BQ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HG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FS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HG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V28" i="2"/>
  <c r="EB28" i="2"/>
  <c r="FS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HG33" i="2"/>
  <c r="EB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A35" i="2"/>
  <c r="CM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EX38" i="2"/>
  <c r="HI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H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C85" i="2"/>
  <c r="HH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EC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HH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HG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Y154" i="2"/>
  <c r="EA155" i="2"/>
  <c r="EW155" i="2"/>
  <c r="HH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EB156" i="2"/>
  <c r="DH156" i="2"/>
  <c r="HH156" i="2"/>
  <c r="AB156" i="2"/>
  <c r="FS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CN156" i="2"/>
  <c r="EB157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C158" i="2"/>
  <c r="HH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H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AB161" i="2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C162" i="2"/>
  <c r="DI161" i="2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V163" i="2"/>
  <c r="EB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V164" i="2"/>
  <c r="ED163" i="2"/>
  <c r="EA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HH167" i="2"/>
  <c r="DG167" i="2"/>
  <c r="EB167" i="2"/>
  <c r="FR167" i="2"/>
  <c r="EA167" i="2"/>
  <c r="EC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V168" i="2"/>
  <c r="EC168" i="2"/>
  <c r="EB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HH169" i="2"/>
  <c r="FS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B172" i="2"/>
  <c r="EA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EA178" i="2"/>
  <c r="FS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V179" i="2"/>
  <c r="HI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A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EW186" i="2"/>
  <c r="HH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B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HI192" i="2"/>
  <c r="EC192" i="2"/>
  <c r="EB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HI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EB195" i="2"/>
  <c r="DH195" i="2"/>
  <c r="EX195" i="2"/>
  <c r="AA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EC197" i="2"/>
  <c r="HH197" i="2"/>
  <c r="EA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A199" i="2"/>
  <c r="EW199" i="2"/>
  <c r="EB199" i="2"/>
  <c r="EV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DI200" i="2"/>
  <c r="HH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ED201" i="2"/>
  <c r="EW202" i="2"/>
  <c r="FZ6" i="2"/>
  <c r="FS202" i="2"/>
  <c r="HI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AH19" i="2" a="1"/>
  <c r="AH1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8" i="2" a="1"/>
  <c r="FD48" i="2" s="1"/>
  <c r="FD160" i="2" a="1"/>
  <c r="FD160" i="2" s="1"/>
  <c r="BC31" i="2" a="1"/>
  <c r="BC31" i="2" s="1"/>
  <c r="BC143" i="2" a="1"/>
  <c r="BC143" i="2" s="1"/>
  <c r="BC185" i="2" a="1"/>
  <c r="BC185" i="2" s="1"/>
  <c r="BC7" i="2" a="1"/>
  <c r="BC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67" i="2" a="1"/>
  <c r="EI6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FD82" i="2" a="1"/>
  <c r="FD82" i="2" s="1"/>
  <c r="DN187" i="2" a="1"/>
  <c r="DN187" i="2" s="1"/>
  <c r="HJ202" i="2"/>
  <c r="AX200" i="2"/>
  <c r="AH151" i="2" l="1" a="1"/>
  <c r="AH151" i="2" s="1"/>
  <c r="EI170" i="2" a="1"/>
  <c r="EI170" i="2" s="1"/>
  <c r="EI16" i="2" a="1"/>
  <c r="EI16" i="2" s="1"/>
  <c r="EI113" i="2" a="1"/>
  <c r="EI113" i="2" s="1"/>
  <c r="EI57" i="2" a="1"/>
  <c r="EI57" i="2" s="1"/>
  <c r="EI195" i="2" a="1"/>
  <c r="EI195" i="2" s="1"/>
  <c r="EI142" i="2" a="1"/>
  <c r="EI142" i="2" s="1"/>
  <c r="EI145" i="2" a="1"/>
  <c r="EI145" i="2" s="1"/>
  <c r="EI162" i="2" a="1"/>
  <c r="EI162" i="2" s="1"/>
  <c r="EI109" i="2" a="1"/>
  <c r="EI109" i="2" s="1"/>
  <c r="EI87" i="2" a="1"/>
  <c r="EI87" i="2" s="1"/>
  <c r="EI139" i="2" a="1"/>
  <c r="EI139" i="2" s="1"/>
  <c r="EI128" i="2" a="1"/>
  <c r="EI128" i="2" s="1"/>
  <c r="EI29" i="2" a="1"/>
  <c r="EI29" i="2" s="1"/>
  <c r="EI20" i="2" a="1"/>
  <c r="EI20" i="2" s="1"/>
  <c r="EI106" i="2" a="1"/>
  <c r="EI106" i="2" s="1"/>
  <c r="EI150" i="2" a="1"/>
  <c r="EI150" i="2" s="1"/>
  <c r="EI198" i="2" a="1"/>
  <c r="EI198" i="2" s="1"/>
  <c r="EI37" i="2" a="1"/>
  <c r="EI37" i="2" s="1"/>
  <c r="EI165" i="2" a="1"/>
  <c r="EI165" i="2" s="1"/>
  <c r="EI34" i="2" a="1"/>
  <c r="EI34" i="2" s="1"/>
  <c r="EI35" i="2" a="1"/>
  <c r="EI35" i="2" s="1"/>
  <c r="EI71" i="2" a="1"/>
  <c r="EI71" i="2" s="1"/>
  <c r="EI153" i="2" a="1"/>
  <c r="EI153" i="2" s="1"/>
  <c r="EI36" i="2" a="1"/>
  <c r="EI36" i="2" s="1"/>
  <c r="EI166" i="2" a="1"/>
  <c r="EI166" i="2" s="1"/>
  <c r="EI38" i="2" a="1"/>
  <c r="EI38" i="2" s="1"/>
  <c r="EI178" i="2" a="1"/>
  <c r="EI178" i="2" s="1"/>
  <c r="CS72" i="2" a="1"/>
  <c r="CS72" i="2" s="1"/>
  <c r="CS120" i="2" a="1"/>
  <c r="CS120" i="2" s="1"/>
  <c r="CS134" i="2" a="1"/>
  <c r="CS134" i="2" s="1"/>
  <c r="BC47" i="2" a="1"/>
  <c r="BC47" i="2" s="1"/>
  <c r="BC32" i="2" a="1"/>
  <c r="BC32" i="2" s="1"/>
  <c r="BC84" i="2" a="1"/>
  <c r="BC84" i="2" s="1"/>
  <c r="BC164" i="2" a="1"/>
  <c r="BC164" i="2" s="1"/>
  <c r="BC192" i="2" a="1"/>
  <c r="BC192" i="2" s="1"/>
  <c r="BC18" i="2" a="1"/>
  <c r="BC18" i="2" s="1"/>
  <c r="BC38" i="2" a="1"/>
  <c r="BC38" i="2" s="1"/>
  <c r="BC83" i="2" a="1"/>
  <c r="BC83" i="2" s="1"/>
  <c r="BC55" i="2" a="1"/>
  <c r="BC55" i="2" s="1"/>
  <c r="BC151" i="2" a="1"/>
  <c r="BC151" i="2" s="1"/>
  <c r="BC130" i="2" a="1"/>
  <c r="BC130" i="2" s="1"/>
  <c r="BC82" i="2" a="1"/>
  <c r="BC82" i="2" s="1"/>
  <c r="DN124" i="2" a="1"/>
  <c r="DN124" i="2" s="1"/>
  <c r="DN184" i="2" a="1"/>
  <c r="DN184" i="2" s="1"/>
  <c r="DN155" i="2" a="1"/>
  <c r="DN155" i="2" s="1"/>
  <c r="DN56" i="2" a="1"/>
  <c r="DN56" i="2" s="1"/>
  <c r="CS56" i="2" a="1"/>
  <c r="CS56" i="2" s="1"/>
  <c r="CS38" i="2" a="1"/>
  <c r="CS38" i="2" s="1"/>
  <c r="CS105" i="2" a="1"/>
  <c r="CS105" i="2" s="1"/>
  <c r="CS129" i="2" a="1"/>
  <c r="CS129" i="2" s="1"/>
  <c r="CS116" i="2" a="1"/>
  <c r="CS116" i="2" s="1"/>
  <c r="CS52" i="2" a="1"/>
  <c r="CS52" i="2" s="1"/>
  <c r="CS161" i="2" a="1"/>
  <c r="CS161" i="2" s="1"/>
  <c r="CS66" i="2" a="1"/>
  <c r="CS66" i="2" s="1"/>
  <c r="CS114" i="2" a="1"/>
  <c r="CS114" i="2" s="1"/>
  <c r="CS185" i="2" a="1"/>
  <c r="CS185" i="2" s="1"/>
  <c r="CS77" i="2" a="1"/>
  <c r="CS77" i="2" s="1"/>
  <c r="CS137" i="2" a="1"/>
  <c r="CS137" i="2" s="1"/>
  <c r="BC126" i="2" a="1"/>
  <c r="BC126" i="2" s="1"/>
  <c r="BC117" i="2" a="1"/>
  <c r="BC117" i="2" s="1"/>
  <c r="BC181" i="2" a="1"/>
  <c r="BC181" i="2" s="1"/>
  <c r="BC65" i="2" a="1"/>
  <c r="BC65" i="2" s="1"/>
  <c r="BC114" i="2" a="1"/>
  <c r="BC114" i="2" s="1"/>
  <c r="BP203" i="2"/>
  <c r="AH163" i="2" a="1"/>
  <c r="AH163" i="2" s="1"/>
  <c r="AH62" i="2" a="1"/>
  <c r="AH62" i="2" s="1"/>
  <c r="AH92" i="2" a="1"/>
  <c r="AH92" i="2" s="1"/>
  <c r="AH90" i="2" a="1"/>
  <c r="AH90" i="2" s="1"/>
  <c r="AH199" i="2" a="1"/>
  <c r="AH199" i="2" s="1"/>
  <c r="AH166" i="2" a="1"/>
  <c r="AH166" i="2" s="1"/>
  <c r="FD19" i="2" a="1"/>
  <c r="FD19" i="2" s="1"/>
  <c r="FD14" i="2" a="1"/>
  <c r="FD14" i="2" s="1"/>
  <c r="BX107" i="2" a="1"/>
  <c r="BX107" i="2" s="1"/>
  <c r="FD137" i="2" a="1"/>
  <c r="FD137" i="2" s="1"/>
  <c r="FD44" i="2" a="1"/>
  <c r="FD44" i="2" s="1"/>
  <c r="FD159" i="2" a="1"/>
  <c r="FD159" i="2" s="1"/>
  <c r="FD188" i="2" a="1"/>
  <c r="FD188" i="2" s="1"/>
  <c r="FD59" i="2" a="1"/>
  <c r="FD59" i="2" s="1"/>
  <c r="FD107" i="2" a="1"/>
  <c r="FD107" i="2" s="1"/>
  <c r="FD144" i="2" a="1"/>
  <c r="FD144" i="2" s="1"/>
  <c r="FD167" i="2" a="1"/>
  <c r="FD167" i="2" s="1"/>
  <c r="FD21" i="2" a="1"/>
  <c r="FD21" i="2" s="1"/>
  <c r="FD60" i="2" a="1"/>
  <c r="FD60" i="2" s="1"/>
  <c r="FD131" i="2" a="1"/>
  <c r="FD131" i="2" s="1"/>
  <c r="FD43" i="2" a="1"/>
  <c r="FD43" i="2" s="1"/>
  <c r="FD187" i="2" a="1"/>
  <c r="FD187" i="2" s="1"/>
  <c r="FD64" i="2" a="1"/>
  <c r="FD64" i="2" s="1"/>
  <c r="FS203" i="2"/>
  <c r="HH203" i="2"/>
  <c r="FD194" i="2" a="1"/>
  <c r="FD194" i="2" s="1"/>
  <c r="FD189" i="2" a="1"/>
  <c r="FD189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Y203" i="2"/>
  <c r="ED203" i="2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<sst xmlns="http://schemas.openxmlformats.org/spreadsheetml/2006/main" count="1176" uniqueCount="324">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</sst>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606.47567200029607</c:v>
                </c:pt>
                <c:pt idx="97">
                  <c:v>617.16268463508504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649.20100677344169</c:v>
                </c:pt>
                <c:pt idx="101">
                  <c:v>608.00262579276762</c:v>
                </c:pt>
                <c:pt idx="102">
                  <c:v>618.3074928990726</c:v>
                </c:pt>
                <c:pt idx="103">
                  <c:v>628.60880146856778</c:v>
                </c:pt>
                <c:pt idx="104">
                  <c:v>638.90661802503575</c:v>
                </c:pt>
                <c:pt idx="105">
                  <c:v>649.20100677344146</c:v>
                </c:pt>
                <c:pt idx="106">
                  <c:v>609.1477888796602</c:v>
                </c:pt>
                <c:pt idx="107">
                  <c:v>618.68908588691181</c:v>
                </c:pt>
                <c:pt idx="108">
                  <c:v>628.22733419629969</c:v>
                </c:pt>
                <c:pt idx="109">
                  <c:v>637.76258661477345</c:v>
                </c:pt>
                <c:pt idx="110">
                  <c:v>647.29489424172436</c:v>
                </c:pt>
                <c:pt idx="111">
                  <c:v>603.61241826374192</c:v>
                </c:pt>
                <c:pt idx="112">
                  <c:v>607.62089481714156</c:v>
                </c:pt>
                <c:pt idx="113">
                  <c:v>611.6288224003672</c:v>
                </c:pt>
                <c:pt idx="114">
                  <c:v>615.63620511985016</c:v>
                </c:pt>
                <c:pt idx="115">
                  <c:v>619.64304702417769</c:v>
                </c:pt>
                <c:pt idx="116">
                  <c:v>623.64935210528449</c:v>
                </c:pt>
                <c:pt idx="117">
                  <c:v>627.65512429961257</c:v>
                </c:pt>
                <c:pt idx="118">
                  <c:v>631.66036748923955</c:v>
                </c:pt>
                <c:pt idx="119">
                  <c:v>635.66508550297681</c:v>
                </c:pt>
                <c:pt idx="120">
                  <c:v>639.66928211743925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3.4529372293899008</c:v>
                </c:pt>
                <c:pt idx="2">
                  <c:v>4.134922909140152</c:v>
                </c:pt>
                <c:pt idx="3">
                  <c:v>4.9521016093783672</c:v>
                </c:pt>
                <c:pt idx="4">
                  <c:v>5.9313656670984827</c:v>
                </c:pt>
                <c:pt idx="5">
                  <c:v>7.1049739941731884</c:v>
                </c:pt>
                <c:pt idx="6">
                  <c:v>8.5116262097602071</c:v>
                </c:pt>
                <c:pt idx="7">
                  <c:v>10.197752352696471</c:v>
                </c:pt>
                <c:pt idx="8">
                  <c:v>12.219061549844341</c:v>
                </c:pt>
                <c:pt idx="9">
                  <c:v>14.642401763842701</c:v>
                </c:pt>
                <c:pt idx="10">
                  <c:v>17.547993258946569</c:v>
                </c:pt>
                <c:pt idx="11">
                  <c:v>21.032111064518954</c:v>
                </c:pt>
                <c:pt idx="12">
                  <c:v>25.210306912759112</c:v>
                </c:pt>
                <c:pt idx="13">
                  <c:v>30.221279398233865</c:v>
                </c:pt>
                <c:pt idx="14">
                  <c:v>36.23152307461509</c:v>
                </c:pt>
                <c:pt idx="15">
                  <c:v>43.440913618031878</c:v>
                </c:pt>
                <c:pt idx="16">
                  <c:v>52.089417948050851</c:v>
                </c:pt>
                <c:pt idx="17">
                  <c:v>62.465156390978699</c:v>
                </c:pt>
                <c:pt idx="18">
                  <c:v>74.91408990067265</c:v>
                </c:pt>
                <c:pt idx="19">
                  <c:v>89.851660589142838</c:v>
                </c:pt>
                <c:pt idx="20">
                  <c:v>107.77678025171018</c:v>
                </c:pt>
                <c:pt idx="21">
                  <c:v>121.74585128444294</c:v>
                </c:pt>
                <c:pt idx="22">
                  <c:v>135.67590230605916</c:v>
                </c:pt>
                <c:pt idx="23">
                  <c:v>149.5715086569696</c:v>
                </c:pt>
                <c:pt idx="24">
                  <c:v>163.43632399978199</c:v>
                </c:pt>
                <c:pt idx="25">
                  <c:v>177.27333024872806</c:v>
                </c:pt>
                <c:pt idx="26">
                  <c:v>190.59214261950831</c:v>
                </c:pt>
                <c:pt idx="27">
                  <c:v>203.88928133034233</c:v>
                </c:pt>
                <c:pt idx="28">
                  <c:v>217.16635968048513</c:v>
                </c:pt>
                <c:pt idx="29">
                  <c:v>230.42477741414237</c:v>
                </c:pt>
                <c:pt idx="30">
                  <c:v>243.66575991708831</c:v>
                </c:pt>
                <c:pt idx="31">
                  <c:v>211.7595071573999</c:v>
                </c:pt>
                <c:pt idx="32">
                  <c:v>231.40617478614675</c:v>
                </c:pt>
                <c:pt idx="33">
                  <c:v>251.0147307246672</c:v>
                </c:pt>
                <c:pt idx="34">
                  <c:v>270.58857054436726</c:v>
                </c:pt>
                <c:pt idx="35">
                  <c:v>290.13055823223016</c:v>
                </c:pt>
                <c:pt idx="36">
                  <c:v>259.33767759130313</c:v>
                </c:pt>
                <c:pt idx="37">
                  <c:v>279.87482760648749</c:v>
                </c:pt>
                <c:pt idx="38">
                  <c:v>300.37818946266407</c:v>
                </c:pt>
                <c:pt idx="39">
                  <c:v>320.85039298159836</c:v>
                </c:pt>
                <c:pt idx="40">
                  <c:v>341.2937050018366</c:v>
                </c:pt>
                <c:pt idx="41">
                  <c:v>310.61803673581051</c:v>
                </c:pt>
                <c:pt idx="42">
                  <c:v>331.07553091004496</c:v>
                </c:pt>
                <c:pt idx="43">
                  <c:v>351.50515324795123</c:v>
                </c:pt>
                <c:pt idx="44">
                  <c:v>371.90875069809869</c:v>
                </c:pt>
                <c:pt idx="45">
                  <c:v>392.28795108310925</c:v>
                </c:pt>
                <c:pt idx="46">
                  <c:v>361.22429321022861</c:v>
                </c:pt>
                <c:pt idx="47">
                  <c:v>381.13084421476827</c:v>
                </c:pt>
                <c:pt idx="48">
                  <c:v>401.01478943331102</c:v>
                </c:pt>
                <c:pt idx="49">
                  <c:v>420.87740681048814</c:v>
                </c:pt>
                <c:pt idx="50">
                  <c:v>440.71984388784944</c:v>
                </c:pt>
                <c:pt idx="51">
                  <c:v>409.25302869952412</c:v>
                </c:pt>
                <c:pt idx="52">
                  <c:v>428.62313846306938</c:v>
                </c:pt>
                <c:pt idx="53">
                  <c:v>447.97443726246598</c:v>
                </c:pt>
                <c:pt idx="54">
                  <c:v>467.30785153167261</c:v>
                </c:pt>
                <c:pt idx="55">
                  <c:v>486.62422484000041</c:v>
                </c:pt>
                <c:pt idx="56">
                  <c:v>454.25971616804901</c:v>
                </c:pt>
                <c:pt idx="57">
                  <c:v>472.62151904574711</c:v>
                </c:pt>
                <c:pt idx="58">
                  <c:v>490.96814051556157</c:v>
                </c:pt>
                <c:pt idx="59">
                  <c:v>509.30022739028919</c:v>
                </c:pt>
                <c:pt idx="60">
                  <c:v>527.61837615010916</c:v>
                </c:pt>
                <c:pt idx="61">
                  <c:v>494.3461776608296</c:v>
                </c:pt>
                <c:pt idx="62">
                  <c:v>511.71129412952843</c:v>
                </c:pt>
                <c:pt idx="63">
                  <c:v>529.06396873094195</c:v>
                </c:pt>
                <c:pt idx="64">
                  <c:v>546.40466675747405</c:v>
                </c:pt>
                <c:pt idx="65">
                  <c:v>563.7338215783434</c:v>
                </c:pt>
                <c:pt idx="66">
                  <c:v>529.5458144334425</c:v>
                </c:pt>
                <c:pt idx="67">
                  <c:v>545.92313850649077</c:v>
                </c:pt>
                <c:pt idx="68">
                  <c:v>562.2901561779538</c:v>
                </c:pt>
                <c:pt idx="69">
                  <c:v>578.64720951981599</c:v>
                </c:pt>
                <c:pt idx="70">
                  <c:v>594.99461969957736</c:v>
                </c:pt>
                <c:pt idx="71">
                  <c:v>559.40259245849336</c:v>
                </c:pt>
                <c:pt idx="72">
                  <c:v>574.31835256166607</c:v>
                </c:pt>
                <c:pt idx="73">
                  <c:v>589.2260273169976</c:v>
                </c:pt>
                <c:pt idx="74">
                  <c:v>604.12584999918056</c:v>
                </c:pt>
                <c:pt idx="75">
                  <c:v>619.01804144415826</c:v>
                </c:pt>
                <c:pt idx="76">
                  <c:v>582.97539089270788</c:v>
                </c:pt>
                <c:pt idx="77">
                  <c:v>597.39785574639575</c:v>
                </c:pt>
                <c:pt idx="78">
                  <c:v>611.81308180026383</c:v>
                </c:pt>
                <c:pt idx="79">
                  <c:v>626.22126355197076</c:v>
                </c:pt>
                <c:pt idx="80">
                  <c:v>640.62258582421293</c:v>
                </c:pt>
                <c:pt idx="81">
                  <c:v>604.12584999918056</c:v>
                </c:pt>
                <c:pt idx="82">
                  <c:v>618.05748105376017</c:v>
                </c:pt>
                <c:pt idx="83">
                  <c:v>631.98260555718309</c:v>
                </c:pt>
                <c:pt idx="84">
                  <c:v>645.90138700087311</c:v>
                </c:pt>
                <c:pt idx="85">
                  <c:v>659.81398125926</c:v>
                </c:pt>
                <c:pt idx="86">
                  <c:v>622.37975992032511</c:v>
                </c:pt>
                <c:pt idx="87">
                  <c:v>635.34288615032483</c:v>
                </c:pt>
                <c:pt idx="88">
                  <c:v>648.30054732947349</c:v>
                </c:pt>
                <c:pt idx="89">
                  <c:v>661.25286802950563</c:v>
                </c:pt>
                <c:pt idx="90">
                  <c:v>674.19996754655347</c:v>
                </c:pt>
                <c:pt idx="91">
                  <c:v>630.54237231039144</c:v>
                </c:pt>
                <c:pt idx="92">
                  <c:v>637.26288143431623</c:v>
                </c:pt>
                <c:pt idx="93">
                  <c:v>643.98192636288911</c:v>
                </c:pt>
                <c:pt idx="94">
                  <c:v>650.6995245286206</c:v>
                </c:pt>
                <c:pt idx="95">
                  <c:v>657.41569297470744</c:v>
                </c:pt>
                <c:pt idx="96">
                  <c:v>664.13044836770246</c:v>
                </c:pt>
                <c:pt idx="97">
                  <c:v>670.84380700964357</c:v>
                </c:pt>
                <c:pt idx="98">
                  <c:v>677.5557848496743</c:v>
                </c:pt>
                <c:pt idx="99">
                  <c:v>684.26639749517778</c:v>
                </c:pt>
                <c:pt idx="100">
                  <c:v>690.97566022245303</c:v>
                </c:pt>
                <c:pt idx="101">
                  <c:v>646.38123375415296</c:v>
                </c:pt>
                <c:pt idx="102">
                  <c:v>652.13882326685757</c:v>
                </c:pt>
                <c:pt idx="103">
                  <c:v>657.89536502624082</c:v>
                </c:pt>
                <c:pt idx="104">
                  <c:v>663.65086949435386</c:v>
                </c:pt>
                <c:pt idx="105">
                  <c:v>669.40534693696043</c:v>
                </c:pt>
                <c:pt idx="106">
                  <c:v>675.15880742891306</c:v>
                </c:pt>
                <c:pt idx="107">
                  <c:v>680.91126085933513</c:v>
                </c:pt>
                <c:pt idx="108">
                  <c:v>686.66271693661963</c:v>
                </c:pt>
                <c:pt idx="109">
                  <c:v>692.41318519325011</c:v>
                </c:pt>
                <c:pt idx="110">
                  <c:v>698.16267499045534</c:v>
                </c:pt>
                <c:pt idx="111">
                  <c:v>657.17585424582819</c:v>
                </c:pt>
                <c:pt idx="112">
                  <c:v>661.73248262189975</c:v>
                </c:pt>
                <c:pt idx="113">
                  <c:v>666.28846519657202</c:v>
                </c:pt>
                <c:pt idx="114">
                  <c:v>670.843807009643</c:v>
                </c:pt>
                <c:pt idx="115">
                  <c:v>675.39851302686793</c:v>
                </c:pt>
                <c:pt idx="116">
                  <c:v>679.95258814154931</c:v>
                </c:pt>
                <c:pt idx="117">
                  <c:v>684.50603717608465</c:v>
                </c:pt>
                <c:pt idx="118">
                  <c:v>689.05886488346721</c:v>
                </c:pt>
                <c:pt idx="119">
                  <c:v>693.6110759487475</c:v>
                </c:pt>
                <c:pt idx="120">
                  <c:v>698.16267499045478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5.2667878847729083E-12</c:v>
                </c:pt>
                <c:pt idx="67">
                  <c:v>5.2667878847729083E-12</c:v>
                </c:pt>
                <c:pt idx="68">
                  <c:v>5.2667878847729083E-12</c:v>
                </c:pt>
                <c:pt idx="69">
                  <c:v>5.2667878847729083E-12</c:v>
                </c:pt>
                <c:pt idx="70">
                  <c:v>5.2667878847729083E-12</c:v>
                </c:pt>
                <c:pt idx="71">
                  <c:v>5.2667878847729083E-12</c:v>
                </c:pt>
                <c:pt idx="72">
                  <c:v>5.2667878847729083E-12</c:v>
                </c:pt>
                <c:pt idx="73">
                  <c:v>5.2667878847729083E-12</c:v>
                </c:pt>
                <c:pt idx="74">
                  <c:v>5.2667878847729083E-12</c:v>
                </c:pt>
                <c:pt idx="75">
                  <c:v>5.2667878847729083E-12</c:v>
                </c:pt>
                <c:pt idx="76">
                  <c:v>5.2667878847729083E-12</c:v>
                </c:pt>
                <c:pt idx="77">
                  <c:v>5.2667878847729083E-12</c:v>
                </c:pt>
                <c:pt idx="78">
                  <c:v>5.2667878847729083E-12</c:v>
                </c:pt>
                <c:pt idx="79">
                  <c:v>5.2667878847729083E-12</c:v>
                </c:pt>
                <c:pt idx="80">
                  <c:v>5.2667878847729083E-12</c:v>
                </c:pt>
                <c:pt idx="81">
                  <c:v>5.2667878847729083E-12</c:v>
                </c:pt>
                <c:pt idx="82">
                  <c:v>5.2667878847729083E-12</c:v>
                </c:pt>
                <c:pt idx="83">
                  <c:v>5.2667878847729083E-12</c:v>
                </c:pt>
                <c:pt idx="84">
                  <c:v>5.2667878847729083E-12</c:v>
                </c:pt>
                <c:pt idx="85">
                  <c:v>5.2667878847729083E-12</c:v>
                </c:pt>
                <c:pt idx="86">
                  <c:v>5.2667878847729083E-12</c:v>
                </c:pt>
                <c:pt idx="87">
                  <c:v>5.2667878847729083E-12</c:v>
                </c:pt>
                <c:pt idx="88">
                  <c:v>5.2667878847729083E-12</c:v>
                </c:pt>
                <c:pt idx="89">
                  <c:v>5.2667878847729083E-12</c:v>
                </c:pt>
                <c:pt idx="90">
                  <c:v>5.2667878847729083E-12</c:v>
                </c:pt>
                <c:pt idx="91">
                  <c:v>5.2667878847729083E-12</c:v>
                </c:pt>
                <c:pt idx="92">
                  <c:v>5.2667878847729083E-12</c:v>
                </c:pt>
                <c:pt idx="93">
                  <c:v>5.2667878847729083E-12</c:v>
                </c:pt>
                <c:pt idx="94">
                  <c:v>5.2667878847729083E-12</c:v>
                </c:pt>
                <c:pt idx="95">
                  <c:v>5.2667878847729083E-12</c:v>
                </c:pt>
                <c:pt idx="96">
                  <c:v>5.2667878847729083E-12</c:v>
                </c:pt>
                <c:pt idx="97">
                  <c:v>5.2667878847729083E-12</c:v>
                </c:pt>
                <c:pt idx="98">
                  <c:v>5.2667878847729083E-12</c:v>
                </c:pt>
                <c:pt idx="99">
                  <c:v>5.2667878847729083E-12</c:v>
                </c:pt>
                <c:pt idx="100">
                  <c:v>5.2667878847729083E-12</c:v>
                </c:pt>
                <c:pt idx="101">
                  <c:v>5.2667878847729083E-12</c:v>
                </c:pt>
                <c:pt idx="102">
                  <c:v>5.2667878847729083E-12</c:v>
                </c:pt>
                <c:pt idx="103">
                  <c:v>5.2667878847729083E-12</c:v>
                </c:pt>
                <c:pt idx="104">
                  <c:v>5.2667878847729083E-12</c:v>
                </c:pt>
                <c:pt idx="105">
                  <c:v>5.2667878847729083E-12</c:v>
                </c:pt>
                <c:pt idx="106">
                  <c:v>5.2667878847729083E-12</c:v>
                </c:pt>
                <c:pt idx="107">
                  <c:v>5.2667878847729083E-12</c:v>
                </c:pt>
                <c:pt idx="108">
                  <c:v>5.2667878847729083E-12</c:v>
                </c:pt>
                <c:pt idx="109">
                  <c:v>5.2667878847729083E-12</c:v>
                </c:pt>
                <c:pt idx="110">
                  <c:v>5.2667878847729083E-12</c:v>
                </c:pt>
                <c:pt idx="111">
                  <c:v>5.2667878847729083E-12</c:v>
                </c:pt>
                <c:pt idx="112">
                  <c:v>5.2667878847729083E-12</c:v>
                </c:pt>
                <c:pt idx="113">
                  <c:v>5.2667878847729083E-12</c:v>
                </c:pt>
                <c:pt idx="114">
                  <c:v>5.2667878847729083E-12</c:v>
                </c:pt>
                <c:pt idx="115">
                  <c:v>5.2667878847729083E-12</c:v>
                </c:pt>
                <c:pt idx="116">
                  <c:v>5.2667878847729083E-12</c:v>
                </c:pt>
                <c:pt idx="117">
                  <c:v>5.2667878847729083E-12</c:v>
                </c:pt>
                <c:pt idx="118">
                  <c:v>5.2667878847729083E-12</c:v>
                </c:pt>
                <c:pt idx="119">
                  <c:v>5.2667878847729083E-12</c:v>
                </c:pt>
                <c:pt idx="120">
                  <c:v>5.2667878847729083E-12</c:v>
                </c:pt>
                <c:pt idx="121">
                  <c:v>5.2667878847729083E-12</c:v>
                </c:pt>
                <c:pt idx="122">
                  <c:v>5.2667878847729083E-12</c:v>
                </c:pt>
                <c:pt idx="123">
                  <c:v>5.2667878847729083E-12</c:v>
                </c:pt>
                <c:pt idx="124">
                  <c:v>5.2667878847729083E-12</c:v>
                </c:pt>
                <c:pt idx="125">
                  <c:v>5.2667878847729083E-12</c:v>
                </c:pt>
                <c:pt idx="126">
                  <c:v>5.2667878847729083E-12</c:v>
                </c:pt>
                <c:pt idx="127">
                  <c:v>5.2667878847729083E-12</c:v>
                </c:pt>
                <c:pt idx="128">
                  <c:v>5.2667878847729083E-12</c:v>
                </c:pt>
                <c:pt idx="129">
                  <c:v>5.2667878847729083E-12</c:v>
                </c:pt>
                <c:pt idx="130">
                  <c:v>5.2667878847729083E-12</c:v>
                </c:pt>
                <c:pt idx="131">
                  <c:v>5.2667878847729083E-12</c:v>
                </c:pt>
                <c:pt idx="132">
                  <c:v>5.2667878847729083E-12</c:v>
                </c:pt>
                <c:pt idx="133">
                  <c:v>5.2667878847729083E-12</c:v>
                </c:pt>
                <c:pt idx="134">
                  <c:v>5.2667878847729083E-12</c:v>
                </c:pt>
                <c:pt idx="135">
                  <c:v>5.2667878847729083E-12</c:v>
                </c:pt>
                <c:pt idx="136">
                  <c:v>5.2667878847729083E-12</c:v>
                </c:pt>
                <c:pt idx="137">
                  <c:v>5.2667878847729083E-12</c:v>
                </c:pt>
                <c:pt idx="138">
                  <c:v>5.2667878847729083E-12</c:v>
                </c:pt>
                <c:pt idx="139">
                  <c:v>5.2667878847729083E-12</c:v>
                </c:pt>
                <c:pt idx="140">
                  <c:v>5.2667878847729083E-12</c:v>
                </c:pt>
                <c:pt idx="141">
                  <c:v>5.2667878847729083E-12</c:v>
                </c:pt>
                <c:pt idx="142">
                  <c:v>5.2667878847729083E-12</c:v>
                </c:pt>
                <c:pt idx="143">
                  <c:v>5.2667878847729083E-12</c:v>
                </c:pt>
                <c:pt idx="144">
                  <c:v>5.2667878847729083E-12</c:v>
                </c:pt>
                <c:pt idx="145">
                  <c:v>5.2667878847729083E-12</c:v>
                </c:pt>
                <c:pt idx="146">
                  <c:v>5.2667878847729083E-12</c:v>
                </c:pt>
                <c:pt idx="147">
                  <c:v>5.2667878847729083E-12</c:v>
                </c:pt>
                <c:pt idx="148">
                  <c:v>5.2667878847729083E-12</c:v>
                </c:pt>
                <c:pt idx="149">
                  <c:v>5.2667878847729083E-12</c:v>
                </c:pt>
                <c:pt idx="150">
                  <c:v>5.2667878847729083E-12</c:v>
                </c:pt>
                <c:pt idx="151">
                  <c:v>5.2667878847729083E-12</c:v>
                </c:pt>
                <c:pt idx="152">
                  <c:v>5.2667878847729083E-12</c:v>
                </c:pt>
                <c:pt idx="153">
                  <c:v>5.2667878847729083E-12</c:v>
                </c:pt>
                <c:pt idx="154">
                  <c:v>5.2667878847729083E-12</c:v>
                </c:pt>
                <c:pt idx="155">
                  <c:v>5.2667878847729083E-12</c:v>
                </c:pt>
                <c:pt idx="156">
                  <c:v>5.2667878847729083E-12</c:v>
                </c:pt>
                <c:pt idx="157">
                  <c:v>5.2667878847729083E-12</c:v>
                </c:pt>
                <c:pt idx="158">
                  <c:v>5.2667878847729083E-12</c:v>
                </c:pt>
                <c:pt idx="159">
                  <c:v>5.2667878847729083E-12</c:v>
                </c:pt>
                <c:pt idx="160">
                  <c:v>5.2667878847729083E-12</c:v>
                </c:pt>
                <c:pt idx="161">
                  <c:v>5.2667878847729083E-12</c:v>
                </c:pt>
                <c:pt idx="162">
                  <c:v>5.2667878847729083E-12</c:v>
                </c:pt>
                <c:pt idx="163">
                  <c:v>5.2667878847729083E-12</c:v>
                </c:pt>
                <c:pt idx="164">
                  <c:v>5.2667878847729083E-12</c:v>
                </c:pt>
                <c:pt idx="165">
                  <c:v>5.2667878847729083E-12</c:v>
                </c:pt>
                <c:pt idx="166">
                  <c:v>5.2667878847729083E-12</c:v>
                </c:pt>
                <c:pt idx="167">
                  <c:v>5.2667878847729083E-12</c:v>
                </c:pt>
                <c:pt idx="168">
                  <c:v>5.2667878847729083E-12</c:v>
                </c:pt>
                <c:pt idx="169">
                  <c:v>5.2667878847729083E-12</c:v>
                </c:pt>
                <c:pt idx="170">
                  <c:v>5.2667878847729083E-12</c:v>
                </c:pt>
                <c:pt idx="171">
                  <c:v>5.2667878847729083E-12</c:v>
                </c:pt>
                <c:pt idx="172">
                  <c:v>5.2667878847729083E-12</c:v>
                </c:pt>
                <c:pt idx="173">
                  <c:v>5.2667878847729083E-12</c:v>
                </c:pt>
                <c:pt idx="174">
                  <c:v>5.2667878847729083E-12</c:v>
                </c:pt>
                <c:pt idx="175">
                  <c:v>5.2667878847729083E-12</c:v>
                </c:pt>
                <c:pt idx="176">
                  <c:v>5.2667878847729083E-12</c:v>
                </c:pt>
                <c:pt idx="177">
                  <c:v>5.2667878847729083E-12</c:v>
                </c:pt>
                <c:pt idx="178">
                  <c:v>5.2667878847729083E-12</c:v>
                </c:pt>
                <c:pt idx="179">
                  <c:v>5.2667878847729083E-12</c:v>
                </c:pt>
                <c:pt idx="180">
                  <c:v>5.2667878847729083E-12</c:v>
                </c:pt>
                <c:pt idx="181">
                  <c:v>5.2667878847729083E-12</c:v>
                </c:pt>
                <c:pt idx="182">
                  <c:v>5.2667878847729083E-12</c:v>
                </c:pt>
                <c:pt idx="183">
                  <c:v>5.2667878847729083E-12</c:v>
                </c:pt>
                <c:pt idx="184">
                  <c:v>5.2667878847729083E-12</c:v>
                </c:pt>
                <c:pt idx="185">
                  <c:v>5.2667878847729083E-12</c:v>
                </c:pt>
                <c:pt idx="186">
                  <c:v>5.2667878847729083E-12</c:v>
                </c:pt>
                <c:pt idx="187">
                  <c:v>5.2667878847729083E-12</c:v>
                </c:pt>
                <c:pt idx="188">
                  <c:v>5.2667878847729083E-12</c:v>
                </c:pt>
                <c:pt idx="189">
                  <c:v>5.2667878847729083E-12</c:v>
                </c:pt>
                <c:pt idx="190">
                  <c:v>5.2667878847729083E-12</c:v>
                </c:pt>
                <c:pt idx="191">
                  <c:v>5.2667878847729083E-12</c:v>
                </c:pt>
                <c:pt idx="192">
                  <c:v>5.2667878847729083E-12</c:v>
                </c:pt>
                <c:pt idx="193">
                  <c:v>5.2667878847729083E-12</c:v>
                </c:pt>
                <c:pt idx="194">
                  <c:v>5.2667878847729083E-12</c:v>
                </c:pt>
                <c:pt idx="195">
                  <c:v>5.2667878847729083E-12</c:v>
                </c:pt>
                <c:pt idx="196">
                  <c:v>5.2667878847729083E-12</c:v>
                </c:pt>
                <c:pt idx="197">
                  <c:v>5.2667878847729083E-12</c:v>
                </c:pt>
                <c:pt idx="198">
                  <c:v>5.2667878847729083E-12</c:v>
                </c:pt>
                <c:pt idx="199">
                  <c:v>5.2667878847729083E-12</c:v>
                </c:pt>
                <c:pt idx="200">
                  <c:v>5.2667878847729083E-12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449.53102985794368</c:v>
                </c:pt>
                <c:pt idx="62">
                  <c:v>461.45007488733671</c:v>
                </c:pt>
                <c:pt idx="63">
                  <c:v>473.36255181121783</c:v>
                </c:pt>
                <c:pt idx="64">
                  <c:v>485.26864921222455</c:v>
                </c:pt>
                <c:pt idx="65">
                  <c:v>497.16854566479356</c:v>
                </c:pt>
                <c:pt idx="66">
                  <c:v>509.06241049820727</c:v>
                </c:pt>
                <c:pt idx="67">
                  <c:v>520.9504044846235</c:v>
                </c:pt>
                <c:pt idx="68">
                  <c:v>532.83268046104365</c:v>
                </c:pt>
                <c:pt idx="69">
                  <c:v>544.7093838929228</c:v>
                </c:pt>
                <c:pt idx="70">
                  <c:v>556.58065338607753</c:v>
                </c:pt>
                <c:pt idx="71">
                  <c:v>526.89224796595806</c:v>
                </c:pt>
                <c:pt idx="72">
                  <c:v>536.792193795402</c:v>
                </c:pt>
                <c:pt idx="73">
                  <c:v>546.68830251799864</c:v>
                </c:pt>
                <c:pt idx="74">
                  <c:v>556.58065338607753</c:v>
                </c:pt>
                <c:pt idx="75">
                  <c:v>566.46932260506071</c:v>
                </c:pt>
                <c:pt idx="76">
                  <c:v>576.35438350288371</c:v>
                </c:pt>
                <c:pt idx="77">
                  <c:v>586.23590668718828</c:v>
                </c:pt>
                <c:pt idx="78">
                  <c:v>596.11396019137055</c:v>
                </c:pt>
                <c:pt idx="79">
                  <c:v>605.98860961044409</c:v>
                </c:pt>
                <c:pt idx="80">
                  <c:v>615.85991822759104</c:v>
                </c:pt>
                <c:pt idx="81">
                  <c:v>592.16315090012722</c:v>
                </c:pt>
                <c:pt idx="82">
                  <c:v>598.0891603444137</c:v>
                </c:pt>
                <c:pt idx="83">
                  <c:v>604.01394898353078</c:v>
                </c:pt>
                <c:pt idx="84">
                  <c:v>609.93753048460792</c:v>
                </c:pt>
                <c:pt idx="85">
                  <c:v>615.85991822759104</c:v>
                </c:pt>
                <c:pt idx="86">
                  <c:v>621.78112531404156</c:v>
                </c:pt>
                <c:pt idx="87">
                  <c:v>627.70116457558152</c:v>
                </c:pt>
                <c:pt idx="88">
                  <c:v>633.62004858200532</c:v>
                </c:pt>
                <c:pt idx="89">
                  <c:v>639.53778964906996</c:v>
                </c:pt>
                <c:pt idx="90">
                  <c:v>645.4543998459859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1.3827030379716201</c:v>
                </c:pt>
                <c:pt idx="2">
                  <c:v>1.8016010206153776</c:v>
                </c:pt>
                <c:pt idx="3">
                  <c:v>2.3479344578424937</c:v>
                </c:pt>
                <c:pt idx="4">
                  <c:v>3.0606231238842128</c:v>
                </c:pt>
                <c:pt idx="5">
                  <c:v>3.9905167092761502</c:v>
                </c:pt>
                <c:pt idx="6">
                  <c:v>5.2040640682490364</c:v>
                </c:pt>
                <c:pt idx="7">
                  <c:v>6.7881145369635769</c:v>
                </c:pt>
                <c:pt idx="8">
                  <c:v>8.8562016007007642</c:v>
                </c:pt>
                <c:pt idx="9">
                  <c:v>11.556767851711664</c:v>
                </c:pt>
                <c:pt idx="10">
                  <c:v>15.083932632405306</c:v>
                </c:pt>
                <c:pt idx="11">
                  <c:v>19.691590530237665</c:v>
                </c:pt>
                <c:pt idx="12">
                  <c:v>25.711873797774174</c:v>
                </c:pt>
                <c:pt idx="13">
                  <c:v>33.579332946152441</c:v>
                </c:pt>
                <c:pt idx="14">
                  <c:v>43.862611000443849</c:v>
                </c:pt>
                <c:pt idx="15">
                  <c:v>57.305939447910525</c:v>
                </c:pt>
                <c:pt idx="16">
                  <c:v>75.564615661077099</c:v>
                </c:pt>
                <c:pt idx="17">
                  <c:v>93.710144924861027</c:v>
                </c:pt>
                <c:pt idx="18">
                  <c:v>111.76767949162281</c:v>
                </c:pt>
                <c:pt idx="19">
                  <c:v>129.75349379387922</c:v>
                </c:pt>
                <c:pt idx="20">
                  <c:v>147.6789516361487</c:v>
                </c:pt>
                <c:pt idx="21">
                  <c:v>148.0298879080909</c:v>
                </c:pt>
                <c:pt idx="22">
                  <c:v>171.15012895269396</c:v>
                </c:pt>
                <c:pt idx="23">
                  <c:v>194.19678470867362</c:v>
                </c:pt>
                <c:pt idx="24">
                  <c:v>217.17982241103539</c:v>
                </c:pt>
                <c:pt idx="25">
                  <c:v>240.10692263363944</c:v>
                </c:pt>
                <c:pt idx="26">
                  <c:v>204.12858984745029</c:v>
                </c:pt>
                <c:pt idx="27">
                  <c:v>228.99732327354891</c:v>
                </c:pt>
                <c:pt idx="28">
                  <c:v>253.80426351839256</c:v>
                </c:pt>
                <c:pt idx="29">
                  <c:v>278.55629815945161</c:v>
                </c:pt>
                <c:pt idx="30">
                  <c:v>303.25898981443851</c:v>
                </c:pt>
                <c:pt idx="31">
                  <c:v>267.83100642737736</c:v>
                </c:pt>
                <c:pt idx="32">
                  <c:v>292.89991931128901</c:v>
                </c:pt>
                <c:pt idx="33">
                  <c:v>317.92093705953062</c:v>
                </c:pt>
                <c:pt idx="34">
                  <c:v>342.8983565333736</c:v>
                </c:pt>
                <c:pt idx="35">
                  <c:v>367.83579757961144</c:v>
                </c:pt>
                <c:pt idx="36">
                  <c:v>331.53448530045108</c:v>
                </c:pt>
                <c:pt idx="37">
                  <c:v>355.45786076838431</c:v>
                </c:pt>
                <c:pt idx="38">
                  <c:v>379.3459841042407</c:v>
                </c:pt>
                <c:pt idx="39">
                  <c:v>403.20138555466451</c:v>
                </c:pt>
                <c:pt idx="40">
                  <c:v>427.02627169348148</c:v>
                </c:pt>
                <c:pt idx="41">
                  <c:v>389.47552031491313</c:v>
                </c:pt>
                <c:pt idx="42">
                  <c:v>411.94632675360344</c:v>
                </c:pt>
                <c:pt idx="43">
                  <c:v>434.39068890365479</c:v>
                </c:pt>
                <c:pt idx="44">
                  <c:v>456.81016416917709</c:v>
                </c:pt>
                <c:pt idx="45">
                  <c:v>479.2061447226219</c:v>
                </c:pt>
                <c:pt idx="46">
                  <c:v>440.38300107166742</c:v>
                </c:pt>
                <c:pt idx="47">
                  <c:v>461.42800871187006</c:v>
                </c:pt>
                <c:pt idx="48">
                  <c:v>482.45254170032081</c:v>
                </c:pt>
                <c:pt idx="49">
                  <c:v>503.45761712226255</c:v>
                </c:pt>
                <c:pt idx="50">
                  <c:v>524.44416033681136</c:v>
                </c:pt>
                <c:pt idx="51">
                  <c:v>484.33182233185659</c:v>
                </c:pt>
                <c:pt idx="52">
                  <c:v>503.96970093403911</c:v>
                </c:pt>
                <c:pt idx="53">
                  <c:v>523.59139917298648</c:v>
                </c:pt>
                <c:pt idx="54">
                  <c:v>543.19760829489394</c:v>
                </c:pt>
                <c:pt idx="55">
                  <c:v>562.78896561492661</c:v>
                </c:pt>
                <c:pt idx="56">
                  <c:v>527.34333007320515</c:v>
                </c:pt>
                <c:pt idx="57">
                  <c:v>545.58342485784067</c:v>
                </c:pt>
                <c:pt idx="58">
                  <c:v>563.81072700027323</c:v>
                </c:pt>
                <c:pt idx="59">
                  <c:v>582.02570799931368</c:v>
                </c:pt>
                <c:pt idx="60">
                  <c:v>600.22880745733255</c:v>
                </c:pt>
                <c:pt idx="61">
                  <c:v>569.59997888388273</c:v>
                </c:pt>
                <c:pt idx="62">
                  <c:v>586.62011762259851</c:v>
                </c:pt>
                <c:pt idx="63">
                  <c:v>603.62997163521914</c:v>
                </c:pt>
                <c:pt idx="64">
                  <c:v>620.62987134965533</c:v>
                </c:pt>
                <c:pt idx="65">
                  <c:v>637.62012762925121</c:v>
                </c:pt>
                <c:pt idx="66">
                  <c:v>608.90099027098961</c:v>
                </c:pt>
                <c:pt idx="67">
                  <c:v>624.36854464869691</c:v>
                </c:pt>
                <c:pt idx="68">
                  <c:v>639.82816810516192</c:v>
                </c:pt>
                <c:pt idx="69">
                  <c:v>655.28007913873319</c:v>
                </c:pt>
                <c:pt idx="70">
                  <c:v>670.72448510987067</c:v>
                </c:pt>
                <c:pt idx="71">
                  <c:v>643.56449378897264</c:v>
                </c:pt>
                <c:pt idx="72">
                  <c:v>657.99611714428363</c:v>
                </c:pt>
                <c:pt idx="73">
                  <c:v>672.42122344302209</c:v>
                </c:pt>
                <c:pt idx="74">
                  <c:v>686.83997210216785</c:v>
                </c:pt>
                <c:pt idx="75">
                  <c:v>701.25251530411163</c:v>
                </c:pt>
                <c:pt idx="76">
                  <c:v>674.62685177369849</c:v>
                </c:pt>
                <c:pt idx="77">
                  <c:v>687.8575299096342</c:v>
                </c:pt>
                <c:pt idx="78">
                  <c:v>701.08299147898651</c:v>
                </c:pt>
                <c:pt idx="79">
                  <c:v>714.30334869779642</c:v>
                </c:pt>
                <c:pt idx="80">
                  <c:v>727.51870929218376</c:v>
                </c:pt>
                <c:pt idx="81">
                  <c:v>6.8726569498678791E-12</c:v>
                </c:pt>
                <c:pt idx="82">
                  <c:v>6.8726569498678791E-12</c:v>
                </c:pt>
                <c:pt idx="83">
                  <c:v>6.8726569498678791E-12</c:v>
                </c:pt>
                <c:pt idx="84">
                  <c:v>6.8726569498678791E-12</c:v>
                </c:pt>
                <c:pt idx="85">
                  <c:v>6.8726569498678791E-12</c:v>
                </c:pt>
                <c:pt idx="86">
                  <c:v>6.8726569498678791E-12</c:v>
                </c:pt>
                <c:pt idx="87">
                  <c:v>6.8726569498678791E-12</c:v>
                </c:pt>
                <c:pt idx="88">
                  <c:v>6.8726569498678791E-12</c:v>
                </c:pt>
                <c:pt idx="89">
                  <c:v>6.8726569498678791E-12</c:v>
                </c:pt>
                <c:pt idx="90">
                  <c:v>6.8726569498678791E-12</c:v>
                </c:pt>
                <c:pt idx="91">
                  <c:v>6.8726569498678791E-12</c:v>
                </c:pt>
                <c:pt idx="92">
                  <c:v>6.8726569498678791E-12</c:v>
                </c:pt>
                <c:pt idx="93">
                  <c:v>6.8726569498678791E-12</c:v>
                </c:pt>
                <c:pt idx="94">
                  <c:v>6.8726569498678791E-12</c:v>
                </c:pt>
                <c:pt idx="95">
                  <c:v>6.8726569498678791E-12</c:v>
                </c:pt>
                <c:pt idx="96">
                  <c:v>6.8726569498678791E-12</c:v>
                </c:pt>
                <c:pt idx="97">
                  <c:v>6.8726569498678791E-12</c:v>
                </c:pt>
                <c:pt idx="98">
                  <c:v>6.8726569498678791E-12</c:v>
                </c:pt>
                <c:pt idx="99">
                  <c:v>6.8726569498678791E-12</c:v>
                </c:pt>
                <c:pt idx="100">
                  <c:v>6.8726569498678791E-12</c:v>
                </c:pt>
                <c:pt idx="101">
                  <c:v>6.8726569498678791E-12</c:v>
                </c:pt>
                <c:pt idx="102">
                  <c:v>6.8726569498678791E-12</c:v>
                </c:pt>
                <c:pt idx="103">
                  <c:v>6.8726569498678791E-12</c:v>
                </c:pt>
                <c:pt idx="104">
                  <c:v>6.8726569498678791E-12</c:v>
                </c:pt>
                <c:pt idx="105">
                  <c:v>6.8726569498678791E-12</c:v>
                </c:pt>
                <c:pt idx="106">
                  <c:v>6.8726569498678791E-12</c:v>
                </c:pt>
                <c:pt idx="107">
                  <c:v>6.8726569498678791E-12</c:v>
                </c:pt>
                <c:pt idx="108">
                  <c:v>6.8726569498678791E-12</c:v>
                </c:pt>
                <c:pt idx="109">
                  <c:v>6.8726569498678791E-12</c:v>
                </c:pt>
                <c:pt idx="110">
                  <c:v>6.8726569498678791E-12</c:v>
                </c:pt>
                <c:pt idx="111">
                  <c:v>6.8726569498678791E-12</c:v>
                </c:pt>
                <c:pt idx="112">
                  <c:v>6.8726569498678791E-12</c:v>
                </c:pt>
                <c:pt idx="113">
                  <c:v>6.8726569498678791E-12</c:v>
                </c:pt>
                <c:pt idx="114">
                  <c:v>6.8726569498678791E-12</c:v>
                </c:pt>
                <c:pt idx="115">
                  <c:v>6.8726569498678791E-12</c:v>
                </c:pt>
                <c:pt idx="116">
                  <c:v>6.8726569498678791E-12</c:v>
                </c:pt>
                <c:pt idx="117">
                  <c:v>6.8726569498678791E-12</c:v>
                </c:pt>
                <c:pt idx="118">
                  <c:v>6.8726569498678791E-12</c:v>
                </c:pt>
                <c:pt idx="119">
                  <c:v>6.8726569498678791E-12</c:v>
                </c:pt>
                <c:pt idx="120">
                  <c:v>6.8726569498678791E-12</c:v>
                </c:pt>
                <c:pt idx="121">
                  <c:v>6.8726569498678791E-12</c:v>
                </c:pt>
                <c:pt idx="122">
                  <c:v>6.8726569498678791E-12</c:v>
                </c:pt>
                <c:pt idx="123">
                  <c:v>6.8726569498678791E-12</c:v>
                </c:pt>
                <c:pt idx="124">
                  <c:v>6.8726569498678791E-12</c:v>
                </c:pt>
                <c:pt idx="125">
                  <c:v>6.8726569498678791E-12</c:v>
                </c:pt>
                <c:pt idx="126">
                  <c:v>6.8726569498678791E-12</c:v>
                </c:pt>
                <c:pt idx="127">
                  <c:v>6.8726569498678791E-12</c:v>
                </c:pt>
                <c:pt idx="128">
                  <c:v>6.8726569498678791E-12</c:v>
                </c:pt>
                <c:pt idx="129">
                  <c:v>6.8726569498678791E-12</c:v>
                </c:pt>
                <c:pt idx="130">
                  <c:v>6.8726569498678791E-12</c:v>
                </c:pt>
                <c:pt idx="131">
                  <c:v>6.8726569498678791E-12</c:v>
                </c:pt>
                <c:pt idx="132">
                  <c:v>6.8726569498678791E-12</c:v>
                </c:pt>
                <c:pt idx="133">
                  <c:v>6.8726569498678791E-12</c:v>
                </c:pt>
                <c:pt idx="134">
                  <c:v>6.8726569498678791E-12</c:v>
                </c:pt>
                <c:pt idx="135">
                  <c:v>6.8726569498678791E-12</c:v>
                </c:pt>
                <c:pt idx="136">
                  <c:v>6.8726569498678791E-12</c:v>
                </c:pt>
                <c:pt idx="137">
                  <c:v>6.8726569498678791E-12</c:v>
                </c:pt>
                <c:pt idx="138">
                  <c:v>6.8726569498678791E-12</c:v>
                </c:pt>
                <c:pt idx="139">
                  <c:v>6.8726569498678791E-12</c:v>
                </c:pt>
                <c:pt idx="140">
                  <c:v>6.8726569498678791E-12</c:v>
                </c:pt>
                <c:pt idx="141">
                  <c:v>6.8726569498678791E-12</c:v>
                </c:pt>
                <c:pt idx="142">
                  <c:v>6.8726569498678791E-12</c:v>
                </c:pt>
                <c:pt idx="143">
                  <c:v>6.8726569498678791E-12</c:v>
                </c:pt>
                <c:pt idx="144">
                  <c:v>6.8726569498678791E-12</c:v>
                </c:pt>
                <c:pt idx="145">
                  <c:v>6.8726569498678791E-12</c:v>
                </c:pt>
                <c:pt idx="146">
                  <c:v>6.8726569498678791E-12</c:v>
                </c:pt>
                <c:pt idx="147">
                  <c:v>6.8726569498678791E-12</c:v>
                </c:pt>
                <c:pt idx="148">
                  <c:v>6.8726569498678791E-12</c:v>
                </c:pt>
                <c:pt idx="149">
                  <c:v>6.8726569498678791E-12</c:v>
                </c:pt>
                <c:pt idx="150">
                  <c:v>6.8726569498678791E-12</c:v>
                </c:pt>
                <c:pt idx="151">
                  <c:v>6.8726569498678791E-12</c:v>
                </c:pt>
                <c:pt idx="152">
                  <c:v>6.8726569498678791E-12</c:v>
                </c:pt>
                <c:pt idx="153">
                  <c:v>6.8726569498678791E-12</c:v>
                </c:pt>
                <c:pt idx="154">
                  <c:v>6.8726569498678791E-12</c:v>
                </c:pt>
                <c:pt idx="155">
                  <c:v>6.8726569498678791E-12</c:v>
                </c:pt>
                <c:pt idx="156">
                  <c:v>6.8726569498678791E-12</c:v>
                </c:pt>
                <c:pt idx="157">
                  <c:v>6.8726569498678791E-12</c:v>
                </c:pt>
                <c:pt idx="158">
                  <c:v>6.8726569498678791E-12</c:v>
                </c:pt>
                <c:pt idx="159">
                  <c:v>6.8726569498678791E-12</c:v>
                </c:pt>
                <c:pt idx="160">
                  <c:v>6.8726569498678791E-12</c:v>
                </c:pt>
                <c:pt idx="161">
                  <c:v>6.8726569498678791E-12</c:v>
                </c:pt>
                <c:pt idx="162">
                  <c:v>6.8726569498678791E-12</c:v>
                </c:pt>
                <c:pt idx="163">
                  <c:v>6.8726569498678791E-12</c:v>
                </c:pt>
                <c:pt idx="164">
                  <c:v>6.8726569498678791E-12</c:v>
                </c:pt>
                <c:pt idx="165">
                  <c:v>6.8726569498678791E-12</c:v>
                </c:pt>
                <c:pt idx="166">
                  <c:v>6.8726569498678791E-12</c:v>
                </c:pt>
                <c:pt idx="167">
                  <c:v>6.8726569498678791E-12</c:v>
                </c:pt>
                <c:pt idx="168">
                  <c:v>6.8726569498678791E-12</c:v>
                </c:pt>
                <c:pt idx="169">
                  <c:v>6.8726569498678791E-12</c:v>
                </c:pt>
                <c:pt idx="170">
                  <c:v>6.8726569498678791E-12</c:v>
                </c:pt>
                <c:pt idx="171">
                  <c:v>6.8726569498678791E-12</c:v>
                </c:pt>
                <c:pt idx="172">
                  <c:v>6.8726569498678791E-12</c:v>
                </c:pt>
                <c:pt idx="173">
                  <c:v>6.8726569498678791E-12</c:v>
                </c:pt>
                <c:pt idx="174">
                  <c:v>6.8726569498678791E-12</c:v>
                </c:pt>
                <c:pt idx="175">
                  <c:v>6.8726569498678791E-12</c:v>
                </c:pt>
                <c:pt idx="176">
                  <c:v>6.8726569498678791E-12</c:v>
                </c:pt>
                <c:pt idx="177">
                  <c:v>6.8726569498678791E-12</c:v>
                </c:pt>
                <c:pt idx="178">
                  <c:v>6.8726569498678791E-12</c:v>
                </c:pt>
                <c:pt idx="179">
                  <c:v>6.8726569498678791E-12</c:v>
                </c:pt>
                <c:pt idx="180">
                  <c:v>6.8726569498678791E-12</c:v>
                </c:pt>
                <c:pt idx="181">
                  <c:v>6.8726569498678791E-12</c:v>
                </c:pt>
                <c:pt idx="182">
                  <c:v>6.8726569498678791E-12</c:v>
                </c:pt>
                <c:pt idx="183">
                  <c:v>6.8726569498678791E-12</c:v>
                </c:pt>
                <c:pt idx="184">
                  <c:v>6.8726569498678791E-12</c:v>
                </c:pt>
                <c:pt idx="185">
                  <c:v>6.8726569498678791E-12</c:v>
                </c:pt>
                <c:pt idx="186">
                  <c:v>6.8726569498678791E-12</c:v>
                </c:pt>
                <c:pt idx="187">
                  <c:v>6.8726569498678791E-12</c:v>
                </c:pt>
                <c:pt idx="188">
                  <c:v>6.8726569498678791E-12</c:v>
                </c:pt>
                <c:pt idx="189">
                  <c:v>6.8726569498678791E-12</c:v>
                </c:pt>
                <c:pt idx="190">
                  <c:v>6.8726569498678791E-12</c:v>
                </c:pt>
                <c:pt idx="191">
                  <c:v>6.8726569498678791E-12</c:v>
                </c:pt>
                <c:pt idx="192">
                  <c:v>6.8726569498678791E-12</c:v>
                </c:pt>
                <c:pt idx="193">
                  <c:v>6.8726569498678791E-12</c:v>
                </c:pt>
                <c:pt idx="194">
                  <c:v>6.8726569498678791E-12</c:v>
                </c:pt>
                <c:pt idx="195">
                  <c:v>6.8726569498678791E-12</c:v>
                </c:pt>
                <c:pt idx="196">
                  <c:v>6.8726569498678791E-12</c:v>
                </c:pt>
                <c:pt idx="197">
                  <c:v>6.8726569498678791E-12</c:v>
                </c:pt>
                <c:pt idx="198">
                  <c:v>6.8726569498678791E-12</c:v>
                </c:pt>
                <c:pt idx="199">
                  <c:v>6.8726569498678791E-12</c:v>
                </c:pt>
                <c:pt idx="200">
                  <c:v>6.8726569498678791E-12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1.5384665374408568</c:v>
                </c:pt>
                <c:pt idx="2">
                  <c:v>2.0410290526904595</c:v>
                </c:pt>
                <c:pt idx="3">
                  <c:v>2.7084514253702654</c:v>
                </c:pt>
                <c:pt idx="4">
                  <c:v>3.5950279806223207</c:v>
                </c:pt>
                <c:pt idx="5">
                  <c:v>4.7730001438551382</c:v>
                </c:pt>
                <c:pt idx="6">
                  <c:v>6.3385091788142338</c:v>
                </c:pt>
                <c:pt idx="7">
                  <c:v>8.4195295563536181</c:v>
                </c:pt>
                <c:pt idx="8">
                  <c:v>11.186443856860672</c:v>
                </c:pt>
                <c:pt idx="9">
                  <c:v>14.866141218069309</c:v>
                </c:pt>
                <c:pt idx="10">
                  <c:v>19.760816596873635</c:v>
                </c:pt>
                <c:pt idx="11">
                  <c:v>26.273042436960285</c:v>
                </c:pt>
                <c:pt idx="12">
                  <c:v>34.939211031849304</c:v>
                </c:pt>
                <c:pt idx="13">
                  <c:v>46.474149473244744</c:v>
                </c:pt>
                <c:pt idx="14">
                  <c:v>61.830649110737674</c:v>
                </c:pt>
                <c:pt idx="15">
                  <c:v>82.278907524210339</c:v>
                </c:pt>
                <c:pt idx="16">
                  <c:v>108.92880718212973</c:v>
                </c:pt>
                <c:pt idx="17">
                  <c:v>135.41725555203232</c:v>
                </c:pt>
                <c:pt idx="18">
                  <c:v>161.78048435351943</c:v>
                </c:pt>
                <c:pt idx="19">
                  <c:v>188.04183462381434</c:v>
                </c:pt>
                <c:pt idx="20">
                  <c:v>214.21755678529439</c:v>
                </c:pt>
                <c:pt idx="21">
                  <c:v>165.62016104222866</c:v>
                </c:pt>
                <c:pt idx="22">
                  <c:v>201.23510306875903</c:v>
                </c:pt>
                <c:pt idx="23">
                  <c:v>236.70364030631768</c:v>
                </c:pt>
                <c:pt idx="24">
                  <c:v>272.05082718892953</c:v>
                </c:pt>
                <c:pt idx="25">
                  <c:v>307.29465076572779</c:v>
                </c:pt>
                <c:pt idx="26">
                  <c:v>259.52092383177461</c:v>
                </c:pt>
                <c:pt idx="27">
                  <c:v>298.01919447196491</c:v>
                </c:pt>
                <c:pt idx="28">
                  <c:v>336.40654298560838</c:v>
                </c:pt>
                <c:pt idx="29">
                  <c:v>374.69739687161314</c:v>
                </c:pt>
                <c:pt idx="30">
                  <c:v>412.90299192267599</c:v>
                </c:pt>
                <c:pt idx="31">
                  <c:v>364.52039247516888</c:v>
                </c:pt>
                <c:pt idx="32">
                  <c:v>401.80712828709278</c:v>
                </c:pt>
                <c:pt idx="33">
                  <c:v>439.01900723806881</c:v>
                </c:pt>
                <c:pt idx="34">
                  <c:v>476.1632565154523</c:v>
                </c:pt>
                <c:pt idx="35">
                  <c:v>513.24588461146993</c:v>
                </c:pt>
                <c:pt idx="36">
                  <c:v>462.10101693711141</c:v>
                </c:pt>
                <c:pt idx="37">
                  <c:v>496.21016846717083</c:v>
                </c:pt>
                <c:pt idx="38">
                  <c:v>530.26966574700998</c:v>
                </c:pt>
                <c:pt idx="39">
                  <c:v>564.28314120766015</c:v>
                </c:pt>
                <c:pt idx="40">
                  <c:v>598.25375422735704</c:v>
                </c:pt>
                <c:pt idx="41">
                  <c:v>544.1046842378239</c:v>
                </c:pt>
                <c:pt idx="42">
                  <c:v>574.92676160449207</c:v>
                </c:pt>
                <c:pt idx="43">
                  <c:v>605.71435919202725</c:v>
                </c:pt>
                <c:pt idx="44">
                  <c:v>636.46947323976644</c:v>
                </c:pt>
                <c:pt idx="45">
                  <c:v>667.19389161154038</c:v>
                </c:pt>
                <c:pt idx="46">
                  <c:v>625.47580451996964</c:v>
                </c:pt>
                <c:pt idx="47">
                  <c:v>652.67334066465548</c:v>
                </c:pt>
                <c:pt idx="48">
                  <c:v>679.84752643140007</c:v>
                </c:pt>
                <c:pt idx="49">
                  <c:v>706.99942510016626</c:v>
                </c:pt>
                <c:pt idx="50">
                  <c:v>734.13001174014119</c:v>
                </c:pt>
                <c:pt idx="51">
                  <c:v>699.56270804116718</c:v>
                </c:pt>
                <c:pt idx="52">
                  <c:v>723.54041051985359</c:v>
                </c:pt>
                <c:pt idx="53">
                  <c:v>747.50190988262136</c:v>
                </c:pt>
                <c:pt idx="54">
                  <c:v>771.44779792619954</c:v>
                </c:pt>
                <c:pt idx="55">
                  <c:v>795.37862676361283</c:v>
                </c:pt>
                <c:pt idx="56">
                  <c:v>764.9523626434019</c:v>
                </c:pt>
                <c:pt idx="57">
                  <c:v>785.54836950280742</c:v>
                </c:pt>
                <c:pt idx="58">
                  <c:v>806.1334552958192</c:v>
                </c:pt>
                <c:pt idx="59">
                  <c:v>826.7079378216107</c:v>
                </c:pt>
                <c:pt idx="60">
                  <c:v>847.27211779151219</c:v>
                </c:pt>
                <c:pt idx="61">
                  <c:v>820.40695222374859</c:v>
                </c:pt>
                <c:pt idx="62">
                  <c:v>838.01023026575865</c:v>
                </c:pt>
                <c:pt idx="63">
                  <c:v>855.60607811530679</c:v>
                </c:pt>
                <c:pt idx="64">
                  <c:v>873.19466992841524</c:v>
                </c:pt>
                <c:pt idx="65">
                  <c:v>890.7761722812661</c:v>
                </c:pt>
                <c:pt idx="66">
                  <c:v>865.60468315801518</c:v>
                </c:pt>
                <c:pt idx="67">
                  <c:v>880.22811252008171</c:v>
                </c:pt>
                <c:pt idx="68">
                  <c:v>894.84668416002194</c:v>
                </c:pt>
                <c:pt idx="69">
                  <c:v>909.46048853721504</c:v>
                </c:pt>
                <c:pt idx="70">
                  <c:v>924.0696129699046</c:v>
                </c:pt>
                <c:pt idx="71">
                  <c:v>900.95175940591719</c:v>
                </c:pt>
                <c:pt idx="72">
                  <c:v>912.97449961911832</c:v>
                </c:pt>
                <c:pt idx="73">
                  <c:v>924.99408559302458</c:v>
                </c:pt>
                <c:pt idx="74">
                  <c:v>937.01056405434758</c:v>
                </c:pt>
                <c:pt idx="75">
                  <c:v>949.02398043470623</c:v>
                </c:pt>
                <c:pt idx="76">
                  <c:v>927.39762841417394</c:v>
                </c:pt>
                <c:pt idx="77">
                  <c:v>936.27117733452303</c:v>
                </c:pt>
                <c:pt idx="78">
                  <c:v>945.14305494518931</c:v>
                </c:pt>
                <c:pt idx="79">
                  <c:v>954.01327913457897</c:v>
                </c:pt>
                <c:pt idx="80">
                  <c:v>962.88186743157473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9" zoomScale="80" zoomScaleNormal="80" workbookViewId="0">
      <selection activeCell="B12" sqref="B12:M1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9" zoomScale="80" zoomScaleNormal="80" workbookViewId="0">
      <selection activeCell="D93" sqref="D93"/>
    </sheetView>
  </sheetViews>
  <sheetFormatPr baseColWidth="10" defaultColWidth="11.453125" defaultRowHeight="14.5" x14ac:dyDescent="0.35"/>
  <cols>
    <col min="1" max="1" width="13.63281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10.85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v>0.11704000000000001</v>
      </c>
      <c r="D9" s="33">
        <f t="shared" ref="D9:D18" si="0">C9*$C$5</f>
        <v>1.269884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16</v>
      </c>
      <c r="C10" s="32">
        <v>9.2160000000000002E-3</v>
      </c>
      <c r="D10" s="33">
        <f t="shared" si="0"/>
        <v>9.9993600000000002E-2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13</v>
      </c>
      <c r="C11" s="32">
        <v>0.33545999999999998</v>
      </c>
      <c r="D11" s="33">
        <f t="shared" si="0"/>
        <v>3.6397409999999994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35</v>
      </c>
      <c r="C12" s="32">
        <v>0.46448800000000001</v>
      </c>
      <c r="D12" s="33">
        <f t="shared" si="0"/>
        <v>5.0396948000000004</v>
      </c>
      <c r="E12" s="34">
        <v>65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164</v>
      </c>
      <c r="C13" s="32">
        <v>2.9517999999999999E-2</v>
      </c>
      <c r="D13" s="33">
        <f t="shared" si="0"/>
        <v>0.32027029999999995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92</v>
      </c>
      <c r="C14" s="32">
        <v>3.0419999999999999E-2</v>
      </c>
      <c r="D14" s="33">
        <f t="shared" si="0"/>
        <v>0.33005699999999999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156</v>
      </c>
      <c r="C15" s="32">
        <v>1.3857E-2</v>
      </c>
      <c r="D15" s="33">
        <f t="shared" si="0"/>
        <v>0.15034844999999999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0.99999900000000008</v>
      </c>
      <c r="D19" s="38">
        <f>SUM(D9:D18)</f>
        <v>10.849989149999999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25</v>
      </c>
      <c r="B37" s="60">
        <v>103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121</v>
      </c>
      <c r="C38" s="60">
        <v>3</v>
      </c>
      <c r="D38" s="60">
        <v>28</v>
      </c>
      <c r="E38" s="51">
        <v>0</v>
      </c>
      <c r="F38" s="51"/>
      <c r="G38" s="51"/>
      <c r="H38" s="51">
        <v>1</v>
      </c>
      <c r="I38" s="53">
        <f t="shared" si="1"/>
        <v>3.6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85</v>
      </c>
      <c r="B49" s="60">
        <v>326</v>
      </c>
      <c r="C49" s="60">
        <v>14</v>
      </c>
      <c r="D49" s="60">
        <v>28</v>
      </c>
      <c r="E49" s="51">
        <v>0.6</v>
      </c>
      <c r="F49" s="51"/>
      <c r="G49" s="51"/>
      <c r="H49" s="51">
        <v>0.4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90</v>
      </c>
      <c r="B50" s="50">
        <v>330</v>
      </c>
      <c r="C50" s="50">
        <v>15</v>
      </c>
      <c r="D50" s="50">
        <v>28</v>
      </c>
      <c r="E50" s="51">
        <v>0.7</v>
      </c>
      <c r="F50" s="51"/>
      <c r="G50" s="51"/>
      <c r="H50" s="51">
        <v>0.3</v>
      </c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95</v>
      </c>
      <c r="B51" s="50">
        <v>333</v>
      </c>
      <c r="C51" s="50">
        <v>16</v>
      </c>
      <c r="D51" s="50">
        <v>28</v>
      </c>
      <c r="E51" s="51">
        <v>0.7</v>
      </c>
      <c r="F51" s="51"/>
      <c r="G51" s="51"/>
      <c r="H51" s="51">
        <v>0.3</v>
      </c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100</v>
      </c>
      <c r="B52" s="50">
        <v>333</v>
      </c>
      <c r="C52" s="50">
        <v>17</v>
      </c>
      <c r="D52" s="50">
        <v>27</v>
      </c>
      <c r="E52" s="51">
        <v>0.8</v>
      </c>
      <c r="F52" s="51"/>
      <c r="G52" s="51"/>
      <c r="H52" s="51">
        <v>0.2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105</v>
      </c>
      <c r="B53" s="50">
        <v>333</v>
      </c>
      <c r="C53" s="50">
        <v>18</v>
      </c>
      <c r="D53" s="50">
        <v>26</v>
      </c>
      <c r="E53" s="51">
        <v>0.8</v>
      </c>
      <c r="F53" s="51"/>
      <c r="G53" s="51"/>
      <c r="H53" s="51">
        <v>0.2</v>
      </c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110</v>
      </c>
      <c r="B54" s="50">
        <v>332</v>
      </c>
      <c r="C54" s="50">
        <v>19</v>
      </c>
      <c r="D54" s="50">
        <v>25</v>
      </c>
      <c r="E54" s="51">
        <v>0.8</v>
      </c>
      <c r="F54" s="51"/>
      <c r="G54" s="51"/>
      <c r="H54" s="51">
        <v>0.2</v>
      </c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>
        <v>120</v>
      </c>
      <c r="B55" s="50">
        <v>328</v>
      </c>
      <c r="C55" s="50">
        <v>21</v>
      </c>
      <c r="D55" s="50">
        <v>328</v>
      </c>
      <c r="E55" s="51">
        <v>0.9</v>
      </c>
      <c r="F55" s="51"/>
      <c r="G55" s="51"/>
      <c r="H55" s="51">
        <v>0.1</v>
      </c>
      <c r="I55" s="49">
        <f t="shared" si="1"/>
        <v>2.1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vert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20</v>
      </c>
      <c r="B62" s="60">
        <v>42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25</v>
      </c>
      <c r="B63" s="60">
        <v>70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97</v>
      </c>
      <c r="C64" s="60">
        <v>3</v>
      </c>
      <c r="D64" s="60">
        <v>21</v>
      </c>
      <c r="E64" s="51">
        <v>0</v>
      </c>
      <c r="F64" s="51"/>
      <c r="G64" s="51"/>
      <c r="H64" s="51">
        <v>1</v>
      </c>
      <c r="I64" s="49">
        <f>IF(A64&lt;&gt;0,(B64-(B63-D63))/(A64-A63),"")</f>
        <v>5.4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35</v>
      </c>
      <c r="B65" s="60">
        <v>116</v>
      </c>
      <c r="C65" s="60">
        <v>4</v>
      </c>
      <c r="D65" s="60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137</v>
      </c>
      <c r="C66" s="60">
        <v>5</v>
      </c>
      <c r="D66" s="60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45</v>
      </c>
      <c r="B67" s="60">
        <v>158</v>
      </c>
      <c r="C67" s="60">
        <v>6</v>
      </c>
      <c r="D67" s="60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50</v>
      </c>
      <c r="B68" s="60">
        <v>178</v>
      </c>
      <c r="C68" s="60">
        <v>7</v>
      </c>
      <c r="D68" s="60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55</v>
      </c>
      <c r="B69" s="50">
        <v>197</v>
      </c>
      <c r="C69" s="50">
        <v>8</v>
      </c>
      <c r="D69" s="50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60</v>
      </c>
      <c r="B70" s="50">
        <v>214</v>
      </c>
      <c r="C70" s="50">
        <v>9</v>
      </c>
      <c r="D70" s="50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65</v>
      </c>
      <c r="B71" s="50">
        <v>229</v>
      </c>
      <c r="C71" s="50">
        <v>10</v>
      </c>
      <c r="D71" s="50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70</v>
      </c>
      <c r="B72" s="50">
        <v>242</v>
      </c>
      <c r="C72" s="50">
        <v>11</v>
      </c>
      <c r="D72" s="50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75</v>
      </c>
      <c r="B73" s="50">
        <v>252</v>
      </c>
      <c r="C73" s="50">
        <v>12</v>
      </c>
      <c r="D73" s="50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80</v>
      </c>
      <c r="B74" s="50">
        <v>261</v>
      </c>
      <c r="C74" s="50">
        <v>13</v>
      </c>
      <c r="D74" s="50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85</v>
      </c>
      <c r="B75" s="50">
        <v>269</v>
      </c>
      <c r="C75" s="50">
        <v>14</v>
      </c>
      <c r="D75" s="50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100</v>
      </c>
      <c r="B77" s="50">
        <v>282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2.8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110</v>
      </c>
      <c r="B78" s="50">
        <v>285</v>
      </c>
      <c r="C78" s="50">
        <v>17</v>
      </c>
      <c r="D78" s="50">
        <v>19</v>
      </c>
      <c r="E78" s="51">
        <v>0.8</v>
      </c>
      <c r="F78" s="51"/>
      <c r="G78" s="51"/>
      <c r="H78" s="51">
        <v>0.2</v>
      </c>
      <c r="I78" s="49">
        <f t="shared" si="2"/>
        <v>2.4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120</v>
      </c>
      <c r="B79" s="50">
        <v>285</v>
      </c>
      <c r="C79" s="50">
        <v>18</v>
      </c>
      <c r="D79" s="50">
        <v>285</v>
      </c>
      <c r="E79" s="51">
        <v>0.8</v>
      </c>
      <c r="F79" s="51"/>
      <c r="G79" s="51"/>
      <c r="H79" s="51">
        <v>0.2</v>
      </c>
      <c r="I79" s="49">
        <f t="shared" si="2"/>
        <v>1.9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29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73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129</v>
      </c>
      <c r="C90" s="60">
        <v>3</v>
      </c>
      <c r="D90" s="60">
        <v>54</v>
      </c>
      <c r="E90" s="87">
        <v>0</v>
      </c>
      <c r="F90" s="87"/>
      <c r="G90" s="87"/>
      <c r="H90" s="87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126</v>
      </c>
      <c r="C91" s="60">
        <v>4</v>
      </c>
      <c r="D91" s="60">
        <v>26</v>
      </c>
      <c r="E91" s="87">
        <v>0</v>
      </c>
      <c r="F91" s="87"/>
      <c r="G91" s="87"/>
      <c r="H91" s="87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149</v>
      </c>
      <c r="C92" s="60">
        <v>5</v>
      </c>
      <c r="D92" s="60">
        <v>27</v>
      </c>
      <c r="E92" s="87">
        <v>0.2</v>
      </c>
      <c r="F92" s="87"/>
      <c r="G92" s="87"/>
      <c r="H92" s="87">
        <v>0.8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168</v>
      </c>
      <c r="C93" s="60">
        <v>6</v>
      </c>
      <c r="D93" s="60">
        <v>27</v>
      </c>
      <c r="E93" s="87">
        <v>0.2</v>
      </c>
      <c r="F93" s="87"/>
      <c r="G93" s="87"/>
      <c r="H93" s="87">
        <v>0.8</v>
      </c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185</v>
      </c>
      <c r="C94" s="60">
        <v>7</v>
      </c>
      <c r="D94" s="60">
        <v>27</v>
      </c>
      <c r="E94" s="87">
        <v>0.3</v>
      </c>
      <c r="F94" s="87"/>
      <c r="G94" s="87"/>
      <c r="H94" s="87">
        <v>0.7</v>
      </c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198</v>
      </c>
      <c r="C95" s="60">
        <v>8</v>
      </c>
      <c r="D95" s="60">
        <v>26</v>
      </c>
      <c r="E95" s="87">
        <v>0.3</v>
      </c>
      <c r="F95" s="87"/>
      <c r="G95" s="87"/>
      <c r="H95" s="87">
        <v>0.7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209</v>
      </c>
      <c r="C96" s="60">
        <v>9</v>
      </c>
      <c r="D96" s="60">
        <v>24</v>
      </c>
      <c r="E96" s="87">
        <v>0.4</v>
      </c>
      <c r="F96" s="87"/>
      <c r="G96" s="87"/>
      <c r="H96" s="87">
        <v>0.6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218</v>
      </c>
      <c r="C97" s="60">
        <v>10</v>
      </c>
      <c r="D97" s="60">
        <v>23</v>
      </c>
      <c r="E97" s="87">
        <v>0.4</v>
      </c>
      <c r="F97" s="87"/>
      <c r="G97" s="87"/>
      <c r="H97" s="87">
        <v>0.6</v>
      </c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225</v>
      </c>
      <c r="C98" s="60">
        <v>11</v>
      </c>
      <c r="D98" s="60">
        <v>21</v>
      </c>
      <c r="E98" s="87">
        <v>0.5</v>
      </c>
      <c r="F98" s="87"/>
      <c r="G98" s="87"/>
      <c r="H98" s="87">
        <v>0.5</v>
      </c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232</v>
      </c>
      <c r="C99" s="60">
        <v>12</v>
      </c>
      <c r="D99" s="60">
        <v>20</v>
      </c>
      <c r="E99" s="87">
        <v>0.5</v>
      </c>
      <c r="F99" s="87"/>
      <c r="G99" s="87"/>
      <c r="H99" s="87">
        <v>0.5</v>
      </c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237</v>
      </c>
      <c r="C100" s="60">
        <v>13</v>
      </c>
      <c r="D100" s="60">
        <v>18</v>
      </c>
      <c r="E100" s="65">
        <v>0.6</v>
      </c>
      <c r="F100" s="65"/>
      <c r="G100" s="65"/>
      <c r="H100" s="65">
        <v>0.4</v>
      </c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241</v>
      </c>
      <c r="C101" s="60">
        <v>14</v>
      </c>
      <c r="D101" s="60">
        <v>16</v>
      </c>
      <c r="E101" s="65">
        <v>0.6</v>
      </c>
      <c r="F101" s="65"/>
      <c r="G101" s="65"/>
      <c r="H101" s="65">
        <v>0.4</v>
      </c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245</v>
      </c>
      <c r="C102" s="60">
        <v>15</v>
      </c>
      <c r="D102" s="50">
        <v>15</v>
      </c>
      <c r="E102" s="54">
        <v>0.7</v>
      </c>
      <c r="F102" s="54"/>
      <c r="G102" s="54"/>
      <c r="H102" s="54">
        <v>0.3</v>
      </c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85</v>
      </c>
      <c r="B103" s="50">
        <v>248</v>
      </c>
      <c r="C103" s="60">
        <v>16</v>
      </c>
      <c r="D103" s="50">
        <v>14</v>
      </c>
      <c r="E103" s="54">
        <v>0.7</v>
      </c>
      <c r="F103" s="54"/>
      <c r="G103" s="54"/>
      <c r="H103" s="54">
        <v>0.3</v>
      </c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90</v>
      </c>
      <c r="B104" s="50">
        <v>249</v>
      </c>
      <c r="C104" s="60">
        <v>17</v>
      </c>
      <c r="D104" s="50">
        <v>249</v>
      </c>
      <c r="E104" s="54">
        <v>0.8</v>
      </c>
      <c r="F104" s="54"/>
      <c r="G104" s="54"/>
      <c r="H104" s="54">
        <v>0.2</v>
      </c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15</v>
      </c>
      <c r="B114" s="60">
        <v>110</v>
      </c>
      <c r="C114" s="50">
        <v>1</v>
      </c>
      <c r="D114" s="60">
        <v>14</v>
      </c>
      <c r="E114" s="51">
        <v>0.2</v>
      </c>
      <c r="F114" s="51">
        <v>0.56000000000000005</v>
      </c>
      <c r="G114" s="51">
        <v>0.35</v>
      </c>
      <c r="H114" s="51"/>
      <c r="I114" s="53">
        <f>IFERROR(B114/A114,"")</f>
        <v>7.333333333333333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20</v>
      </c>
      <c r="B115" s="60">
        <v>203</v>
      </c>
      <c r="C115" s="50">
        <v>2</v>
      </c>
      <c r="D115" s="60">
        <v>63</v>
      </c>
      <c r="E115" s="51">
        <v>0.2</v>
      </c>
      <c r="F115" s="51">
        <v>0.56000000000000005</v>
      </c>
      <c r="G115" s="51">
        <v>0.35</v>
      </c>
      <c r="H115" s="51"/>
      <c r="I115" s="53">
        <f t="shared" ref="I115:I133" si="4">IF(A115&lt;&gt;0,(B115-(B114-D114))/(A115-A114),"")</f>
        <v>21.4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25</v>
      </c>
      <c r="B116" s="60">
        <v>254</v>
      </c>
      <c r="C116" s="50">
        <v>3</v>
      </c>
      <c r="D116" s="60">
        <v>63</v>
      </c>
      <c r="E116" s="51">
        <v>0.3</v>
      </c>
      <c r="F116" s="51">
        <v>0.39</v>
      </c>
      <c r="G116" s="51">
        <v>0.31</v>
      </c>
      <c r="H116" s="51"/>
      <c r="I116" s="53">
        <f t="shared" si="4"/>
        <v>22.8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30</v>
      </c>
      <c r="B117" s="60">
        <v>311</v>
      </c>
      <c r="C117" s="50">
        <v>4</v>
      </c>
      <c r="D117" s="60">
        <v>63</v>
      </c>
      <c r="E117" s="51">
        <v>0.4</v>
      </c>
      <c r="F117" s="51">
        <v>0.34</v>
      </c>
      <c r="G117" s="51">
        <v>0.26</v>
      </c>
      <c r="H117" s="51"/>
      <c r="I117" s="53">
        <f t="shared" si="4"/>
        <v>24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35</v>
      </c>
      <c r="B118" s="60">
        <v>369</v>
      </c>
      <c r="C118" s="50">
        <v>5</v>
      </c>
      <c r="D118" s="60">
        <v>63</v>
      </c>
      <c r="E118" s="51">
        <v>0.4</v>
      </c>
      <c r="F118" s="51">
        <v>0.34</v>
      </c>
      <c r="G118" s="51">
        <v>0.26</v>
      </c>
      <c r="H118" s="51"/>
      <c r="I118" s="53">
        <f t="shared" si="4"/>
        <v>24.2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40</v>
      </c>
      <c r="B119" s="60">
        <v>424</v>
      </c>
      <c r="C119" s="50">
        <v>6</v>
      </c>
      <c r="D119" s="60">
        <v>63</v>
      </c>
      <c r="E119" s="51">
        <v>0.5</v>
      </c>
      <c r="F119" s="51">
        <v>0.28000000000000003</v>
      </c>
      <c r="G119" s="51">
        <v>0.22</v>
      </c>
      <c r="H119" s="51"/>
      <c r="I119" s="53">
        <f t="shared" si="4"/>
        <v>23.6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45</v>
      </c>
      <c r="B120" s="60">
        <v>469</v>
      </c>
      <c r="C120" s="60">
        <v>7</v>
      </c>
      <c r="D120" s="60">
        <v>60</v>
      </c>
      <c r="E120" s="87">
        <v>0.5</v>
      </c>
      <c r="F120" s="87">
        <v>0.28000000000000003</v>
      </c>
      <c r="G120" s="87">
        <v>0.22</v>
      </c>
      <c r="H120" s="87"/>
      <c r="I120" s="53">
        <f t="shared" si="4"/>
        <v>21.6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50</v>
      </c>
      <c r="B121" s="60">
        <v>509</v>
      </c>
      <c r="C121" s="60">
        <v>8</v>
      </c>
      <c r="D121" s="60">
        <v>53</v>
      </c>
      <c r="E121" s="87">
        <v>0.6</v>
      </c>
      <c r="F121" s="87">
        <v>0.22</v>
      </c>
      <c r="G121" s="87">
        <v>0.18</v>
      </c>
      <c r="H121" s="87"/>
      <c r="I121" s="53">
        <f t="shared" si="4"/>
        <v>20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55</v>
      </c>
      <c r="B122" s="60">
        <v>548</v>
      </c>
      <c r="C122" s="60">
        <v>9</v>
      </c>
      <c r="D122" s="60">
        <v>45</v>
      </c>
      <c r="E122" s="87">
        <v>0.6</v>
      </c>
      <c r="F122" s="87">
        <v>0.22</v>
      </c>
      <c r="G122" s="87">
        <v>0.18</v>
      </c>
      <c r="H122" s="87"/>
      <c r="I122" s="53">
        <f t="shared" si="4"/>
        <v>18.399999999999999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60</v>
      </c>
      <c r="B123" s="60">
        <v>588</v>
      </c>
      <c r="C123" s="60">
        <v>10</v>
      </c>
      <c r="D123" s="60">
        <v>39</v>
      </c>
      <c r="E123" s="87">
        <v>0.7</v>
      </c>
      <c r="F123" s="87">
        <v>0.17</v>
      </c>
      <c r="G123" s="87">
        <v>0.13</v>
      </c>
      <c r="H123" s="87"/>
      <c r="I123" s="53">
        <f t="shared" si="4"/>
        <v>17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65</v>
      </c>
      <c r="B124" s="60">
        <v>627</v>
      </c>
      <c r="C124" s="60">
        <v>11</v>
      </c>
      <c r="D124" s="60">
        <v>627</v>
      </c>
      <c r="E124" s="87">
        <v>0.8</v>
      </c>
      <c r="F124" s="87">
        <v>0.11</v>
      </c>
      <c r="G124" s="87">
        <v>0.09</v>
      </c>
      <c r="H124" s="87"/>
      <c r="I124" s="53">
        <f t="shared" si="4"/>
        <v>15.6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Cèdre de l'Atlas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20</v>
      </c>
      <c r="B140" s="60">
        <v>140</v>
      </c>
      <c r="C140" s="50">
        <v>1</v>
      </c>
      <c r="D140" s="60">
        <v>40</v>
      </c>
      <c r="E140" s="51">
        <v>0</v>
      </c>
      <c r="F140" s="51">
        <v>0.56000000000000005</v>
      </c>
      <c r="G140" s="51">
        <v>0.44</v>
      </c>
      <c r="H140" s="51"/>
      <c r="I140" s="57">
        <f>IFERROR(B140/A140,"")</f>
        <v>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30</v>
      </c>
      <c r="B141" s="60">
        <v>210</v>
      </c>
      <c r="C141" s="50">
        <v>2</v>
      </c>
      <c r="D141" s="60">
        <v>50</v>
      </c>
      <c r="E141" s="51">
        <v>0.2</v>
      </c>
      <c r="F141" s="51">
        <v>0.56000000000000005</v>
      </c>
      <c r="G141" s="51">
        <v>0.35</v>
      </c>
      <c r="H141" s="51"/>
      <c r="I141" s="57">
        <f t="shared" ref="I141:I159" si="5">IF(A141&lt;&gt;0,(B141-(B140-D140))/(A141-A140),"")</f>
        <v>11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40</v>
      </c>
      <c r="B142" s="60">
        <v>300</v>
      </c>
      <c r="C142" s="50">
        <v>3</v>
      </c>
      <c r="D142" s="60">
        <v>50</v>
      </c>
      <c r="E142" s="51">
        <v>0.3</v>
      </c>
      <c r="F142" s="51">
        <v>0.39</v>
      </c>
      <c r="G142" s="51">
        <v>0.31</v>
      </c>
      <c r="H142" s="51"/>
      <c r="I142" s="57">
        <f t="shared" si="5"/>
        <v>14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50</v>
      </c>
      <c r="B143" s="60">
        <v>390</v>
      </c>
      <c r="C143" s="50">
        <v>4</v>
      </c>
      <c r="D143" s="60">
        <v>50</v>
      </c>
      <c r="E143" s="51">
        <v>0.4</v>
      </c>
      <c r="F143" s="51">
        <v>0.34</v>
      </c>
      <c r="G143" s="51">
        <v>0.26</v>
      </c>
      <c r="H143" s="51"/>
      <c r="I143" s="57">
        <f t="shared" si="5"/>
        <v>14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60</v>
      </c>
      <c r="B144" s="60">
        <v>470</v>
      </c>
      <c r="C144" s="50">
        <v>5</v>
      </c>
      <c r="D144" s="60">
        <v>40</v>
      </c>
      <c r="E144" s="51">
        <v>0.5</v>
      </c>
      <c r="F144" s="51">
        <v>0.28000000000000003</v>
      </c>
      <c r="G144" s="51">
        <v>0.22</v>
      </c>
      <c r="H144" s="51"/>
      <c r="I144" s="57">
        <f t="shared" si="5"/>
        <v>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70</v>
      </c>
      <c r="B145" s="60">
        <v>550</v>
      </c>
      <c r="C145" s="50">
        <v>6</v>
      </c>
      <c r="D145" s="60">
        <v>40</v>
      </c>
      <c r="E145" s="51">
        <v>0.6</v>
      </c>
      <c r="F145" s="51">
        <v>0.22</v>
      </c>
      <c r="G145" s="51">
        <v>0.18</v>
      </c>
      <c r="H145" s="51"/>
      <c r="I145" s="57">
        <f t="shared" si="5"/>
        <v>12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80</v>
      </c>
      <c r="B146" s="60">
        <v>610</v>
      </c>
      <c r="C146" s="50">
        <v>7</v>
      </c>
      <c r="D146" s="60">
        <v>30</v>
      </c>
      <c r="E146" s="51">
        <v>0.7</v>
      </c>
      <c r="F146" s="51">
        <v>0.17</v>
      </c>
      <c r="G146" s="51">
        <v>0.13</v>
      </c>
      <c r="H146" s="51"/>
      <c r="I146" s="57">
        <f t="shared" si="5"/>
        <v>10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90</v>
      </c>
      <c r="B147" s="60">
        <v>640</v>
      </c>
      <c r="C147" s="50">
        <v>8</v>
      </c>
      <c r="D147" s="60">
        <v>640</v>
      </c>
      <c r="E147" s="51">
        <v>0.8</v>
      </c>
      <c r="F147" s="51">
        <v>0.11</v>
      </c>
      <c r="G147" s="51">
        <v>0.09</v>
      </c>
      <c r="H147" s="51"/>
      <c r="I147" s="57">
        <f>IF(A147&lt;&gt;0,(B147-(B146-D146))/(A147-A146),"")</f>
        <v>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Thuya géant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15</v>
      </c>
      <c r="B166" s="60">
        <v>62</v>
      </c>
      <c r="C166" s="60">
        <v>1</v>
      </c>
      <c r="D166" s="60">
        <v>0</v>
      </c>
      <c r="E166" s="51">
        <v>0.2</v>
      </c>
      <c r="F166" s="51">
        <v>0.56000000000000005</v>
      </c>
      <c r="G166" s="51">
        <v>0.35</v>
      </c>
      <c r="H166" s="51"/>
      <c r="I166" s="49">
        <f>IFERROR(B166/A166,"")</f>
        <v>4.1333333333333337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20</v>
      </c>
      <c r="B167" s="60">
        <v>164</v>
      </c>
      <c r="C167" s="60">
        <v>2</v>
      </c>
      <c r="D167" s="60">
        <v>26</v>
      </c>
      <c r="E167" s="51">
        <v>0.2</v>
      </c>
      <c r="F167" s="51">
        <v>0.56000000000000005</v>
      </c>
      <c r="G167" s="51">
        <v>0.35</v>
      </c>
      <c r="H167" s="51"/>
      <c r="I167" s="49">
        <f t="shared" ref="I167:I185" si="6">IF(A167&lt;&gt;0,(B167-(B166-D166))/(A167-A166),"")</f>
        <v>20.399999999999999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25</v>
      </c>
      <c r="B168" s="60">
        <v>270</v>
      </c>
      <c r="C168" s="60">
        <v>3</v>
      </c>
      <c r="D168" s="60">
        <v>70</v>
      </c>
      <c r="E168" s="51">
        <v>0.3</v>
      </c>
      <c r="F168" s="51">
        <v>0.39</v>
      </c>
      <c r="G168" s="51">
        <v>0.31</v>
      </c>
      <c r="H168" s="51"/>
      <c r="I168" s="49">
        <f t="shared" si="6"/>
        <v>26.4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30</v>
      </c>
      <c r="B169" s="60">
        <v>343</v>
      </c>
      <c r="C169" s="60">
        <v>4</v>
      </c>
      <c r="D169" s="60">
        <v>70</v>
      </c>
      <c r="E169" s="51">
        <v>0.4</v>
      </c>
      <c r="F169" s="51">
        <v>0.34</v>
      </c>
      <c r="G169" s="51">
        <v>0.26</v>
      </c>
      <c r="H169" s="51"/>
      <c r="I169" s="49">
        <f t="shared" si="6"/>
        <v>28.6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35</v>
      </c>
      <c r="B170" s="60">
        <v>418</v>
      </c>
      <c r="C170" s="60">
        <v>5</v>
      </c>
      <c r="D170" s="60">
        <v>70</v>
      </c>
      <c r="E170" s="51">
        <v>0.4</v>
      </c>
      <c r="F170" s="51">
        <v>0.34</v>
      </c>
      <c r="G170" s="51">
        <v>0.26</v>
      </c>
      <c r="H170" s="51"/>
      <c r="I170" s="49">
        <f t="shared" si="6"/>
        <v>29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40</v>
      </c>
      <c r="B171" s="60">
        <v>487</v>
      </c>
      <c r="C171" s="60">
        <v>6</v>
      </c>
      <c r="D171" s="60">
        <v>70</v>
      </c>
      <c r="E171" s="51">
        <v>0.5</v>
      </c>
      <c r="F171" s="51">
        <v>0.28000000000000003</v>
      </c>
      <c r="G171" s="51">
        <v>0.22</v>
      </c>
      <c r="H171" s="51"/>
      <c r="I171" s="49">
        <f t="shared" si="6"/>
        <v>27.8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45</v>
      </c>
      <c r="B172" s="60">
        <v>548</v>
      </c>
      <c r="C172" s="60">
        <v>7</v>
      </c>
      <c r="D172" s="60">
        <v>70</v>
      </c>
      <c r="E172" s="87">
        <v>0.5</v>
      </c>
      <c r="F172" s="87">
        <v>0.28000000000000003</v>
      </c>
      <c r="G172" s="87">
        <v>0.22</v>
      </c>
      <c r="H172" s="51"/>
      <c r="I172" s="49">
        <f t="shared" si="6"/>
        <v>26.2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50</v>
      </c>
      <c r="B173" s="50">
        <v>601</v>
      </c>
      <c r="C173" s="50">
        <v>8</v>
      </c>
      <c r="D173" s="50">
        <v>70</v>
      </c>
      <c r="E173" s="87">
        <v>0.6</v>
      </c>
      <c r="F173" s="87">
        <v>0.22</v>
      </c>
      <c r="G173" s="87">
        <v>0.18</v>
      </c>
      <c r="H173" s="51"/>
      <c r="I173" s="49">
        <f t="shared" si="6"/>
        <v>24.6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55</v>
      </c>
      <c r="B174" s="50">
        <v>646</v>
      </c>
      <c r="C174" s="50">
        <v>9</v>
      </c>
      <c r="D174" s="50">
        <v>63</v>
      </c>
      <c r="E174" s="87">
        <v>0.6</v>
      </c>
      <c r="F174" s="87">
        <v>0.22</v>
      </c>
      <c r="G174" s="87">
        <v>0.18</v>
      </c>
      <c r="H174" s="51"/>
      <c r="I174" s="49">
        <f t="shared" si="6"/>
        <v>23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60</v>
      </c>
      <c r="B175" s="50">
        <v>690</v>
      </c>
      <c r="C175" s="50">
        <v>10</v>
      </c>
      <c r="D175" s="50">
        <v>56</v>
      </c>
      <c r="E175" s="87">
        <v>0.7</v>
      </c>
      <c r="F175" s="87">
        <v>0.17</v>
      </c>
      <c r="G175" s="87">
        <v>0.13</v>
      </c>
      <c r="H175" s="51"/>
      <c r="I175" s="49">
        <f t="shared" si="6"/>
        <v>21.4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65</v>
      </c>
      <c r="B176" s="50">
        <v>734</v>
      </c>
      <c r="C176" s="50">
        <v>11</v>
      </c>
      <c r="D176" s="50">
        <v>52</v>
      </c>
      <c r="E176" s="87">
        <v>0.8</v>
      </c>
      <c r="F176" s="87">
        <v>0.11</v>
      </c>
      <c r="G176" s="87">
        <v>0.09</v>
      </c>
      <c r="H176" s="51"/>
      <c r="I176" s="49">
        <f t="shared" si="6"/>
        <v>20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70</v>
      </c>
      <c r="B177" s="50">
        <v>773</v>
      </c>
      <c r="C177" s="50">
        <v>12</v>
      </c>
      <c r="D177" s="50">
        <v>49</v>
      </c>
      <c r="E177" s="87">
        <v>0.8</v>
      </c>
      <c r="F177" s="87">
        <v>0.11</v>
      </c>
      <c r="G177" s="87">
        <v>0.09</v>
      </c>
      <c r="H177" s="51"/>
      <c r="I177" s="49">
        <f t="shared" si="6"/>
        <v>18.2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75</v>
      </c>
      <c r="B178" s="50">
        <v>809</v>
      </c>
      <c r="C178" s="50">
        <v>13</v>
      </c>
      <c r="D178" s="50">
        <v>47</v>
      </c>
      <c r="E178" s="87">
        <v>0.8</v>
      </c>
      <c r="F178" s="87">
        <v>0.11</v>
      </c>
      <c r="G178" s="87">
        <v>0.09</v>
      </c>
      <c r="H178" s="51"/>
      <c r="I178" s="49">
        <f t="shared" si="6"/>
        <v>17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80</v>
      </c>
      <c r="B179" s="50">
        <v>840</v>
      </c>
      <c r="C179" s="50">
        <v>14</v>
      </c>
      <c r="D179" s="50">
        <v>840</v>
      </c>
      <c r="E179" s="87">
        <v>0.8</v>
      </c>
      <c r="F179" s="87">
        <v>0.11</v>
      </c>
      <c r="G179" s="87">
        <v>0.09</v>
      </c>
      <c r="H179" s="51"/>
      <c r="I179" s="49">
        <f t="shared" si="6"/>
        <v>15.6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Séquoia toujours vert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15</v>
      </c>
      <c r="B192" s="60">
        <v>82</v>
      </c>
      <c r="C192" s="60">
        <v>1</v>
      </c>
      <c r="D192" s="60">
        <v>0</v>
      </c>
      <c r="E192" s="51">
        <v>0.2</v>
      </c>
      <c r="F192" s="51">
        <v>0.56000000000000005</v>
      </c>
      <c r="G192" s="51">
        <v>0.35</v>
      </c>
      <c r="H192" s="51"/>
      <c r="I192" s="49">
        <f>IFERROR(B192/A192,"")</f>
        <v>5.4666666666666668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20</v>
      </c>
      <c r="B193" s="60">
        <v>219</v>
      </c>
      <c r="C193" s="60">
        <v>2</v>
      </c>
      <c r="D193" s="60">
        <v>88</v>
      </c>
      <c r="E193" s="51">
        <v>0.2</v>
      </c>
      <c r="F193" s="51">
        <v>0.56000000000000005</v>
      </c>
      <c r="G193" s="51">
        <v>0.35</v>
      </c>
      <c r="H193" s="51"/>
      <c r="I193" s="49">
        <f t="shared" ref="I193:I211" si="7">IF(A193&lt;&gt;0,(B193-(B192-D192))/(A193-A192),"")</f>
        <v>27.4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25</v>
      </c>
      <c r="B194" s="60">
        <v>317</v>
      </c>
      <c r="C194" s="60">
        <v>3</v>
      </c>
      <c r="D194" s="60">
        <v>91</v>
      </c>
      <c r="E194" s="51">
        <v>0.3</v>
      </c>
      <c r="F194" s="51">
        <v>0.39</v>
      </c>
      <c r="G194" s="51">
        <v>0.31</v>
      </c>
      <c r="H194" s="51"/>
      <c r="I194" s="49">
        <f t="shared" si="7"/>
        <v>37.200000000000003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30</v>
      </c>
      <c r="B195" s="60">
        <v>429</v>
      </c>
      <c r="C195" s="60">
        <v>4</v>
      </c>
      <c r="D195" s="60">
        <v>91</v>
      </c>
      <c r="E195" s="51">
        <v>0.4</v>
      </c>
      <c r="F195" s="51">
        <v>0.34</v>
      </c>
      <c r="G195" s="51">
        <v>0.26</v>
      </c>
      <c r="H195" s="51"/>
      <c r="I195" s="49">
        <f t="shared" si="7"/>
        <v>40.6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35</v>
      </c>
      <c r="B196" s="60">
        <v>536</v>
      </c>
      <c r="C196" s="60">
        <v>5</v>
      </c>
      <c r="D196" s="60">
        <v>91</v>
      </c>
      <c r="E196" s="51">
        <v>0.4</v>
      </c>
      <c r="F196" s="51">
        <v>0.34</v>
      </c>
      <c r="G196" s="51">
        <v>0.26</v>
      </c>
      <c r="H196" s="51"/>
      <c r="I196" s="49">
        <f t="shared" si="7"/>
        <v>39.6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40</v>
      </c>
      <c r="B197" s="60">
        <v>627</v>
      </c>
      <c r="C197" s="60">
        <v>6</v>
      </c>
      <c r="D197" s="60">
        <v>91</v>
      </c>
      <c r="E197" s="51">
        <v>0.5</v>
      </c>
      <c r="F197" s="51">
        <v>0.28000000000000003</v>
      </c>
      <c r="G197" s="51">
        <v>0.22</v>
      </c>
      <c r="H197" s="51"/>
      <c r="I197" s="49">
        <f t="shared" si="7"/>
        <v>36.4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45</v>
      </c>
      <c r="B198" s="60">
        <v>701</v>
      </c>
      <c r="C198" s="60">
        <v>7</v>
      </c>
      <c r="D198" s="60">
        <v>74</v>
      </c>
      <c r="E198" s="87">
        <v>0.5</v>
      </c>
      <c r="F198" s="87">
        <v>0.28000000000000003</v>
      </c>
      <c r="G198" s="87">
        <v>0.22</v>
      </c>
      <c r="H198" s="51"/>
      <c r="I198" s="49">
        <f t="shared" si="7"/>
        <v>33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50</v>
      </c>
      <c r="B199" s="50">
        <v>773</v>
      </c>
      <c r="C199" s="50">
        <v>8</v>
      </c>
      <c r="D199" s="50">
        <v>63</v>
      </c>
      <c r="E199" s="87">
        <v>0.6</v>
      </c>
      <c r="F199" s="87">
        <v>0.22</v>
      </c>
      <c r="G199" s="87">
        <v>0.18</v>
      </c>
      <c r="H199" s="51"/>
      <c r="I199" s="49">
        <f t="shared" si="7"/>
        <v>29.2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55</v>
      </c>
      <c r="B200" s="50">
        <v>839</v>
      </c>
      <c r="C200" s="50">
        <v>9</v>
      </c>
      <c r="D200" s="50">
        <v>55</v>
      </c>
      <c r="E200" s="87">
        <v>0.6</v>
      </c>
      <c r="F200" s="87">
        <v>0.22</v>
      </c>
      <c r="G200" s="87">
        <v>0.18</v>
      </c>
      <c r="H200" s="51"/>
      <c r="I200" s="49">
        <f t="shared" si="7"/>
        <v>25.8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60</v>
      </c>
      <c r="B201" s="50">
        <v>895</v>
      </c>
      <c r="C201" s="50">
        <v>10</v>
      </c>
      <c r="D201" s="50">
        <v>48</v>
      </c>
      <c r="E201" s="87">
        <v>0.7</v>
      </c>
      <c r="F201" s="87">
        <v>0.17</v>
      </c>
      <c r="G201" s="87">
        <v>0.13</v>
      </c>
      <c r="H201" s="51"/>
      <c r="I201" s="49">
        <f t="shared" si="7"/>
        <v>22.2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65</v>
      </c>
      <c r="B202" s="50">
        <v>942</v>
      </c>
      <c r="C202" s="50">
        <v>11</v>
      </c>
      <c r="D202" s="50">
        <v>43</v>
      </c>
      <c r="E202" s="87">
        <v>0.8</v>
      </c>
      <c r="F202" s="87">
        <v>0.11</v>
      </c>
      <c r="G202" s="87">
        <v>0.09</v>
      </c>
      <c r="H202" s="51"/>
      <c r="I202" s="49">
        <f t="shared" si="7"/>
        <v>19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70</v>
      </c>
      <c r="B203" s="50">
        <v>978</v>
      </c>
      <c r="C203" s="50">
        <v>12</v>
      </c>
      <c r="D203" s="50">
        <v>38</v>
      </c>
      <c r="E203" s="87">
        <v>0.8</v>
      </c>
      <c r="F203" s="87">
        <v>0.11</v>
      </c>
      <c r="G203" s="87">
        <v>0.09</v>
      </c>
      <c r="H203" s="51"/>
      <c r="I203" s="49">
        <f t="shared" si="7"/>
        <v>15.8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75</v>
      </c>
      <c r="B204" s="50">
        <v>1005</v>
      </c>
      <c r="C204" s="50">
        <v>13</v>
      </c>
      <c r="D204" s="50">
        <v>33</v>
      </c>
      <c r="E204" s="87">
        <v>0.8</v>
      </c>
      <c r="F204" s="87">
        <v>0.11</v>
      </c>
      <c r="G204" s="87">
        <v>0.09</v>
      </c>
      <c r="H204" s="51"/>
      <c r="I204" s="49">
        <f t="shared" si="7"/>
        <v>13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80</v>
      </c>
      <c r="B205" s="50">
        <v>1020</v>
      </c>
      <c r="C205" s="50">
        <v>14</v>
      </c>
      <c r="D205" s="50">
        <v>1020</v>
      </c>
      <c r="E205" s="87">
        <v>0.8</v>
      </c>
      <c r="F205" s="87">
        <v>0.11</v>
      </c>
      <c r="G205" s="87">
        <v>0.09</v>
      </c>
      <c r="H205" s="51"/>
      <c r="I205" s="49">
        <f t="shared" si="7"/>
        <v>9.6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17968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vert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Cèdre de l'Atlas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Thuya géant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Séquoia toujours vert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484.04602944257209</v>
      </c>
      <c r="T3" s="59">
        <f>IF('Données projet'!E9&gt;30,$R$33-$H$33,LOOKUP('Données projet'!$E$9,$A$3:$A$203,R3:R203)-LOOKUP('Données projet'!$E$9,$A$3:$A$203,$H$3:$H$203))</f>
        <v>297.32483725004124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493.74122500490859</v>
      </c>
      <c r="AO3" s="59">
        <f>IF('Données projet'!E10&gt;30,$AM$33-$H$33,LOOKUP('Données projet'!$E$10,$A$3:$A$203,AM3:AM203)-LOOKUP('Données projet'!$E$10,$A$3:$A$203,$H$3:$H$203))</f>
        <v>299.43985151679692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364.64276939439014</v>
      </c>
      <c r="BJ3" s="59">
        <f>IF('Données projet'!E11&gt;30,$BH$33-$H$33,LOOKUP('Données projet'!$E$11,$A$3:$A$203,BH3:BH203)-LOOKUP('Données projet'!$E$11,$A$3:$A$203,$H$3:$H$203))</f>
        <v>341.7578598026638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435.81281313761326</v>
      </c>
      <c r="CE3" s="59">
        <f>IF('Données projet'!E12&gt;30,$CC$33-$H$33,LOOKUP('Données projet'!$E$12,$A$3:$A$203,CC3:CC203)-LOOKUP('Données projet'!$E$12,$A$3:$A$203,$H$3:$H$203))</f>
        <v>460.93390058676493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379.16472924112111</v>
      </c>
      <c r="CZ3" s="59">
        <f>IF('Données projet'!E13&gt;30,$CX$33-$H$33,LOOKUP('Données projet'!$E$13,$A$3:$A$203,CX3:CX203)-LOOKUP('Données projet'!$E$13,$A$3:$A$203,$H$3:$H$203))</f>
        <v>273.18950868898253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419.35339339286082</v>
      </c>
      <c r="DU3" s="59">
        <f>IF('Données projet'!E14&gt;30,$DS$33-$H$33,LOOKUP('Données projet'!$E$14,$A$3:$A$203,DS3:DS203)-LOOKUP('Données projet'!$E$14,$A$3:$A$203,$H$3:$H$203))</f>
        <v>359.03308141414709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561.50881628354409</v>
      </c>
      <c r="EP3" s="59">
        <f>IF('Données projet'!E15&gt;30,$EN$33-$H$33,LOOKUP('Données projet'!$E$15,$A$3:$A$203,EN3:EN203)-LOOKUP('Données projet'!$E$15,$A$3:$A$203,$H$3:$H$203))</f>
        <v>468.67708352238458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170.65342372509684</v>
      </c>
      <c r="S4" s="59">
        <f ca="1">AVERAGE(OFFSET($R$3,0,0,'Données projet'!$E$9+1,1))-AVERAGE(OFFSET($H$3,0,0,'Données projet'!$E$9+1,1))</f>
        <v>484.04602944257209</v>
      </c>
      <c r="T4" s="59">
        <f>$T$3</f>
        <v>297.32483725004124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1.3728083845174046</v>
      </c>
      <c r="AK4" s="13">
        <f>EXP(-1.0587+0.8836*LN(AJ4)+0.284)</f>
        <v>0.60973930699832779</v>
      </c>
      <c r="AL4" s="20">
        <f t="shared" ref="AL4:AL67" si="4">(AJ4+AK4)*0.475*44/12</f>
        <v>3.4529372293899008</v>
      </c>
      <c r="AM4" s="59">
        <f t="shared" ref="AM4:AM67" si="5">AL4+(AD4+AE4)*44/12</f>
        <v>171.26537118231374</v>
      </c>
      <c r="AN4" s="59">
        <f ca="1">AVERAGE(OFFSET($AM$3,0,0,'Données projet'!$E$10+1,1))-AVERAGE(OFFSET($H$3,0,0,'Données projet'!$E$10+1,1))</f>
        <v>493.74122500490859</v>
      </c>
      <c r="AO4" s="59">
        <f>$AO$3</f>
        <v>299.43985151679692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1.2233547854161635</v>
      </c>
      <c r="BF4" s="13">
        <f>EXP(-1.0587+0.8836*LN(BE4)+0.284)</f>
        <v>0.55069785861405296</v>
      </c>
      <c r="BG4" s="20">
        <f t="shared" ref="BG4:BG67" si="7">(BE4+BF4)*0.475*44/12</f>
        <v>3.0898083550192936</v>
      </c>
      <c r="BH4" s="59">
        <f t="shared" ref="BH4:BH67" si="8">BG4+(AY4+AZ4)*44/12</f>
        <v>170.90224230794314</v>
      </c>
      <c r="BI4" s="59">
        <f ca="1">AVERAGE(OFFSET($BH$3,0,0,'Données projet'!$E$11+1,1))-AVERAGE(OFFSET($H$3,0,0,'Données projet'!$E$11+1,1))</f>
        <v>364.64276939439014</v>
      </c>
      <c r="BJ4" s="59">
        <f>$BJ$3</f>
        <v>341.7578598026638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7.333333333333333</v>
      </c>
      <c r="BY4" s="12">
        <f>IF('Données projet'!$A$114&gt;35,BY3+BX4-CG3,IF(A4&lt;'Données projet'!$A$114,$BV$205^A4,IF(A4='Données projet'!$A$114,'Données projet'!$B$114,BY3+BX4-CG3)))</f>
        <v>1.3680212568593273</v>
      </c>
      <c r="BZ4" s="13">
        <f>BY4*VLOOKUP('Données projet'!$B$12,Paramètres!$A$1:$I$89,3,0)*VLOOKUP('Données projet'!$B$12,Paramètres!$A$1:$I$89,5,0)</f>
        <v>0.81807671160187789</v>
      </c>
      <c r="CA4" s="13">
        <f>EXP(-1.0587+0.8836*LN(BZ4)+0.284)</f>
        <v>0.38591962976646654</v>
      </c>
      <c r="CB4" s="20">
        <f t="shared" ref="CB4:CB67" si="10">(BZ4+CA4)*0.475*44/12</f>
        <v>2.0969602945498664</v>
      </c>
      <c r="CC4" s="59">
        <f t="shared" ref="CC4:CC67" si="11">CB4+(BT4+BU4)*44/12</f>
        <v>169.9093942474737</v>
      </c>
      <c r="CD4" s="59">
        <f ca="1">AVERAGE(OFFSET($CC$3,0,0,'Données projet'!$E$12+1,1))-AVERAGE(OFFSET($H$3,0,0,'Données projet'!$E$12+1,1))</f>
        <v>435.81281313761326</v>
      </c>
      <c r="CE4" s="59">
        <f>$CE$3</f>
        <v>460.93390058676493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</v>
      </c>
      <c r="CT4" s="12">
        <f>IF('Données projet'!$A$140&gt;35,CT3+CS4-DB3,IF(A4&lt;'Données projet'!$A$140,$CQ$205^A4,IF(A4='Données projet'!$A$140,'Données projet'!$B$140,CT3+CS4-DB3)))</f>
        <v>1.2802842468510145</v>
      </c>
      <c r="CU4" s="17">
        <f>CT4*VLOOKUP('Données projet'!$B$13,Paramètres!$A$1:$I$89,3,0)*VLOOKUP('Données projet'!$B$13,Paramètres!$A$1:$I$89,5,0)</f>
        <v>0.59917302752627477</v>
      </c>
      <c r="CV4" s="13">
        <f>EXP(-1.0587+0.8836*LN(CU4)+0.284)</f>
        <v>0.29308746006107994</v>
      </c>
      <c r="CW4" s="20">
        <f t="shared" ref="CW4:CW67" si="13">(CU4+CV4)*0.475*44/12</f>
        <v>1.5540203492146427</v>
      </c>
      <c r="CX4" s="59">
        <f t="shared" ref="CX4:CX67" si="14">CW4+(CO4+CP4)*44/12</f>
        <v>169.36645430213849</v>
      </c>
      <c r="CY4" s="59">
        <f ca="1">AVERAGE(OFFSET($CX$3,0,0,'Données projet'!$E$13+1,1))-AVERAGE(OFFSET($H$3,0,0,'Données projet'!$E$13+1,1))</f>
        <v>379.16472924112111</v>
      </c>
      <c r="CZ4" s="59">
        <f>$CZ$3</f>
        <v>273.18950868898253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4.1333333333333337</v>
      </c>
      <c r="DO4" s="12">
        <f>IF('Données projet'!$A$166&gt;35,DO3+DN4-DW3,IF(A4&lt;'Données projet'!$A$166,$DL$205^A4,IF(A4='Données projet'!$A$166,'Données projet'!$B$166,DO3+DN4-DW3)))</f>
        <v>1.3167180204218134</v>
      </c>
      <c r="DP4" s="17">
        <f>DO4*VLOOKUP('Données projet'!$B$14,Paramètres!$A$1:$I$89,3,0)*VLOOKUP('Données projet'!$B$14,Paramètres!$A$1:$I$89,5,0)</f>
        <v>0.53063736222999081</v>
      </c>
      <c r="DQ4" s="13">
        <f>EXP(-1.0587+0.8836*LN(DP4)+0.284)</f>
        <v>0.2632591189020399</v>
      </c>
      <c r="DR4" s="20">
        <f t="shared" ref="DR4:DR67" si="16">(DP4+DQ4)*0.475*44/12</f>
        <v>1.3827030379716201</v>
      </c>
      <c r="DS4" s="59">
        <f t="shared" ref="DS4:DS67" si="17">DR4+(DJ4+DK4)*44/12</f>
        <v>169.19513699089546</v>
      </c>
      <c r="DT4" s="59">
        <f ca="1">AVERAGE(OFFSET($DS$3,0,0,'Données projet'!$E$14+1,1))-AVERAGE(OFFSET($H$3,0,0,'Données projet'!$E$14+1,1))</f>
        <v>419.35339339286082</v>
      </c>
      <c r="DU4" s="59">
        <f>$DU$3</f>
        <v>359.03308141414709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5.4666666666666668</v>
      </c>
      <c r="EJ4" s="12">
        <f>IF('Données projet'!$A$192&gt;35,EJ3+EI4-ER3,IF(A4&lt;'Données projet'!$A$192,$EG$205^A4,IF(A4='Données projet'!$A$192,'Données projet'!$B$192,EJ3+EI4-ER3)))</f>
        <v>1.3414904650106145</v>
      </c>
      <c r="EK4" s="17">
        <f>EJ4*VLOOKUP('Données projet'!$B$15,Paramètres!$A$1:$I$89,3,0)*VLOOKUP('Données projet'!$B$15,Paramètres!$A$1:$I$89,5,0)</f>
        <v>0.5929387855346917</v>
      </c>
      <c r="EL4" s="13">
        <f>EXP(-1.0587+0.8836*LN(EK4)+0.284)</f>
        <v>0.29039128380934087</v>
      </c>
      <c r="EM4" s="20">
        <f t="shared" ref="EM4:EM67" si="19">(EK4+EL4)*0.475*44/12</f>
        <v>1.5384665374408568</v>
      </c>
      <c r="EN4" s="59">
        <f t="shared" ref="EN4:EN67" si="20">EM4+(EE4+EF4)*44/12</f>
        <v>169.35090049036469</v>
      </c>
      <c r="EO4" s="59">
        <f ca="1">AVERAGE(OFFSET($EN$3,0,0,'Données projet'!$E$15+1,1))-AVERAGE(OFFSET($H$3,0,0,'Données projet'!$E$15+1,1))</f>
        <v>561.50881628354409</v>
      </c>
      <c r="EP4" s="59">
        <f>$EP$3</f>
        <v>468.67708352238458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174.0908950642665</v>
      </c>
      <c r="S5" s="59">
        <f ca="1">AVERAGE(OFFSET($R$3,0,0,'Données projet'!$E$9+1,1))-AVERAGE(OFFSET($H$3,0,0,'Données projet'!$E$9+1,1))</f>
        <v>484.04602944257209</v>
      </c>
      <c r="T5" s="59">
        <f t="shared" ref="T5:T68" si="34">$T$3</f>
        <v>297.32483725004124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1.6549024065694471</v>
      </c>
      <c r="AK5" s="13">
        <f t="shared" ref="AK5:AK68" si="35">EXP(-1.0587+0.8836*LN(AJ5)+0.284)</f>
        <v>0.71921601016174064</v>
      </c>
      <c r="AL5" s="20">
        <f t="shared" si="4"/>
        <v>4.134922909140152</v>
      </c>
      <c r="AM5" s="59">
        <f t="shared" si="5"/>
        <v>174.73220419664099</v>
      </c>
      <c r="AN5" s="59">
        <f ca="1">AVERAGE(OFFSET($AM$3,0,0,'Données projet'!$E$10+1,1))-AVERAGE(OFFSET($H$3,0,0,'Données projet'!$E$10+1,1))</f>
        <v>493.74122500490859</v>
      </c>
      <c r="AO5" s="59">
        <f t="shared" ref="AO5:AO68" si="36">$AO$3</f>
        <v>299.43985151679692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1.7131375125922934</v>
      </c>
      <c r="BF5" s="13">
        <f t="shared" ref="BF5:BF68" si="37">EXP(-1.0587+0.8836*LN(BE5)+0.284)</f>
        <v>0.74153366912094132</v>
      </c>
      <c r="BG5" s="20">
        <f t="shared" si="7"/>
        <v>4.2752189748172169</v>
      </c>
      <c r="BH5" s="59">
        <f t="shared" si="8"/>
        <v>174.87250026231806</v>
      </c>
      <c r="BI5" s="59">
        <f ca="1">AVERAGE(OFFSET($BH$3,0,0,'Données projet'!$E$11+1,1))-AVERAGE(OFFSET($H$3,0,0,'Données projet'!$E$11+1,1))</f>
        <v>364.64276939439014</v>
      </c>
      <c r="BJ5" s="59">
        <f t="shared" ref="BJ5:BJ68" si="38">$BJ$3</f>
        <v>341.7578598026638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7.333333333333333</v>
      </c>
      <c r="BY5" s="12">
        <f>IF('Données projet'!$A$114&gt;35,BY4+BX5-CG4,IF(A5&lt;'Données projet'!$A$114,$BV$205^A5,IF(A5='Données projet'!$A$114,'Données projet'!$B$114,BY4+BX5-CG4)))</f>
        <v>1.8714821592189737</v>
      </c>
      <c r="BZ5" s="13">
        <f>BY5*VLOOKUP('Données projet'!$B$12,Paramètres!$A$1:$I$89,3,0)*VLOOKUP('Données projet'!$B$12,Paramètres!$A$1:$I$89,5,0)</f>
        <v>1.1191463312129464</v>
      </c>
      <c r="CA5" s="13">
        <f t="shared" ref="CA5:CA68" si="39">EXP(-1.0587+0.8836*LN(BZ5)+0.284)</f>
        <v>0.50903601214619809</v>
      </c>
      <c r="CB5" s="20">
        <f t="shared" si="10"/>
        <v>2.8357509146838429</v>
      </c>
      <c r="CC5" s="59">
        <f t="shared" si="11"/>
        <v>173.43303220218468</v>
      </c>
      <c r="CD5" s="59">
        <f ca="1">AVERAGE(OFFSET($CC$3,0,0,'Données projet'!$E$12+1,1))-AVERAGE(OFFSET($H$3,0,0,'Données projet'!$E$12+1,1))</f>
        <v>435.81281313761326</v>
      </c>
      <c r="CE5" s="59">
        <f t="shared" ref="CE5:CE68" si="40">$CE$3</f>
        <v>460.93390058676493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</v>
      </c>
      <c r="CT5" s="12">
        <f>IF('Données projet'!$A$140&gt;35,CT4+CS5-DB4,IF(A5&lt;'Données projet'!$A$140,$CQ$205^A5,IF(A5='Données projet'!$A$140,'Données projet'!$B$140,CT4+CS5-DB4)))</f>
        <v>1.6391277527348693</v>
      </c>
      <c r="CU5" s="17">
        <f>CT5*VLOOKUP('Données projet'!$B$13,Paramètres!$A$1:$I$89,3,0)*VLOOKUP('Données projet'!$B$13,Paramètres!$A$1:$I$89,5,0)</f>
        <v>0.76711178827991888</v>
      </c>
      <c r="CV5" s="13">
        <f t="shared" ref="CV5:CV68" si="41">EXP(-1.0587+0.8836*LN(CU5)+0.284)</f>
        <v>0.36459706970828532</v>
      </c>
      <c r="CW5" s="20">
        <f t="shared" si="13"/>
        <v>1.9710595943294553</v>
      </c>
      <c r="CX5" s="59">
        <f t="shared" si="14"/>
        <v>172.5683408818303</v>
      </c>
      <c r="CY5" s="59">
        <f ca="1">AVERAGE(OFFSET($CX$3,0,0,'Données projet'!$E$13+1,1))-AVERAGE(OFFSET($H$3,0,0,'Données projet'!$E$13+1,1))</f>
        <v>379.16472924112111</v>
      </c>
      <c r="CZ5" s="59">
        <f t="shared" ref="CZ5:CZ68" si="42">$CZ$3</f>
        <v>273.18950868898253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4.1333333333333337</v>
      </c>
      <c r="DO5" s="12">
        <f>IF('Données projet'!$A$166&gt;35,DO4+DN5-DW4,IF(A5&lt;'Données projet'!$A$166,$DL$205^A5,IF(A5='Données projet'!$A$166,'Données projet'!$B$166,DO4+DN5-DW4)))</f>
        <v>1.7337463453035391</v>
      </c>
      <c r="DP5" s="17">
        <f>DO5*VLOOKUP('Données projet'!$B$14,Paramètres!$A$1:$I$89,3,0)*VLOOKUP('Données projet'!$B$14,Paramètres!$A$1:$I$89,5,0)</f>
        <v>0.69869977715732623</v>
      </c>
      <c r="DQ5" s="13">
        <f t="shared" ref="DQ5:DQ68" si="43">EXP(-1.0587+0.8836*LN(DP5)+0.284)</f>
        <v>0.33571229209552234</v>
      </c>
      <c r="DR5" s="20">
        <f t="shared" si="16"/>
        <v>1.8016010206153776</v>
      </c>
      <c r="DS5" s="59">
        <f t="shared" si="17"/>
        <v>172.39888230811621</v>
      </c>
      <c r="DT5" s="59">
        <f ca="1">AVERAGE(OFFSET($DS$3,0,0,'Données projet'!$E$14+1,1))-AVERAGE(OFFSET($H$3,0,0,'Données projet'!$E$14+1,1))</f>
        <v>419.35339339286082</v>
      </c>
      <c r="DU5" s="59">
        <f t="shared" ref="DU5:DU68" si="44">$DU$3</f>
        <v>359.03308141414709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5.4666666666666668</v>
      </c>
      <c r="EJ5" s="12">
        <f>IF('Données projet'!$A$192&gt;35,EJ4+EI5-ER4,IF(A5&lt;'Données projet'!$A$192,$EG$205^A5,IF(A5='Données projet'!$A$192,'Données projet'!$B$192,EJ4+EI5-ER4)))</f>
        <v>1.7995966677143949</v>
      </c>
      <c r="EK5" s="17">
        <f>EJ5*VLOOKUP('Données projet'!$B$15,Paramètres!$A$1:$I$89,3,0)*VLOOKUP('Données projet'!$B$15,Paramètres!$A$1:$I$89,5,0)</f>
        <v>0.79542172712976256</v>
      </c>
      <c r="EL5" s="13">
        <f t="shared" ref="EL5:EL68" si="45">EXP(-1.0587+0.8836*LN(EK5)+0.284)</f>
        <v>0.37646098254897048</v>
      </c>
      <c r="EM5" s="20">
        <f t="shared" si="19"/>
        <v>2.0410290526904595</v>
      </c>
      <c r="EN5" s="59">
        <f t="shared" si="20"/>
        <v>172.63831034019128</v>
      </c>
      <c r="EO5" s="59">
        <f ca="1">AVERAGE(OFFSET($EN$3,0,0,'Données projet'!$E$15+1,1))-AVERAGE(OFFSET($H$3,0,0,'Données projet'!$E$15+1,1))</f>
        <v>561.50881628354409</v>
      </c>
      <c r="EP5" s="59">
        <f t="shared" ref="EP5:EP68" si="46">$EP$3</f>
        <v>468.67708352238458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177.65174746089073</v>
      </c>
      <c r="S6" s="59">
        <f ca="1">AVERAGE(OFFSET($R$3,0,0,'Données projet'!$E$9+1,1))-AVERAGE(OFFSET($H$3,0,0,'Données projet'!$E$9+1,1))</f>
        <v>484.04602944257209</v>
      </c>
      <c r="T6" s="59">
        <f t="shared" si="34"/>
        <v>297.32483725004124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1.9949630306432804</v>
      </c>
      <c r="AK6" s="13">
        <f t="shared" si="35"/>
        <v>0.84834889818640413</v>
      </c>
      <c r="AL6" s="20">
        <f t="shared" si="4"/>
        <v>4.9521016093783672</v>
      </c>
      <c r="AM6" s="59">
        <f t="shared" si="5"/>
        <v>178.30712217926325</v>
      </c>
      <c r="AN6" s="59">
        <f ca="1">AVERAGE(OFFSET($AM$3,0,0,'Données projet'!$E$10+1,1))-AVERAGE(OFFSET($H$3,0,0,'Données projet'!$E$10+1,1))</f>
        <v>493.74122500490859</v>
      </c>
      <c r="AO6" s="59">
        <f t="shared" si="36"/>
        <v>299.43985151679692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2.3990098146814622</v>
      </c>
      <c r="BF6" s="13">
        <f t="shared" si="37"/>
        <v>0.99850067298942213</v>
      </c>
      <c r="BG6" s="20">
        <f t="shared" si="7"/>
        <v>5.9173307660267902</v>
      </c>
      <c r="BH6" s="59">
        <f t="shared" si="8"/>
        <v>179.27235133591168</v>
      </c>
      <c r="BI6" s="59">
        <f ca="1">AVERAGE(OFFSET($BH$3,0,0,'Données projet'!$E$11+1,1))-AVERAGE(OFFSET($H$3,0,0,'Données projet'!$E$11+1,1))</f>
        <v>364.64276939439014</v>
      </c>
      <c r="BJ6" s="59">
        <f t="shared" si="38"/>
        <v>341.7578598026638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7.333333333333333</v>
      </c>
      <c r="BY6" s="12">
        <f>IF('Données projet'!$A$114&gt;35,BY5+BX6-CG5,IF(A6&lt;'Données projet'!$A$114,$BV$205^A6,IF(A6='Données projet'!$A$114,'Données projet'!$B$114,BY5+BX6-CG5)))</f>
        <v>2.5602273756445482</v>
      </c>
      <c r="BZ6" s="13">
        <f>BY6*VLOOKUP('Données projet'!$B$12,Paramètres!$A$1:$I$89,3,0)*VLOOKUP('Données projet'!$B$12,Paramètres!$A$1:$I$89,5,0)</f>
        <v>1.5310159706354398</v>
      </c>
      <c r="CA6" s="13">
        <f t="shared" si="39"/>
        <v>0.67142907920622097</v>
      </c>
      <c r="CB6" s="20">
        <f t="shared" si="10"/>
        <v>3.8359251284742251</v>
      </c>
      <c r="CC6" s="59">
        <f t="shared" si="11"/>
        <v>177.19094569835912</v>
      </c>
      <c r="CD6" s="59">
        <f ca="1">AVERAGE(OFFSET($CC$3,0,0,'Données projet'!$E$12+1,1))-AVERAGE(OFFSET($H$3,0,0,'Données projet'!$E$12+1,1))</f>
        <v>435.81281313761326</v>
      </c>
      <c r="CE6" s="59">
        <f t="shared" si="40"/>
        <v>460.93390058676493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</v>
      </c>
      <c r="CT6" s="12">
        <f>IF('Données projet'!$A$140&gt;35,CT5+CS6-DB5,IF(A6&lt;'Données projet'!$A$140,$CQ$205^A6,IF(A6='Données projet'!$A$140,'Données projet'!$B$140,CT5+CS6-DB5)))</f>
        <v>2.098549440402758</v>
      </c>
      <c r="CU6" s="17">
        <f>CT6*VLOOKUP('Données projet'!$B$13,Paramètres!$A$1:$I$89,3,0)*VLOOKUP('Données projet'!$B$13,Paramètres!$A$1:$I$89,5,0)</f>
        <v>0.98212113810849078</v>
      </c>
      <c r="CV6" s="13">
        <f t="shared" si="41"/>
        <v>0.453554113888616</v>
      </c>
      <c r="CW6" s="20">
        <f t="shared" si="13"/>
        <v>2.5004677305616276</v>
      </c>
      <c r="CX6" s="59">
        <f t="shared" si="14"/>
        <v>175.85548830044652</v>
      </c>
      <c r="CY6" s="59">
        <f ca="1">AVERAGE(OFFSET($CX$3,0,0,'Données projet'!$E$13+1,1))-AVERAGE(OFFSET($H$3,0,0,'Données projet'!$E$13+1,1))</f>
        <v>379.16472924112111</v>
      </c>
      <c r="CZ6" s="59">
        <f t="shared" si="42"/>
        <v>273.18950868898253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4.1333333333333337</v>
      </c>
      <c r="DO6" s="12">
        <f>IF('Données projet'!$A$166&gt;35,DO5+DN6-DW5,IF(A6&lt;'Données projet'!$A$166,$DL$205^A6,IF(A6='Données projet'!$A$166,'Données projet'!$B$166,DO5+DN6-DW5)))</f>
        <v>2.2828550557016296</v>
      </c>
      <c r="DP6" s="17">
        <f>DO6*VLOOKUP('Données projet'!$B$14,Paramètres!$A$1:$I$89,3,0)*VLOOKUP('Données projet'!$B$14,Paramètres!$A$1:$I$89,5,0)</f>
        <v>0.91999058744775675</v>
      </c>
      <c r="DQ6" s="13">
        <f t="shared" si="43"/>
        <v>0.42810575198334</v>
      </c>
      <c r="DR6" s="20">
        <f t="shared" si="16"/>
        <v>2.3479344578424937</v>
      </c>
      <c r="DS6" s="59">
        <f t="shared" si="17"/>
        <v>175.70295502772737</v>
      </c>
      <c r="DT6" s="59">
        <f ca="1">AVERAGE(OFFSET($DS$3,0,0,'Données projet'!$E$14+1,1))-AVERAGE(OFFSET($H$3,0,0,'Données projet'!$E$14+1,1))</f>
        <v>419.35339339286082</v>
      </c>
      <c r="DU6" s="59">
        <f t="shared" si="44"/>
        <v>359.03308141414709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5.4666666666666668</v>
      </c>
      <c r="EJ6" s="12">
        <f>IF('Données projet'!$A$192&gt;35,EJ5+EI6-ER5,IF(A6&lt;'Données projet'!$A$192,$EG$205^A6,IF(A6='Données projet'!$A$192,'Données projet'!$B$192,EJ5+EI6-ER5)))</f>
        <v>2.4141417706037358</v>
      </c>
      <c r="EK6" s="17">
        <f>EJ6*VLOOKUP('Données projet'!$B$15,Paramètres!$A$1:$I$89,3,0)*VLOOKUP('Données projet'!$B$15,Paramètres!$A$1:$I$89,5,0)</f>
        <v>1.0670506626068514</v>
      </c>
      <c r="EL6" s="13">
        <f t="shared" si="45"/>
        <v>0.48804106487846849</v>
      </c>
      <c r="EM6" s="20">
        <f t="shared" si="19"/>
        <v>2.7084514253702654</v>
      </c>
      <c r="EN6" s="59">
        <f t="shared" si="20"/>
        <v>176.06347199525516</v>
      </c>
      <c r="EO6" s="59">
        <f ca="1">AVERAGE(OFFSET($EN$3,0,0,'Données projet'!$E$15+1,1))-AVERAGE(OFFSET($H$3,0,0,'Données projet'!$E$15+1,1))</f>
        <v>561.50881628354409</v>
      </c>
      <c r="EP6" s="59">
        <f t="shared" si="46"/>
        <v>468.67708352238458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181.37127654212841</v>
      </c>
      <c r="S7" s="59">
        <f ca="1">AVERAGE(OFFSET($R$3,0,0,'Données projet'!$E$9+1,1))-AVERAGE(OFFSET($H$3,0,0,'Données projet'!$E$9+1,1))</f>
        <v>484.04602944257209</v>
      </c>
      <c r="T7" s="59">
        <f t="shared" si="34"/>
        <v>297.32483725004124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2.4049016291441401</v>
      </c>
      <c r="AK7" s="13">
        <f t="shared" si="35"/>
        <v>1.0006671749315441</v>
      </c>
      <c r="AL7" s="20">
        <f t="shared" si="4"/>
        <v>5.9313656670984827</v>
      </c>
      <c r="AM7" s="59">
        <f t="shared" si="5"/>
        <v>182.01748773127542</v>
      </c>
      <c r="AN7" s="59">
        <f ca="1">AVERAGE(OFFSET($AM$3,0,0,'Données projet'!$E$10+1,1))-AVERAGE(OFFSET($H$3,0,0,'Données projet'!$E$10+1,1))</f>
        <v>493.74122500490859</v>
      </c>
      <c r="AO7" s="59">
        <f t="shared" si="36"/>
        <v>299.43985151679692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3.3594781788586427</v>
      </c>
      <c r="BF7" s="13">
        <f t="shared" si="37"/>
        <v>1.3445156106562728</v>
      </c>
      <c r="BG7" s="20">
        <f t="shared" si="7"/>
        <v>8.1927891834051447</v>
      </c>
      <c r="BH7" s="59">
        <f t="shared" si="8"/>
        <v>184.2789112475821</v>
      </c>
      <c r="BI7" s="59">
        <f ca="1">AVERAGE(OFFSET($BH$3,0,0,'Données projet'!$E$11+1,1))-AVERAGE(OFFSET($H$3,0,0,'Données projet'!$E$11+1,1))</f>
        <v>364.64276939439014</v>
      </c>
      <c r="BJ7" s="59">
        <f t="shared" si="38"/>
        <v>341.7578598026638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7.333333333333333</v>
      </c>
      <c r="BY7" s="12">
        <f>IF('Données projet'!$A$114&gt;35,BY6+BX7-CG6,IF(A7&lt;'Données projet'!$A$114,$BV$205^A7,IF(A7='Données projet'!$A$114,'Données projet'!$B$114,BY6+BX7-CG6)))</f>
        <v>3.5024454722749119</v>
      </c>
      <c r="BZ7" s="13">
        <f>BY7*VLOOKUP('Données projet'!$B$12,Paramètres!$A$1:$I$89,3,0)*VLOOKUP('Données projet'!$B$12,Paramètres!$A$1:$I$89,5,0)</f>
        <v>2.0944623924203976</v>
      </c>
      <c r="CA7" s="13">
        <f t="shared" si="39"/>
        <v>0.88562890963839402</v>
      </c>
      <c r="CB7" s="20">
        <f t="shared" si="10"/>
        <v>5.1903256844190615</v>
      </c>
      <c r="CC7" s="59">
        <f t="shared" si="11"/>
        <v>181.27644774859601</v>
      </c>
      <c r="CD7" s="59">
        <f ca="1">AVERAGE(OFFSET($CC$3,0,0,'Données projet'!$E$12+1,1))-AVERAGE(OFFSET($H$3,0,0,'Données projet'!$E$12+1,1))</f>
        <v>435.81281313761326</v>
      </c>
      <c r="CE7" s="59">
        <f t="shared" si="40"/>
        <v>460.93390058676493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</v>
      </c>
      <c r="CT7" s="12">
        <f>IF('Données projet'!$A$140&gt;35,CT6+CS7-DB6,IF(A7&lt;'Données projet'!$A$140,$CQ$205^A7,IF(A7='Données projet'!$A$140,'Données projet'!$B$140,CT6+CS7-DB6)))</f>
        <v>2.6867397897856629</v>
      </c>
      <c r="CU7" s="17">
        <f>CT7*VLOOKUP('Données projet'!$B$13,Paramètres!$A$1:$I$89,3,0)*VLOOKUP('Données projet'!$B$13,Paramètres!$A$1:$I$89,5,0)</f>
        <v>1.2573942216196903</v>
      </c>
      <c r="CV7" s="13">
        <f t="shared" si="41"/>
        <v>0.56421554454586698</v>
      </c>
      <c r="CW7" s="20">
        <f t="shared" si="13"/>
        <v>3.1726370094050123</v>
      </c>
      <c r="CX7" s="59">
        <f t="shared" si="14"/>
        <v>179.25875907358196</v>
      </c>
      <c r="CY7" s="59">
        <f ca="1">AVERAGE(OFFSET($CX$3,0,0,'Données projet'!$E$13+1,1))-AVERAGE(OFFSET($H$3,0,0,'Données projet'!$E$13+1,1))</f>
        <v>379.16472924112111</v>
      </c>
      <c r="CZ7" s="59">
        <f t="shared" si="42"/>
        <v>273.18950868898253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4.1333333333333337</v>
      </c>
      <c r="DO7" s="12">
        <f>IF('Données projet'!$A$166&gt;35,DO6+DN7-DW6,IF(A7&lt;'Données projet'!$A$166,$DL$205^A7,IF(A7='Données projet'!$A$166,'Données projet'!$B$166,DO6+DN7-DW6)))</f>
        <v>3.0058763898533787</v>
      </c>
      <c r="DP7" s="17">
        <f>DO7*VLOOKUP('Données projet'!$B$14,Paramètres!$A$1:$I$89,3,0)*VLOOKUP('Données projet'!$B$14,Paramètres!$A$1:$I$89,5,0)</f>
        <v>1.2113681851109117</v>
      </c>
      <c r="DQ7" s="13">
        <f t="shared" si="43"/>
        <v>0.54592738841112431</v>
      </c>
      <c r="DR7" s="20">
        <f t="shared" si="16"/>
        <v>3.0606231238842128</v>
      </c>
      <c r="DS7" s="59">
        <f t="shared" si="17"/>
        <v>179.14674518806117</v>
      </c>
      <c r="DT7" s="59">
        <f ca="1">AVERAGE(OFFSET($DS$3,0,0,'Données projet'!$E$14+1,1))-AVERAGE(OFFSET($H$3,0,0,'Données projet'!$E$14+1,1))</f>
        <v>419.35339339286082</v>
      </c>
      <c r="DU7" s="59">
        <f t="shared" si="44"/>
        <v>359.03308141414709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5.4666666666666668</v>
      </c>
      <c r="EJ7" s="12">
        <f>IF('Données projet'!$A$192&gt;35,EJ6+EI7-ER6,IF(A7&lt;'Données projet'!$A$192,$EG$205^A7,IF(A7='Données projet'!$A$192,'Données projet'!$B$192,EJ6+EI7-ER6)))</f>
        <v>3.2385481664487541</v>
      </c>
      <c r="EK7" s="17">
        <f>EJ7*VLOOKUP('Données projet'!$B$15,Paramètres!$A$1:$I$89,3,0)*VLOOKUP('Données projet'!$B$15,Paramètres!$A$1:$I$89,5,0)</f>
        <v>1.4314382895703492</v>
      </c>
      <c r="EL7" s="13">
        <f t="shared" si="45"/>
        <v>0.63269260839461927</v>
      </c>
      <c r="EM7" s="20">
        <f t="shared" si="19"/>
        <v>3.5950279806223207</v>
      </c>
      <c r="EN7" s="59">
        <f t="shared" si="20"/>
        <v>179.68115004479927</v>
      </c>
      <c r="EO7" s="59">
        <f ca="1">AVERAGE(OFFSET($EN$3,0,0,'Données projet'!$E$15+1,1))-AVERAGE(OFFSET($H$3,0,0,'Données projet'!$E$15+1,1))</f>
        <v>561.50881628354409</v>
      </c>
      <c r="EP7" s="59">
        <f t="shared" si="46"/>
        <v>468.67708352238458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185.29285571551281</v>
      </c>
      <c r="S8" s="59">
        <f ca="1">AVERAGE(OFFSET($R$3,0,0,'Données projet'!$E$9+1,1))-AVERAGE(OFFSET($H$3,0,0,'Données projet'!$E$9+1,1))</f>
        <v>484.04602944257209</v>
      </c>
      <c r="T8" s="59">
        <f t="shared" si="34"/>
        <v>297.32483725004124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2.8990772044508617</v>
      </c>
      <c r="AK8" s="13">
        <f t="shared" si="35"/>
        <v>1.1803337012945099</v>
      </c>
      <c r="AL8" s="20">
        <f t="shared" si="4"/>
        <v>7.1049739941731884</v>
      </c>
      <c r="AM8" s="59">
        <f t="shared" si="5"/>
        <v>185.89602187062053</v>
      </c>
      <c r="AN8" s="59">
        <f ca="1">AVERAGE(OFFSET($AM$3,0,0,'Données projet'!$E$10+1,1))-AVERAGE(OFFSET($H$3,0,0,'Données projet'!$E$10+1,1))</f>
        <v>493.74122500490859</v>
      </c>
      <c r="AO8" s="59">
        <f t="shared" si="36"/>
        <v>299.43985151679692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4.7044799755127045</v>
      </c>
      <c r="BF8" s="13">
        <f t="shared" si="37"/>
        <v>1.8104366638895204</v>
      </c>
      <c r="BG8" s="20">
        <f t="shared" si="7"/>
        <v>11.346813146958874</v>
      </c>
      <c r="BH8" s="59">
        <f t="shared" si="8"/>
        <v>190.13786102340623</v>
      </c>
      <c r="BI8" s="59">
        <f ca="1">AVERAGE(OFFSET($BH$3,0,0,'Données projet'!$E$11+1,1))-AVERAGE(OFFSET($H$3,0,0,'Données projet'!$E$11+1,1))</f>
        <v>364.64276939439014</v>
      </c>
      <c r="BJ8" s="59">
        <f t="shared" si="38"/>
        <v>341.7578598026638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7.333333333333333</v>
      </c>
      <c r="BY8" s="12">
        <f>IF('Données projet'!$A$114&gt;35,BY7+BX8-CG7,IF(A8&lt;'Données projet'!$A$114,$BV$205^A8,IF(A8='Données projet'!$A$114,'Données projet'!$B$114,BY7+BX8-CG7)))</f>
        <v>4.7914198570627855</v>
      </c>
      <c r="BZ8" s="13">
        <f>BY8*VLOOKUP('Données projet'!$B$12,Paramètres!$A$1:$I$89,3,0)*VLOOKUP('Données projet'!$B$12,Paramètres!$A$1:$I$89,5,0)</f>
        <v>2.8652690745235461</v>
      </c>
      <c r="CA8" s="13">
        <f t="shared" si="39"/>
        <v>1.1681629376471956</v>
      </c>
      <c r="CB8" s="20">
        <f t="shared" si="10"/>
        <v>7.024894087864042</v>
      </c>
      <c r="CC8" s="59">
        <f t="shared" si="11"/>
        <v>185.81594196431141</v>
      </c>
      <c r="CD8" s="59">
        <f ca="1">AVERAGE(OFFSET($CC$3,0,0,'Données projet'!$E$12+1,1))-AVERAGE(OFFSET($H$3,0,0,'Données projet'!$E$12+1,1))</f>
        <v>435.81281313761326</v>
      </c>
      <c r="CE8" s="59">
        <f t="shared" si="40"/>
        <v>460.93390058676493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</v>
      </c>
      <c r="CT8" s="12">
        <f>IF('Données projet'!$A$140&gt;35,CT7+CS8-DB7,IF(A8&lt;'Données projet'!$A$140,$CQ$205^A8,IF(A8='Données projet'!$A$140,'Données projet'!$B$140,CT7+CS8-DB7)))</f>
        <v>3.4397906282503903</v>
      </c>
      <c r="CU8" s="17">
        <f>CT8*VLOOKUP('Données projet'!$B$13,Paramètres!$A$1:$I$89,3,0)*VLOOKUP('Données projet'!$B$13,Paramètres!$A$1:$I$89,5,0)</f>
        <v>1.6098220140211825</v>
      </c>
      <c r="CV8" s="13">
        <f t="shared" si="41"/>
        <v>0.70187695571286812</v>
      </c>
      <c r="CW8" s="20">
        <f t="shared" si="13"/>
        <v>4.0262090389534713</v>
      </c>
      <c r="CX8" s="59">
        <f t="shared" si="14"/>
        <v>182.81725691540083</v>
      </c>
      <c r="CY8" s="59">
        <f ca="1">AVERAGE(OFFSET($CX$3,0,0,'Données projet'!$E$13+1,1))-AVERAGE(OFFSET($H$3,0,0,'Données projet'!$E$13+1,1))</f>
        <v>379.16472924112111</v>
      </c>
      <c r="CZ8" s="59">
        <f t="shared" si="42"/>
        <v>273.18950868898253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4.1333333333333337</v>
      </c>
      <c r="DO8" s="12">
        <f>IF('Données projet'!$A$166&gt;35,DO7+DN8-DW7,IF(A8&lt;'Données projet'!$A$166,$DL$205^A8,IF(A8='Données projet'!$A$166,'Données projet'!$B$166,DO7+DN8-DW7)))</f>
        <v>3.957891609680408</v>
      </c>
      <c r="DP8" s="17">
        <f>DO8*VLOOKUP('Données projet'!$B$14,Paramètres!$A$1:$I$89,3,0)*VLOOKUP('Données projet'!$B$14,Paramètres!$A$1:$I$89,5,0)</f>
        <v>1.5950303187012043</v>
      </c>
      <c r="DQ8" s="13">
        <f t="shared" si="43"/>
        <v>0.69617544739036541</v>
      </c>
      <c r="DR8" s="20">
        <f t="shared" si="16"/>
        <v>3.9905167092761502</v>
      </c>
      <c r="DS8" s="59">
        <f t="shared" si="17"/>
        <v>182.78156458572352</v>
      </c>
      <c r="DT8" s="59">
        <f ca="1">AVERAGE(OFFSET($DS$3,0,0,'Données projet'!$E$14+1,1))-AVERAGE(OFFSET($H$3,0,0,'Données projet'!$E$14+1,1))</f>
        <v>419.35339339286082</v>
      </c>
      <c r="DU8" s="59">
        <f t="shared" si="44"/>
        <v>359.03308141414709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5.4666666666666668</v>
      </c>
      <c r="EJ8" s="12">
        <f>IF('Données projet'!$A$192&gt;35,EJ7+EI8-ER7,IF(A8&lt;'Données projet'!$A$192,$EG$205^A8,IF(A8='Données projet'!$A$192,'Données projet'!$B$192,EJ7+EI8-ER7)))</f>
        <v>4.344481485768612</v>
      </c>
      <c r="EK8" s="17">
        <f>EJ8*VLOOKUP('Données projet'!$B$15,Paramètres!$A$1:$I$89,3,0)*VLOOKUP('Données projet'!$B$15,Paramètres!$A$1:$I$89,5,0)</f>
        <v>1.9202608167097266</v>
      </c>
      <c r="EL8" s="13">
        <f t="shared" si="45"/>
        <v>0.8202177347860462</v>
      </c>
      <c r="EM8" s="20">
        <f t="shared" si="19"/>
        <v>4.7730001438551382</v>
      </c>
      <c r="EN8" s="59">
        <f t="shared" si="20"/>
        <v>183.56404802030249</v>
      </c>
      <c r="EO8" s="59">
        <f ca="1">AVERAGE(OFFSET($EN$3,0,0,'Données projet'!$E$15+1,1))-AVERAGE(OFFSET($H$3,0,0,'Données projet'!$E$15+1,1))</f>
        <v>561.50881628354409</v>
      </c>
      <c r="EP8" s="59">
        <f t="shared" si="46"/>
        <v>468.67708352238458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189.46981953956174</v>
      </c>
      <c r="S9" s="59">
        <f ca="1">AVERAGE(OFFSET($R$3,0,0,'Données projet'!$E$9+1,1))-AVERAGE(OFFSET($H$3,0,0,'Données projet'!$E$9+1,1))</f>
        <v>484.04602944257209</v>
      </c>
      <c r="T9" s="59">
        <f t="shared" si="34"/>
        <v>297.32483725004124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3.494799344602582</v>
      </c>
      <c r="AK9" s="13">
        <f t="shared" si="35"/>
        <v>1.3922587662645227</v>
      </c>
      <c r="AL9" s="20">
        <f t="shared" si="4"/>
        <v>8.5116262097602071</v>
      </c>
      <c r="AM9" s="59">
        <f t="shared" si="5"/>
        <v>189.98187830601918</v>
      </c>
      <c r="AN9" s="59">
        <f ca="1">AVERAGE(OFFSET($AM$3,0,0,'Données projet'!$E$10+1,1))-AVERAGE(OFFSET($H$3,0,0,'Données projet'!$E$10+1,1))</f>
        <v>493.74122500490859</v>
      </c>
      <c r="AO9" s="59">
        <f t="shared" si="36"/>
        <v>299.43985151679692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6.5879671370627086</v>
      </c>
      <c r="BF9" s="13">
        <f t="shared" si="37"/>
        <v>2.4378154392387783</v>
      </c>
      <c r="BG9" s="20">
        <f t="shared" si="7"/>
        <v>15.71990465372509</v>
      </c>
      <c r="BH9" s="59">
        <f t="shared" si="8"/>
        <v>197.19015674998406</v>
      </c>
      <c r="BI9" s="59">
        <f ca="1">AVERAGE(OFFSET($BH$3,0,0,'Données projet'!$E$11+1,1))-AVERAGE(OFFSET($H$3,0,0,'Données projet'!$E$11+1,1))</f>
        <v>364.64276939439014</v>
      </c>
      <c r="BJ9" s="59">
        <f t="shared" si="38"/>
        <v>341.7578598026638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7.333333333333333</v>
      </c>
      <c r="BY9" s="12">
        <f>IF('Données projet'!$A$114&gt;35,BY8+BX9-CG8,IF(A9&lt;'Données projet'!$A$114,$BV$205^A9,IF(A9='Données projet'!$A$114,'Données projet'!$B$114,BY8+BX9-CG8)))</f>
        <v>6.5547642149997696</v>
      </c>
      <c r="BZ9" s="13">
        <f>BY9*VLOOKUP('Données projet'!$B$12,Paramètres!$A$1:$I$89,3,0)*VLOOKUP('Données projet'!$B$12,Paramètres!$A$1:$I$89,5,0)</f>
        <v>3.9197490005698628</v>
      </c>
      <c r="CA9" s="13">
        <f t="shared" si="39"/>
        <v>1.5408311924344247</v>
      </c>
      <c r="CB9" s="20">
        <f t="shared" si="10"/>
        <v>9.5105105028157997</v>
      </c>
      <c r="CC9" s="59">
        <f t="shared" si="11"/>
        <v>190.98076259907478</v>
      </c>
      <c r="CD9" s="59">
        <f ca="1">AVERAGE(OFFSET($CC$3,0,0,'Données projet'!$E$12+1,1))-AVERAGE(OFFSET($H$3,0,0,'Données projet'!$E$12+1,1))</f>
        <v>435.81281313761326</v>
      </c>
      <c r="CE9" s="59">
        <f t="shared" si="40"/>
        <v>460.93390058676493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</v>
      </c>
      <c r="CT9" s="12">
        <f>IF('Données projet'!$A$140&gt;35,CT8+CS9-DB8,IF(A9&lt;'Données projet'!$A$140,$CQ$205^A9,IF(A9='Données projet'!$A$140,'Données projet'!$B$140,CT8+CS9-DB8)))</f>
        <v>4.4039097538147285</v>
      </c>
      <c r="CU9" s="17">
        <f>CT9*VLOOKUP('Données projet'!$B$13,Paramètres!$A$1:$I$89,3,0)*VLOOKUP('Données projet'!$B$13,Paramètres!$A$1:$I$89,5,0)</f>
        <v>2.0610297647852929</v>
      </c>
      <c r="CV9" s="13">
        <f t="shared" si="41"/>
        <v>0.87312599896069631</v>
      </c>
      <c r="CW9" s="20">
        <f t="shared" si="13"/>
        <v>5.1103212885242639</v>
      </c>
      <c r="CX9" s="59">
        <f t="shared" si="14"/>
        <v>186.58057338478324</v>
      </c>
      <c r="CY9" s="59">
        <f ca="1">AVERAGE(OFFSET($CX$3,0,0,'Données projet'!$E$13+1,1))-AVERAGE(OFFSET($H$3,0,0,'Données projet'!$E$13+1,1))</f>
        <v>379.16472924112111</v>
      </c>
      <c r="CZ9" s="59">
        <f t="shared" si="42"/>
        <v>273.18950868898253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4.1333333333333337</v>
      </c>
      <c r="DO9" s="12">
        <f>IF('Données projet'!$A$166&gt;35,DO8+DN9-DW8,IF(A9&lt;'Données projet'!$A$166,$DL$205^A9,IF(A9='Données projet'!$A$166,'Données projet'!$B$166,DO8+DN9-DW8)))</f>
        <v>5.211427205342491</v>
      </c>
      <c r="DP9" s="17">
        <f>DO9*VLOOKUP('Données projet'!$B$14,Paramètres!$A$1:$I$89,3,0)*VLOOKUP('Données projet'!$B$14,Paramètres!$A$1:$I$89,5,0)</f>
        <v>2.1002051637530239</v>
      </c>
      <c r="DQ9" s="13">
        <f t="shared" si="43"/>
        <v>0.88777420557656628</v>
      </c>
      <c r="DR9" s="20">
        <f t="shared" si="16"/>
        <v>5.2040640682490364</v>
      </c>
      <c r="DS9" s="59">
        <f t="shared" si="17"/>
        <v>186.67431616450801</v>
      </c>
      <c r="DT9" s="59">
        <f ca="1">AVERAGE(OFFSET($DS$3,0,0,'Données projet'!$E$14+1,1))-AVERAGE(OFFSET($H$3,0,0,'Données projet'!$E$14+1,1))</f>
        <v>419.35339339286082</v>
      </c>
      <c r="DU9" s="59">
        <f t="shared" si="44"/>
        <v>359.03308141414709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5.4666666666666668</v>
      </c>
      <c r="EJ9" s="12">
        <f>IF('Données projet'!$A$192&gt;35,EJ8+EI9-ER8,IF(A9&lt;'Données projet'!$A$192,$EG$205^A9,IF(A9='Données projet'!$A$192,'Données projet'!$B$192,EJ8+EI9-ER8)))</f>
        <v>5.8280804885737414</v>
      </c>
      <c r="EK9" s="17">
        <f>EJ9*VLOOKUP('Données projet'!$B$15,Paramètres!$A$1:$I$89,3,0)*VLOOKUP('Données projet'!$B$15,Paramètres!$A$1:$I$89,5,0)</f>
        <v>2.5760115759495941</v>
      </c>
      <c r="EL9" s="13">
        <f t="shared" si="45"/>
        <v>1.0633238377236498</v>
      </c>
      <c r="EM9" s="20">
        <f t="shared" si="19"/>
        <v>6.3385091788142338</v>
      </c>
      <c r="EN9" s="59">
        <f t="shared" si="20"/>
        <v>187.80876127507321</v>
      </c>
      <c r="EO9" s="59">
        <f ca="1">AVERAGE(OFFSET($EN$3,0,0,'Données projet'!$E$15+1,1))-AVERAGE(OFFSET($H$3,0,0,'Données projet'!$E$15+1,1))</f>
        <v>561.50881628354409</v>
      </c>
      <c r="EP9" s="59">
        <f t="shared" si="46"/>
        <v>468.67708352238458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193.96778694515905</v>
      </c>
      <c r="S10" s="59">
        <f ca="1">AVERAGE(OFFSET($R$3,0,0,'Données projet'!$E$9+1,1))-AVERAGE(OFFSET($H$3,0,0,'Données projet'!$E$9+1,1))</f>
        <v>484.04602944257209</v>
      </c>
      <c r="T10" s="59">
        <f t="shared" si="34"/>
        <v>297.32483725004124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4.2129345297474154</v>
      </c>
      <c r="AK10" s="13">
        <f t="shared" si="35"/>
        <v>1.6422342851979264</v>
      </c>
      <c r="AL10" s="20">
        <f t="shared" si="4"/>
        <v>10.197752352696471</v>
      </c>
      <c r="AM10" s="59">
        <f t="shared" si="5"/>
        <v>194.32193328843272</v>
      </c>
      <c r="AN10" s="59">
        <f ca="1">AVERAGE(OFFSET($AM$3,0,0,'Données projet'!$E$10+1,1))-AVERAGE(OFFSET($H$3,0,0,'Données projet'!$E$10+1,1))</f>
        <v>493.74122500490859</v>
      </c>
      <c r="AO10" s="59">
        <f t="shared" si="36"/>
        <v>299.43985151679692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9.2255278425939657</v>
      </c>
      <c r="BF10" s="13">
        <f t="shared" si="37"/>
        <v>3.282602608711652</v>
      </c>
      <c r="BG10" s="20">
        <f t="shared" si="7"/>
        <v>21.784993869357283</v>
      </c>
      <c r="BH10" s="59">
        <f t="shared" si="8"/>
        <v>205.90917480509353</v>
      </c>
      <c r="BI10" s="59">
        <f ca="1">AVERAGE(OFFSET($BH$3,0,0,'Données projet'!$E$11+1,1))-AVERAGE(OFFSET($H$3,0,0,'Données projet'!$E$11+1,1))</f>
        <v>364.64276939439014</v>
      </c>
      <c r="BJ10" s="59">
        <f t="shared" si="38"/>
        <v>341.7578598026638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7.333333333333333</v>
      </c>
      <c r="BY10" s="12">
        <f>IF('Données projet'!$A$114&gt;35,BY9+BX10-CG9,IF(A10&lt;'Données projet'!$A$114,$BV$205^A10,IF(A10='Données projet'!$A$114,'Données projet'!$B$114,BY9+BX10-CG9)))</f>
        <v>8.9670567798205276</v>
      </c>
      <c r="BZ10" s="13">
        <f>BY10*VLOOKUP('Données projet'!$B$12,Paramètres!$A$1:$I$89,3,0)*VLOOKUP('Données projet'!$B$12,Paramètres!$A$1:$I$89,5,0)</f>
        <v>5.3622999543326761</v>
      </c>
      <c r="CA10" s="13">
        <f t="shared" si="39"/>
        <v>2.032388365582547</v>
      </c>
      <c r="CB10" s="20">
        <f t="shared" si="10"/>
        <v>12.87908215718568</v>
      </c>
      <c r="CC10" s="59">
        <f t="shared" si="11"/>
        <v>197.00326309292191</v>
      </c>
      <c r="CD10" s="59">
        <f ca="1">AVERAGE(OFFSET($CC$3,0,0,'Données projet'!$E$12+1,1))-AVERAGE(OFFSET($H$3,0,0,'Données projet'!$E$12+1,1))</f>
        <v>435.81281313761326</v>
      </c>
      <c r="CE10" s="59">
        <f t="shared" si="40"/>
        <v>460.93390058676493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</v>
      </c>
      <c r="CT10" s="12">
        <f>IF('Données projet'!$A$140&gt;35,CT9+CS10-DB9,IF(A10&lt;'Données projet'!$A$140,$CQ$205^A10,IF(A10='Données projet'!$A$140,'Données projet'!$B$140,CT9+CS10-DB9)))</f>
        <v>5.6382562823625264</v>
      </c>
      <c r="CU10" s="17">
        <f>CT10*VLOOKUP('Données projet'!$B$13,Paramètres!$A$1:$I$89,3,0)*VLOOKUP('Données projet'!$B$13,Paramètres!$A$1:$I$89,5,0)</f>
        <v>2.6387039401456627</v>
      </c>
      <c r="CV10" s="13">
        <f t="shared" si="41"/>
        <v>1.0861576289918606</v>
      </c>
      <c r="CW10" s="20">
        <f t="shared" si="13"/>
        <v>6.4874672329145193</v>
      </c>
      <c r="CX10" s="59">
        <f t="shared" si="14"/>
        <v>190.61164816865076</v>
      </c>
      <c r="CY10" s="59">
        <f ca="1">AVERAGE(OFFSET($CX$3,0,0,'Données projet'!$E$13+1,1))-AVERAGE(OFFSET($H$3,0,0,'Données projet'!$E$13+1,1))</f>
        <v>379.16472924112111</v>
      </c>
      <c r="CZ10" s="59">
        <f t="shared" si="42"/>
        <v>273.18950868898253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4.1333333333333337</v>
      </c>
      <c r="DO10" s="12">
        <f>IF('Données projet'!$A$166&gt;35,DO9+DN10-DW9,IF(A10&lt;'Données projet'!$A$166,$DL$205^A10,IF(A10='Données projet'!$A$166,'Données projet'!$B$166,DO9+DN10-DW9)))</f>
        <v>6.8619801133909482</v>
      </c>
      <c r="DP10" s="17">
        <f>DO10*VLOOKUP('Données projet'!$B$14,Paramètres!$A$1:$I$89,3,0)*VLOOKUP('Données projet'!$B$14,Paramètres!$A$1:$I$89,5,0)</f>
        <v>2.7653779856965519</v>
      </c>
      <c r="DQ10" s="13">
        <f t="shared" si="43"/>
        <v>1.1321040450959328</v>
      </c>
      <c r="DR10" s="20">
        <f t="shared" si="16"/>
        <v>6.7881145369635769</v>
      </c>
      <c r="DS10" s="59">
        <f t="shared" si="17"/>
        <v>190.91229547269981</v>
      </c>
      <c r="DT10" s="59">
        <f ca="1">AVERAGE(OFFSET($DS$3,0,0,'Données projet'!$E$14+1,1))-AVERAGE(OFFSET($H$3,0,0,'Données projet'!$E$14+1,1))</f>
        <v>419.35339339286082</v>
      </c>
      <c r="DU10" s="59">
        <f t="shared" si="44"/>
        <v>359.03308141414709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5.4666666666666668</v>
      </c>
      <c r="EJ10" s="12">
        <f>IF('Données projet'!$A$192&gt;35,EJ9+EI10-ER9,IF(A10&lt;'Données projet'!$A$192,$EG$205^A10,IF(A10='Données projet'!$A$192,'Données projet'!$B$192,EJ9+EI10-ER9)))</f>
        <v>7.8183144047360775</v>
      </c>
      <c r="EK10" s="17">
        <f>EJ10*VLOOKUP('Données projet'!$B$15,Paramètres!$A$1:$I$89,3,0)*VLOOKUP('Données projet'!$B$15,Paramètres!$A$1:$I$89,5,0)</f>
        <v>3.4556949668933465</v>
      </c>
      <c r="EL10" s="13">
        <f t="shared" si="45"/>
        <v>1.3784846826876798</v>
      </c>
      <c r="EM10" s="20">
        <f t="shared" si="19"/>
        <v>8.4195295563536181</v>
      </c>
      <c r="EN10" s="59">
        <f t="shared" si="20"/>
        <v>192.54371049208984</v>
      </c>
      <c r="EO10" s="59">
        <f ca="1">AVERAGE(OFFSET($EN$3,0,0,'Données projet'!$E$15+1,1))-AVERAGE(OFFSET($H$3,0,0,'Données projet'!$E$15+1,1))</f>
        <v>561.50881628354409</v>
      </c>
      <c r="EP10" s="59">
        <f t="shared" si="46"/>
        <v>468.67708352238458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198.86752730846644</v>
      </c>
      <c r="S11" s="59">
        <f ca="1">AVERAGE(OFFSET($R$3,0,0,'Données projet'!$E$9+1,1))-AVERAGE(OFFSET($H$3,0,0,'Données projet'!$E$9+1,1))</f>
        <v>484.04602944257209</v>
      </c>
      <c r="T11" s="59">
        <f t="shared" si="34"/>
        <v>297.32483725004124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5.0786370265719523</v>
      </c>
      <c r="AK11" s="13">
        <f t="shared" si="35"/>
        <v>1.9370920929558988</v>
      </c>
      <c r="AL11" s="20">
        <f t="shared" si="4"/>
        <v>12.219061549844341</v>
      </c>
      <c r="AM11" s="59">
        <f t="shared" si="5"/>
        <v>198.97233441606488</v>
      </c>
      <c r="AN11" s="59">
        <f ca="1">AVERAGE(OFFSET($AM$3,0,0,'Données projet'!$E$10+1,1))-AVERAGE(OFFSET($H$3,0,0,'Données projet'!$E$10+1,1))</f>
        <v>493.74122500490859</v>
      </c>
      <c r="AO11" s="59">
        <f t="shared" si="36"/>
        <v>299.43985151679692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12.919063225992881</v>
      </c>
      <c r="BF11" s="13">
        <f t="shared" si="37"/>
        <v>4.4201376828121335</v>
      </c>
      <c r="BG11" s="20">
        <f t="shared" si="7"/>
        <v>30.199108249502064</v>
      </c>
      <c r="BH11" s="59">
        <f t="shared" si="8"/>
        <v>216.95238111572263</v>
      </c>
      <c r="BI11" s="59">
        <f ca="1">AVERAGE(OFFSET($BH$3,0,0,'Données projet'!$E$11+1,1))-AVERAGE(OFFSET($H$3,0,0,'Données projet'!$E$11+1,1))</f>
        <v>364.64276939439014</v>
      </c>
      <c r="BJ11" s="59">
        <f t="shared" si="38"/>
        <v>341.7578598026638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7.333333333333333</v>
      </c>
      <c r="BY11" s="12">
        <f>IF('Données projet'!$A$114&gt;35,BY10+BX11-CG10,IF(A11&lt;'Données projet'!$A$114,$BV$205^A11,IF(A11='Données projet'!$A$114,'Données projet'!$B$114,BY10+BX11-CG10)))</f>
        <v>12.26712428625903</v>
      </c>
      <c r="BZ11" s="13">
        <f>BY11*VLOOKUP('Données projet'!$B$12,Paramètres!$A$1:$I$89,3,0)*VLOOKUP('Données projet'!$B$12,Paramètres!$A$1:$I$89,5,0)</f>
        <v>7.3357403231829004</v>
      </c>
      <c r="CA11" s="13">
        <f t="shared" si="39"/>
        <v>2.6807624928913736</v>
      </c>
      <c r="CB11" s="20">
        <f t="shared" si="10"/>
        <v>17.445409071329362</v>
      </c>
      <c r="CC11" s="59">
        <f t="shared" si="11"/>
        <v>204.19868193754991</v>
      </c>
      <c r="CD11" s="59">
        <f ca="1">AVERAGE(OFFSET($CC$3,0,0,'Données projet'!$E$12+1,1))-AVERAGE(OFFSET($H$3,0,0,'Données projet'!$E$12+1,1))</f>
        <v>435.81281313761326</v>
      </c>
      <c r="CE11" s="59">
        <f t="shared" si="40"/>
        <v>460.93390058676493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</v>
      </c>
      <c r="CT11" s="12">
        <f>IF('Données projet'!$A$140&gt;35,CT10+CS11-DB10,IF(A11&lt;'Données projet'!$A$140,$CQ$205^A11,IF(A11='Données projet'!$A$140,'Données projet'!$B$140,CT10+CS11-DB10)))</f>
        <v>7.2185706980175075</v>
      </c>
      <c r="CU11" s="17">
        <f>CT11*VLOOKUP('Données projet'!$B$13,Paramètres!$A$1:$I$89,3,0)*VLOOKUP('Données projet'!$B$13,Paramètres!$A$1:$I$89,5,0)</f>
        <v>3.3782910866721938</v>
      </c>
      <c r="CV11" s="13">
        <f t="shared" si="41"/>
        <v>1.3511662651455716</v>
      </c>
      <c r="CW11" s="20">
        <f t="shared" si="13"/>
        <v>8.2371382210826081</v>
      </c>
      <c r="CX11" s="59">
        <f t="shared" si="14"/>
        <v>194.99041108730316</v>
      </c>
      <c r="CY11" s="59">
        <f ca="1">AVERAGE(OFFSET($CX$3,0,0,'Données projet'!$E$13+1,1))-AVERAGE(OFFSET($H$3,0,0,'Données projet'!$E$13+1,1))</f>
        <v>379.16472924112111</v>
      </c>
      <c r="CZ11" s="59">
        <f t="shared" si="42"/>
        <v>273.18950868898253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4.1333333333333337</v>
      </c>
      <c r="DO11" s="12">
        <f>IF('Données projet'!$A$166&gt;35,DO10+DN11-DW10,IF(A11&lt;'Données projet'!$A$166,$DL$205^A11,IF(A11='Données projet'!$A$166,'Données projet'!$B$166,DO10+DN11-DW10)))</f>
        <v>9.0352928710779814</v>
      </c>
      <c r="DP11" s="17">
        <f>DO11*VLOOKUP('Données projet'!$B$14,Paramètres!$A$1:$I$89,3,0)*VLOOKUP('Données projet'!$B$14,Paramètres!$A$1:$I$89,5,0)</f>
        <v>3.6412230270444268</v>
      </c>
      <c r="DQ11" s="13">
        <f t="shared" si="43"/>
        <v>1.443677413549314</v>
      </c>
      <c r="DR11" s="20">
        <f t="shared" si="16"/>
        <v>8.8562016007007642</v>
      </c>
      <c r="DS11" s="59">
        <f t="shared" si="17"/>
        <v>195.60947446692131</v>
      </c>
      <c r="DT11" s="59">
        <f ca="1">AVERAGE(OFFSET($DS$3,0,0,'Données projet'!$E$14+1,1))-AVERAGE(OFFSET($H$3,0,0,'Données projet'!$E$14+1,1))</f>
        <v>419.35339339286082</v>
      </c>
      <c r="DU11" s="59">
        <f t="shared" si="44"/>
        <v>359.03308141414709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5.4666666666666668</v>
      </c>
      <c r="EJ11" s="12">
        <f>IF('Données projet'!$A$192&gt;35,EJ10+EI11-ER10,IF(A11&lt;'Données projet'!$A$192,$EG$205^A11,IF(A11='Données projet'!$A$192,'Données projet'!$B$192,EJ10+EI11-ER10)))</f>
        <v>10.488194226408588</v>
      </c>
      <c r="EK11" s="17">
        <f>EJ11*VLOOKUP('Données projet'!$B$15,Paramètres!$A$1:$I$89,3,0)*VLOOKUP('Données projet'!$B$15,Paramètres!$A$1:$I$89,5,0)</f>
        <v>4.6357818480725959</v>
      </c>
      <c r="EL11" s="13">
        <f t="shared" si="45"/>
        <v>1.7870567300292264</v>
      </c>
      <c r="EM11" s="20">
        <f t="shared" si="19"/>
        <v>11.186443856860672</v>
      </c>
      <c r="EN11" s="59">
        <f t="shared" si="20"/>
        <v>197.93971672308123</v>
      </c>
      <c r="EO11" s="59">
        <f ca="1">AVERAGE(OFFSET($EN$3,0,0,'Données projet'!$E$15+1,1))-AVERAGE(OFFSET($H$3,0,0,'Données projet'!$E$15+1,1))</f>
        <v>561.50881628354409</v>
      </c>
      <c r="EP11" s="59">
        <f t="shared" si="46"/>
        <v>468.67708352238458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204.26849655299031</v>
      </c>
      <c r="S12" s="59">
        <f ca="1">AVERAGE(OFFSET($R$3,0,0,'Données projet'!$E$9+1,1))-AVERAGE(OFFSET($H$3,0,0,'Données projet'!$E$9+1,1))</f>
        <v>484.04602944257209</v>
      </c>
      <c r="T12" s="59">
        <f t="shared" si="34"/>
        <v>297.32483725004124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6.1222299718989444</v>
      </c>
      <c r="AK12" s="13">
        <f t="shared" si="35"/>
        <v>2.2848906580585888</v>
      </c>
      <c r="AL12" s="20">
        <f t="shared" si="4"/>
        <v>14.642401763842701</v>
      </c>
      <c r="AM12" s="59">
        <f t="shared" si="5"/>
        <v>204.00036051639879</v>
      </c>
      <c r="AN12" s="59">
        <f ca="1">AVERAGE(OFFSET($AM$3,0,0,'Données projet'!$E$10+1,1))-AVERAGE(OFFSET($H$3,0,0,'Données projet'!$E$10+1,1))</f>
        <v>493.74122500490859</v>
      </c>
      <c r="AO12" s="59">
        <f t="shared" si="36"/>
        <v>299.43985151679692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18.091343659125879</v>
      </c>
      <c r="BF12" s="13">
        <f t="shared" si="37"/>
        <v>5.9518679121149844</v>
      </c>
      <c r="BG12" s="20">
        <f t="shared" si="7"/>
        <v>41.875260153244504</v>
      </c>
      <c r="BH12" s="59">
        <f t="shared" si="8"/>
        <v>231.23321890580058</v>
      </c>
      <c r="BI12" s="59">
        <f ca="1">AVERAGE(OFFSET($BH$3,0,0,'Données projet'!$E$11+1,1))-AVERAGE(OFFSET($H$3,0,0,'Données projet'!$E$11+1,1))</f>
        <v>364.64276939439014</v>
      </c>
      <c r="BJ12" s="59">
        <f t="shared" si="38"/>
        <v>341.7578598026638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7.333333333333333</v>
      </c>
      <c r="BY12" s="12">
        <f>IF('Données projet'!$A$114&gt;35,BY11+BX12-CG11,IF(A12&lt;'Données projet'!$A$114,$BV$205^A12,IF(A12='Données projet'!$A$114,'Données projet'!$B$114,BY11+BX12-CG11)))</f>
        <v>16.781686784137655</v>
      </c>
      <c r="BZ12" s="13">
        <f>BY12*VLOOKUP('Données projet'!$B$12,Paramètres!$A$1:$I$89,3,0)*VLOOKUP('Données projet'!$B$12,Paramètres!$A$1:$I$89,5,0)</f>
        <v>10.035448696914319</v>
      </c>
      <c r="CA12" s="13">
        <f t="shared" si="39"/>
        <v>3.5359814418310247</v>
      </c>
      <c r="CB12" s="20">
        <f t="shared" si="10"/>
        <v>23.636907491648142</v>
      </c>
      <c r="CC12" s="59">
        <f t="shared" si="11"/>
        <v>212.99486624420422</v>
      </c>
      <c r="CD12" s="59">
        <f ca="1">AVERAGE(OFFSET($CC$3,0,0,'Données projet'!$E$12+1,1))-AVERAGE(OFFSET($H$3,0,0,'Données projet'!$E$12+1,1))</f>
        <v>435.81281313761326</v>
      </c>
      <c r="CE12" s="59">
        <f t="shared" si="40"/>
        <v>460.93390058676493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</v>
      </c>
      <c r="CT12" s="12">
        <f>IF('Données projet'!$A$140&gt;35,CT11+CS12-DB11,IF(A12&lt;'Données projet'!$A$140,$CQ$205^A12,IF(A12='Données projet'!$A$140,'Données projet'!$B$140,CT11+CS12-DB11)))</f>
        <v>9.2418223494521463</v>
      </c>
      <c r="CU12" s="17">
        <f>CT12*VLOOKUP('Données projet'!$B$13,Paramètres!$A$1:$I$89,3,0)*VLOOKUP('Données projet'!$B$13,Paramètres!$A$1:$I$89,5,0)</f>
        <v>4.3251728595436045</v>
      </c>
      <c r="CV12" s="13">
        <f t="shared" si="41"/>
        <v>1.6808336353186117</v>
      </c>
      <c r="CW12" s="20">
        <f t="shared" si="13"/>
        <v>10.460461311885025</v>
      </c>
      <c r="CX12" s="59">
        <f t="shared" si="14"/>
        <v>199.81842006444109</v>
      </c>
      <c r="CY12" s="59">
        <f ca="1">AVERAGE(OFFSET($CX$3,0,0,'Données projet'!$E$13+1,1))-AVERAGE(OFFSET($H$3,0,0,'Données projet'!$E$13+1,1))</f>
        <v>379.16472924112111</v>
      </c>
      <c r="CZ12" s="59">
        <f t="shared" si="42"/>
        <v>273.18950868898253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4.1333333333333337</v>
      </c>
      <c r="DO12" s="12">
        <f>IF('Données projet'!$A$166&gt;35,DO11+DN12-DW11,IF(A12&lt;'Données projet'!$A$166,$DL$205^A12,IF(A12='Données projet'!$A$166,'Données projet'!$B$166,DO11+DN12-DW11)))</f>
        <v>11.896932943137122</v>
      </c>
      <c r="DP12" s="17">
        <f>DO12*VLOOKUP('Données projet'!$B$14,Paramètres!$A$1:$I$89,3,0)*VLOOKUP('Données projet'!$B$14,Paramètres!$A$1:$I$89,5,0)</f>
        <v>4.7944639760842609</v>
      </c>
      <c r="DQ12" s="13">
        <f t="shared" si="43"/>
        <v>1.8410008191568863</v>
      </c>
      <c r="DR12" s="20">
        <f t="shared" si="16"/>
        <v>11.556767851711664</v>
      </c>
      <c r="DS12" s="59">
        <f t="shared" si="17"/>
        <v>200.91472660426774</v>
      </c>
      <c r="DT12" s="59">
        <f ca="1">AVERAGE(OFFSET($DS$3,0,0,'Données projet'!$E$14+1,1))-AVERAGE(OFFSET($H$3,0,0,'Données projet'!$E$14+1,1))</f>
        <v>419.35339339286082</v>
      </c>
      <c r="DU12" s="59">
        <f t="shared" si="44"/>
        <v>359.03308141414709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5.4666666666666668</v>
      </c>
      <c r="EJ12" s="12">
        <f>IF('Données projet'!$A$192&gt;35,EJ11+EI12-ER11,IF(A12&lt;'Données projet'!$A$192,$EG$205^A12,IF(A12='Données projet'!$A$192,'Données projet'!$B$192,EJ11+EI12-ER11)))</f>
        <v>14.0698125499065</v>
      </c>
      <c r="EK12" s="17">
        <f>EJ12*VLOOKUP('Données projet'!$B$15,Paramètres!$A$1:$I$89,3,0)*VLOOKUP('Données projet'!$B$15,Paramètres!$A$1:$I$89,5,0)</f>
        <v>6.2188571470586735</v>
      </c>
      <c r="EL12" s="13">
        <f t="shared" si="45"/>
        <v>2.3167263274308816</v>
      </c>
      <c r="EM12" s="20">
        <f t="shared" si="19"/>
        <v>14.866141218069309</v>
      </c>
      <c r="EN12" s="59">
        <f t="shared" si="20"/>
        <v>204.22409997062539</v>
      </c>
      <c r="EO12" s="59">
        <f ca="1">AVERAGE(OFFSET($EN$3,0,0,'Données projet'!$E$15+1,1))-AVERAGE(OFFSET($H$3,0,0,'Données projet'!$E$15+1,1))</f>
        <v>561.50881628354409</v>
      </c>
      <c r="EP12" s="59">
        <f t="shared" si="46"/>
        <v>468.67708352238458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210.29320032238616</v>
      </c>
      <c r="S13" s="59">
        <f ca="1">AVERAGE(OFFSET($R$3,0,0,'Données projet'!$E$9+1,1))-AVERAGE(OFFSET($H$3,0,0,'Données projet'!$E$9+1,1))</f>
        <v>484.04602944257209</v>
      </c>
      <c r="T13" s="59">
        <f t="shared" si="34"/>
        <v>297.32483725004124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7.3802675073468773</v>
      </c>
      <c r="AK13" s="13">
        <f t="shared" si="35"/>
        <v>2.6951353207564148</v>
      </c>
      <c r="AL13" s="20">
        <f t="shared" si="4"/>
        <v>17.547993258946569</v>
      </c>
      <c r="AM13" s="59">
        <f t="shared" si="5"/>
        <v>209.48665524399146</v>
      </c>
      <c r="AN13" s="59">
        <f ca="1">AVERAGE(OFFSET($AM$3,0,0,'Données projet'!$E$10+1,1))-AVERAGE(OFFSET($H$3,0,0,'Données projet'!$E$10+1,1))</f>
        <v>493.74122500490859</v>
      </c>
      <c r="AO13" s="59">
        <f t="shared" si="36"/>
        <v>299.43985151679692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25.334400000000002</v>
      </c>
      <c r="BF13" s="13">
        <f t="shared" si="37"/>
        <v>8.0143955200794572</v>
      </c>
      <c r="BG13" s="20">
        <f t="shared" si="7"/>
        <v>58.082485530805059</v>
      </c>
      <c r="BH13" s="59">
        <f t="shared" si="8"/>
        <v>250.02114751584995</v>
      </c>
      <c r="BI13" s="59">
        <f ca="1">AVERAGE(OFFSET($BH$3,0,0,'Données projet'!$E$11+1,1))-AVERAGE(OFFSET($H$3,0,0,'Données projet'!$E$11+1,1))</f>
        <v>364.64276939439014</v>
      </c>
      <c r="BJ13" s="59">
        <f t="shared" si="38"/>
        <v>341.7578598026638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7.333333333333333</v>
      </c>
      <c r="BY13" s="12">
        <f>IF('Données projet'!$A$114&gt;35,BY12+BX13-CG12,IF(A13&lt;'Données projet'!$A$114,$BV$205^A13,IF(A13='Données projet'!$A$114,'Données projet'!$B$114,BY12+BX13-CG12)))</f>
        <v>22.95770424665556</v>
      </c>
      <c r="BZ13" s="13">
        <f>BY13*VLOOKUP('Données projet'!$B$12,Paramètres!$A$1:$I$89,3,0)*VLOOKUP('Données projet'!$B$12,Paramètres!$A$1:$I$89,5,0)</f>
        <v>13.728707139500026</v>
      </c>
      <c r="CA13" s="13">
        <f t="shared" si="39"/>
        <v>4.6640330093129414</v>
      </c>
      <c r="CB13" s="20">
        <f t="shared" si="10"/>
        <v>32.034022425849251</v>
      </c>
      <c r="CC13" s="59">
        <f t="shared" si="11"/>
        <v>223.97268441089415</v>
      </c>
      <c r="CD13" s="59">
        <f ca="1">AVERAGE(OFFSET($CC$3,0,0,'Données projet'!$E$12+1,1))-AVERAGE(OFFSET($H$3,0,0,'Données projet'!$E$12+1,1))</f>
        <v>435.81281313761326</v>
      </c>
      <c r="CE13" s="59">
        <f t="shared" si="40"/>
        <v>460.93390058676493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</v>
      </c>
      <c r="CT13" s="12">
        <f>IF('Données projet'!$A$140&gt;35,CT12+CS13-DB12,IF(A13&lt;'Données projet'!$A$140,$CQ$205^A13,IF(A13='Données projet'!$A$140,'Données projet'!$B$140,CT12+CS13-DB12)))</f>
        <v>11.832159566199214</v>
      </c>
      <c r="CU13" s="17">
        <f>CT13*VLOOKUP('Données projet'!$B$13,Paramètres!$A$1:$I$89,3,0)*VLOOKUP('Données projet'!$B$13,Paramètres!$A$1:$I$89,5,0)</f>
        <v>5.5374506769812326</v>
      </c>
      <c r="CV13" s="13">
        <f t="shared" si="41"/>
        <v>2.090935647593303</v>
      </c>
      <c r="CW13" s="20">
        <f t="shared" si="13"/>
        <v>13.286106181967314</v>
      </c>
      <c r="CX13" s="59">
        <f t="shared" si="14"/>
        <v>205.2247681670122</v>
      </c>
      <c r="CY13" s="59">
        <f ca="1">AVERAGE(OFFSET($CX$3,0,0,'Données projet'!$E$13+1,1))-AVERAGE(OFFSET($H$3,0,0,'Données projet'!$E$13+1,1))</f>
        <v>379.16472924112111</v>
      </c>
      <c r="CZ13" s="59">
        <f t="shared" si="42"/>
        <v>273.18950868898253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4.1333333333333337</v>
      </c>
      <c r="DO13" s="12">
        <f>IF('Données projet'!$A$166&gt;35,DO12+DN13-DW12,IF(A13&lt;'Données projet'!$A$166,$DL$205^A13,IF(A13='Données projet'!$A$166,'Données projet'!$B$166,DO12+DN13-DW12)))</f>
        <v>15.664905993978572</v>
      </c>
      <c r="DP13" s="17">
        <f>DO13*VLOOKUP('Données projet'!$B$14,Paramètres!$A$1:$I$89,3,0)*VLOOKUP('Données projet'!$B$14,Paramètres!$A$1:$I$89,5,0)</f>
        <v>6.3129571155733641</v>
      </c>
      <c r="DQ13" s="13">
        <f t="shared" si="43"/>
        <v>2.3476740609272904</v>
      </c>
      <c r="DR13" s="20">
        <f t="shared" si="16"/>
        <v>15.083932632405306</v>
      </c>
      <c r="DS13" s="59">
        <f t="shared" si="17"/>
        <v>207.02259461745018</v>
      </c>
      <c r="DT13" s="59">
        <f ca="1">AVERAGE(OFFSET($DS$3,0,0,'Données projet'!$E$14+1,1))-AVERAGE(OFFSET($H$3,0,0,'Données projet'!$E$14+1,1))</f>
        <v>419.35339339286082</v>
      </c>
      <c r="DU13" s="59">
        <f t="shared" si="44"/>
        <v>359.03308141414709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5.4666666666666668</v>
      </c>
      <c r="EJ13" s="12">
        <f>IF('Données projet'!$A$192&gt;35,EJ12+EI13-ER12,IF(A13&lt;'Données projet'!$A$192,$EG$205^A13,IF(A13='Données projet'!$A$192,'Données projet'!$B$192,EJ12+EI13-ER12)))</f>
        <v>18.87451938018625</v>
      </c>
      <c r="EK13" s="17">
        <f>EJ13*VLOOKUP('Données projet'!$B$15,Paramètres!$A$1:$I$89,3,0)*VLOOKUP('Données projet'!$B$15,Paramètres!$A$1:$I$89,5,0)</f>
        <v>8.3425375660423242</v>
      </c>
      <c r="EL13" s="13">
        <f t="shared" si="45"/>
        <v>3.0033858388611989</v>
      </c>
      <c r="EM13" s="20">
        <f t="shared" si="19"/>
        <v>19.760816596873635</v>
      </c>
      <c r="EN13" s="59">
        <f t="shared" si="20"/>
        <v>211.69947858191853</v>
      </c>
      <c r="EO13" s="59">
        <f ca="1">AVERAGE(OFFSET($EN$3,0,0,'Données projet'!$E$15+1,1))-AVERAGE(OFFSET($H$3,0,0,'Données projet'!$E$15+1,1))</f>
        <v>561.50881628354409</v>
      </c>
      <c r="EP13" s="59">
        <f t="shared" si="46"/>
        <v>468.67708352238458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217.09257815700823</v>
      </c>
      <c r="S14" s="59">
        <f ca="1">AVERAGE(OFFSET($R$3,0,0,'Données projet'!$E$9+1,1))-AVERAGE(OFFSET($H$3,0,0,'Données projet'!$E$9+1,1))</f>
        <v>484.04602944257209</v>
      </c>
      <c r="T14" s="59">
        <f t="shared" si="34"/>
        <v>297.32483725004124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8.8968151686574988</v>
      </c>
      <c r="AK14" s="13">
        <f t="shared" si="35"/>
        <v>3.1790380741285023</v>
      </c>
      <c r="AL14" s="20">
        <f t="shared" si="4"/>
        <v>21.032111064518954</v>
      </c>
      <c r="AM14" s="59">
        <f t="shared" si="5"/>
        <v>215.52790967363308</v>
      </c>
      <c r="AN14" s="59">
        <f ca="1">AVERAGE(OFFSET($AM$3,0,0,'Données projet'!$E$10+1,1))-AVERAGE(OFFSET($H$3,0,0,'Données projet'!$E$10+1,1))</f>
        <v>493.74122500490859</v>
      </c>
      <c r="AO14" s="59">
        <f t="shared" si="36"/>
        <v>299.43985151679692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33.022080000000003</v>
      </c>
      <c r="BF14" s="13">
        <f t="shared" si="37"/>
        <v>10.129025278332465</v>
      </c>
      <c r="BG14" s="20">
        <f t="shared" si="7"/>
        <v>75.154841693095705</v>
      </c>
      <c r="BH14" s="59">
        <f t="shared" si="8"/>
        <v>269.65064030220981</v>
      </c>
      <c r="BI14" s="59">
        <f ca="1">AVERAGE(OFFSET($BH$3,0,0,'Données projet'!$E$11+1,1))-AVERAGE(OFFSET($H$3,0,0,'Données projet'!$E$11+1,1))</f>
        <v>364.64276939439014</v>
      </c>
      <c r="BJ14" s="59">
        <f t="shared" si="38"/>
        <v>341.7578598026638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7.333333333333333</v>
      </c>
      <c r="BY14" s="12">
        <f>IF('Données projet'!$A$114&gt;35,BY13+BX14-CG13,IF(A14&lt;'Données projet'!$A$114,$BV$205^A14,IF(A14='Données projet'!$A$114,'Données projet'!$B$114,BY13+BX14-CG13)))</f>
        <v>31.406627418114457</v>
      </c>
      <c r="BZ14" s="13">
        <f>BY14*VLOOKUP('Données projet'!$B$12,Paramètres!$A$1:$I$89,3,0)*VLOOKUP('Données projet'!$B$12,Paramètres!$A$1:$I$89,5,0)</f>
        <v>18.781163196032448</v>
      </c>
      <c r="CA14" s="13">
        <f t="shared" si="39"/>
        <v>6.1519564708734276</v>
      </c>
      <c r="CB14" s="20">
        <f t="shared" si="10"/>
        <v>43.425183419861064</v>
      </c>
      <c r="CC14" s="59">
        <f t="shared" si="11"/>
        <v>237.9209820289752</v>
      </c>
      <c r="CD14" s="59">
        <f ca="1">AVERAGE(OFFSET($CC$3,0,0,'Données projet'!$E$12+1,1))-AVERAGE(OFFSET($H$3,0,0,'Données projet'!$E$12+1,1))</f>
        <v>435.81281313761326</v>
      </c>
      <c r="CE14" s="59">
        <f t="shared" si="40"/>
        <v>460.93390058676493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</v>
      </c>
      <c r="CT14" s="12">
        <f>IF('Données projet'!$A$140&gt;35,CT13+CS14-DB13,IF(A14&lt;'Données projet'!$A$140,$CQ$205^A14,IF(A14='Données projet'!$A$140,'Données projet'!$B$140,CT13+CS14-DB13)))</f>
        <v>15.148527498832387</v>
      </c>
      <c r="CU14" s="17">
        <f>CT14*VLOOKUP('Données projet'!$B$13,Paramètres!$A$1:$I$89,3,0)*VLOOKUP('Données projet'!$B$13,Paramètres!$A$1:$I$89,5,0)</f>
        <v>7.0895108694535569</v>
      </c>
      <c r="CV14" s="13">
        <f t="shared" si="41"/>
        <v>2.6010973308180407</v>
      </c>
      <c r="CW14" s="20">
        <f t="shared" si="13"/>
        <v>16.877809282139697</v>
      </c>
      <c r="CX14" s="59">
        <f t="shared" si="14"/>
        <v>211.37360789125384</v>
      </c>
      <c r="CY14" s="59">
        <f ca="1">AVERAGE(OFFSET($CX$3,0,0,'Données projet'!$E$13+1,1))-AVERAGE(OFFSET($H$3,0,0,'Données projet'!$E$13+1,1))</f>
        <v>379.16472924112111</v>
      </c>
      <c r="CZ14" s="59">
        <f t="shared" si="42"/>
        <v>273.18950868898253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4.1333333333333337</v>
      </c>
      <c r="DO14" s="12">
        <f>IF('Données projet'!$A$166&gt;35,DO13+DN14-DW13,IF(A14&lt;'Données projet'!$A$166,$DL$205^A14,IF(A14='Données projet'!$A$166,'Données projet'!$B$166,DO13+DN14-DW13)))</f>
        <v>20.626264010485261</v>
      </c>
      <c r="DP14" s="17">
        <f>DO14*VLOOKUP('Données projet'!$B$14,Paramètres!$A$1:$I$89,3,0)*VLOOKUP('Données projet'!$B$14,Paramètres!$A$1:$I$89,5,0)</f>
        <v>8.3123843962255606</v>
      </c>
      <c r="DQ14" s="13">
        <f t="shared" si="43"/>
        <v>2.9937919847721424</v>
      </c>
      <c r="DR14" s="20">
        <f t="shared" si="16"/>
        <v>19.691590530237665</v>
      </c>
      <c r="DS14" s="59">
        <f t="shared" si="17"/>
        <v>214.18738913935181</v>
      </c>
      <c r="DT14" s="59">
        <f ca="1">AVERAGE(OFFSET($DS$3,0,0,'Données projet'!$E$14+1,1))-AVERAGE(OFFSET($H$3,0,0,'Données projet'!$E$14+1,1))</f>
        <v>419.35339339286082</v>
      </c>
      <c r="DU14" s="59">
        <f t="shared" si="44"/>
        <v>359.03308141414709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5.4666666666666668</v>
      </c>
      <c r="EJ14" s="12">
        <f>IF('Données projet'!$A$192&gt;35,EJ13+EI14-ER13,IF(A14&lt;'Données projet'!$A$192,$EG$205^A14,IF(A14='Données projet'!$A$192,'Données projet'!$B$192,EJ13+EI14-ER13)))</f>
        <v>25.319987780177907</v>
      </c>
      <c r="EK14" s="17">
        <f>EJ14*VLOOKUP('Données projet'!$B$15,Paramètres!$A$1:$I$89,3,0)*VLOOKUP('Données projet'!$B$15,Paramètres!$A$1:$I$89,5,0)</f>
        <v>11.191434598838637</v>
      </c>
      <c r="EL14" s="13">
        <f t="shared" si="45"/>
        <v>3.8935658434352129</v>
      </c>
      <c r="EM14" s="20">
        <f t="shared" si="19"/>
        <v>26.273042436960285</v>
      </c>
      <c r="EN14" s="59">
        <f t="shared" si="20"/>
        <v>220.76884104607441</v>
      </c>
      <c r="EO14" s="59">
        <f ca="1">AVERAGE(OFFSET($EN$3,0,0,'Données projet'!$E$15+1,1))-AVERAGE(OFFSET($H$3,0,0,'Données projet'!$E$15+1,1))</f>
        <v>561.50881628354409</v>
      </c>
      <c r="EP14" s="59">
        <f t="shared" si="46"/>
        <v>468.67708352238458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224.85264818290764</v>
      </c>
      <c r="S15" s="59">
        <f ca="1">AVERAGE(OFFSET($R$3,0,0,'Données projet'!$E$9+1,1))-AVERAGE(OFFSET($H$3,0,0,'Données projet'!$E$9+1,1))</f>
        <v>484.04602944257209</v>
      </c>
      <c r="T15" s="59">
        <f t="shared" si="34"/>
        <v>297.32483725004124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10.724993378147735</v>
      </c>
      <c r="AK15" s="13">
        <f t="shared" si="35"/>
        <v>3.7498239880297484</v>
      </c>
      <c r="AL15" s="20">
        <f t="shared" si="4"/>
        <v>25.210306912759112</v>
      </c>
      <c r="AM15" s="59">
        <f t="shared" si="5"/>
        <v>222.24008436549198</v>
      </c>
      <c r="AN15" s="59">
        <f ca="1">AVERAGE(OFFSET($AM$3,0,0,'Données projet'!$E$10+1,1))-AVERAGE(OFFSET($H$3,0,0,'Données projet'!$E$10+1,1))</f>
        <v>493.74122500490859</v>
      </c>
      <c r="AO15" s="59">
        <f t="shared" si="36"/>
        <v>299.43985151679692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40.709760000000003</v>
      </c>
      <c r="BF15" s="13">
        <f t="shared" si="37"/>
        <v>12.186575870088381</v>
      </c>
      <c r="BG15" s="20">
        <f t="shared" si="7"/>
        <v>92.127784973737278</v>
      </c>
      <c r="BH15" s="59">
        <f t="shared" si="8"/>
        <v>289.15756242647012</v>
      </c>
      <c r="BI15" s="59">
        <f ca="1">AVERAGE(OFFSET($BH$3,0,0,'Données projet'!$E$11+1,1))-AVERAGE(OFFSET($H$3,0,0,'Données projet'!$E$11+1,1))</f>
        <v>364.64276939439014</v>
      </c>
      <c r="BJ15" s="59">
        <f t="shared" si="38"/>
        <v>341.7578598026638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7.333333333333333</v>
      </c>
      <c r="BY15" s="12">
        <f>IF('Données projet'!$A$114&gt;35,BY14+BX15-CG14,IF(A15&lt;'Données projet'!$A$114,$BV$205^A15,IF(A15='Données projet'!$A$114,'Données projet'!$B$114,BY14+BX15-CG14)))</f>
        <v>42.964933914241549</v>
      </c>
      <c r="BZ15" s="13">
        <f>BY15*VLOOKUP('Données projet'!$B$12,Paramètres!$A$1:$I$89,3,0)*VLOOKUP('Données projet'!$B$12,Paramètres!$A$1:$I$89,5,0)</f>
        <v>25.693030480716448</v>
      </c>
      <c r="CA15" s="13">
        <f t="shared" si="39"/>
        <v>8.1145584398633126</v>
      </c>
      <c r="CB15" s="20">
        <f t="shared" si="10"/>
        <v>58.881550703343073</v>
      </c>
      <c r="CC15" s="59">
        <f t="shared" si="11"/>
        <v>255.91132815607594</v>
      </c>
      <c r="CD15" s="59">
        <f ca="1">AVERAGE(OFFSET($CC$3,0,0,'Données projet'!$E$12+1,1))-AVERAGE(OFFSET($H$3,0,0,'Données projet'!$E$12+1,1))</f>
        <v>435.81281313761326</v>
      </c>
      <c r="CE15" s="59">
        <f t="shared" si="40"/>
        <v>460.93390058676493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</v>
      </c>
      <c r="CT15" s="12">
        <f>IF('Données projet'!$A$140&gt;35,CT14+CS15-DB14,IF(A15&lt;'Données projet'!$A$140,$CQ$205^A15,IF(A15='Données projet'!$A$140,'Données projet'!$B$140,CT14+CS15-DB14)))</f>
        <v>19.394421119744504</v>
      </c>
      <c r="CU15" s="17">
        <f>CT15*VLOOKUP('Données projet'!$B$13,Paramètres!$A$1:$I$89,3,0)*VLOOKUP('Données projet'!$B$13,Paramètres!$A$1:$I$89,5,0)</f>
        <v>9.0765890840404282</v>
      </c>
      <c r="CV15" s="13">
        <f t="shared" si="41"/>
        <v>3.2357319710801056</v>
      </c>
      <c r="CW15" s="20">
        <f t="shared" si="13"/>
        <v>21.443959171001595</v>
      </c>
      <c r="CX15" s="59">
        <f t="shared" si="14"/>
        <v>218.47373662373445</v>
      </c>
      <c r="CY15" s="59">
        <f ca="1">AVERAGE(OFFSET($CX$3,0,0,'Données projet'!$E$13+1,1))-AVERAGE(OFFSET($H$3,0,0,'Données projet'!$E$13+1,1))</f>
        <v>379.16472924112111</v>
      </c>
      <c r="CZ15" s="59">
        <f t="shared" si="42"/>
        <v>273.18950868898253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4.1333333333333337</v>
      </c>
      <c r="DO15" s="12">
        <f>IF('Données projet'!$A$166&gt;35,DO14+DN15-DW14,IF(A15&lt;'Données projet'!$A$166,$DL$205^A15,IF(A15='Données projet'!$A$166,'Données projet'!$B$166,DO14+DN15-DW14)))</f>
        <v>27.158973516583853</v>
      </c>
      <c r="DP15" s="17">
        <f>DO15*VLOOKUP('Données projet'!$B$14,Paramètres!$A$1:$I$89,3,0)*VLOOKUP('Données projet'!$B$14,Paramètres!$A$1:$I$89,5,0)</f>
        <v>10.945066327183293</v>
      </c>
      <c r="DQ15" s="13">
        <f t="shared" si="43"/>
        <v>3.817732025605709</v>
      </c>
      <c r="DR15" s="20">
        <f t="shared" si="16"/>
        <v>25.711873797774174</v>
      </c>
      <c r="DS15" s="59">
        <f t="shared" si="17"/>
        <v>222.74165125050706</v>
      </c>
      <c r="DT15" s="59">
        <f ca="1">AVERAGE(OFFSET($DS$3,0,0,'Données projet'!$E$14+1,1))-AVERAGE(OFFSET($H$3,0,0,'Données projet'!$E$14+1,1))</f>
        <v>419.35339339286082</v>
      </c>
      <c r="DU15" s="59">
        <f t="shared" si="44"/>
        <v>359.03308141414709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5.4666666666666668</v>
      </c>
      <c r="EJ15" s="12">
        <f>IF('Données projet'!$A$192&gt;35,EJ14+EI15-ER14,IF(A15&lt;'Données projet'!$A$192,$EG$205^A15,IF(A15='Données projet'!$A$192,'Données projet'!$B$192,EJ14+EI15-ER14)))</f>
        <v>33.966522181293939</v>
      </c>
      <c r="EK15" s="17">
        <f>EJ15*VLOOKUP('Données projet'!$B$15,Paramètres!$A$1:$I$89,3,0)*VLOOKUP('Données projet'!$B$15,Paramètres!$A$1:$I$89,5,0)</f>
        <v>15.013202804131923</v>
      </c>
      <c r="EL15" s="13">
        <f t="shared" si="45"/>
        <v>5.0475882189394508</v>
      </c>
      <c r="EM15" s="20">
        <f t="shared" si="19"/>
        <v>34.939211031849304</v>
      </c>
      <c r="EN15" s="59">
        <f t="shared" si="20"/>
        <v>231.96898848458218</v>
      </c>
      <c r="EO15" s="59">
        <f ca="1">AVERAGE(OFFSET($EN$3,0,0,'Données projet'!$E$15+1,1))-AVERAGE(OFFSET($H$3,0,0,'Données projet'!$E$15+1,1))</f>
        <v>561.50881628354409</v>
      </c>
      <c r="EP15" s="59">
        <f t="shared" si="46"/>
        <v>468.67708352238458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233.80270813005566</v>
      </c>
      <c r="S16" s="59">
        <f ca="1">AVERAGE(OFFSET($R$3,0,0,'Données projet'!$E$9+1,1))-AVERAGE(OFFSET($H$3,0,0,'Données projet'!$E$9+1,1))</f>
        <v>484.04602944257209</v>
      </c>
      <c r="T16" s="59">
        <f t="shared" si="34"/>
        <v>297.32483725004124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12.928838104509001</v>
      </c>
      <c r="AK16" s="13">
        <f t="shared" si="35"/>
        <v>4.4230926504578099</v>
      </c>
      <c r="AL16" s="20">
        <f t="shared" si="4"/>
        <v>30.221279398233865</v>
      </c>
      <c r="AM16" s="59">
        <f t="shared" si="5"/>
        <v>229.76227964985267</v>
      </c>
      <c r="AN16" s="59">
        <f ca="1">AVERAGE(OFFSET($AM$3,0,0,'Données projet'!$E$10+1,1))-AVERAGE(OFFSET($H$3,0,0,'Données projet'!$E$10+1,1))</f>
        <v>493.74122500490859</v>
      </c>
      <c r="AO16" s="59">
        <f t="shared" si="36"/>
        <v>299.43985151679692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48.397439999999996</v>
      </c>
      <c r="BF16" s="13">
        <f t="shared" si="37"/>
        <v>14.199110166340073</v>
      </c>
      <c r="BG16" s="20">
        <f t="shared" si="7"/>
        <v>109.02232487304228</v>
      </c>
      <c r="BH16" s="59">
        <f t="shared" si="8"/>
        <v>308.56332512466111</v>
      </c>
      <c r="BI16" s="59">
        <f ca="1">AVERAGE(OFFSET($BH$3,0,0,'Données projet'!$E$11+1,1))-AVERAGE(OFFSET($H$3,0,0,'Données projet'!$E$11+1,1))</f>
        <v>364.64276939439014</v>
      </c>
      <c r="BJ16" s="59">
        <f t="shared" si="38"/>
        <v>341.7578598026638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7.333333333333333</v>
      </c>
      <c r="BY16" s="12">
        <f>IF('Données projet'!$A$114&gt;35,BY15+BX16-CG15,IF(A16&lt;'Données projet'!$A$114,$BV$205^A16,IF(A16='Données projet'!$A$114,'Données projet'!$B$114,BY15+BX16-CG15)))</f>
        <v>58.776942894238665</v>
      </c>
      <c r="BZ16" s="13">
        <f>BY16*VLOOKUP('Données projet'!$B$12,Paramètres!$A$1:$I$89,3,0)*VLOOKUP('Données projet'!$B$12,Paramètres!$A$1:$I$89,5,0)</f>
        <v>35.148611850754726</v>
      </c>
      <c r="CA16" s="13">
        <f t="shared" si="39"/>
        <v>10.703271225293379</v>
      </c>
      <c r="CB16" s="20">
        <f t="shared" si="10"/>
        <v>79.858696357450455</v>
      </c>
      <c r="CC16" s="59">
        <f t="shared" si="11"/>
        <v>279.39969660906928</v>
      </c>
      <c r="CD16" s="59">
        <f ca="1">AVERAGE(OFFSET($CC$3,0,0,'Données projet'!$E$12+1,1))-AVERAGE(OFFSET($H$3,0,0,'Données projet'!$E$12+1,1))</f>
        <v>435.81281313761326</v>
      </c>
      <c r="CE16" s="59">
        <f t="shared" si="40"/>
        <v>460.93390058676493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</v>
      </c>
      <c r="CT16" s="12">
        <f>IF('Données projet'!$A$140&gt;35,CT15+CS16-DB15,IF(A16&lt;'Données projet'!$A$140,$CQ$205^A16,IF(A16='Données projet'!$A$140,'Données projet'!$B$140,CT15+CS16-DB15)))</f>
        <v>24.830371836403501</v>
      </c>
      <c r="CU16" s="17">
        <f>CT16*VLOOKUP('Données projet'!$B$13,Paramètres!$A$1:$I$89,3,0)*VLOOKUP('Données projet'!$B$13,Paramètres!$A$1:$I$89,5,0)</f>
        <v>11.620614019436839</v>
      </c>
      <c r="CV16" s="13">
        <f t="shared" si="41"/>
        <v>4.0252093855239011</v>
      </c>
      <c r="CW16" s="20">
        <f t="shared" si="13"/>
        <v>27.249809096973291</v>
      </c>
      <c r="CX16" s="59">
        <f t="shared" si="14"/>
        <v>226.79080934859209</v>
      </c>
      <c r="CY16" s="59">
        <f ca="1">AVERAGE(OFFSET($CX$3,0,0,'Données projet'!$E$13+1,1))-AVERAGE(OFFSET($H$3,0,0,'Données projet'!$E$13+1,1))</f>
        <v>379.16472924112111</v>
      </c>
      <c r="CZ16" s="59">
        <f t="shared" si="42"/>
        <v>273.18950868898253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4.1333333333333337</v>
      </c>
      <c r="DO16" s="12">
        <f>IF('Données projet'!$A$166&gt;35,DO15+DN16-DW15,IF(A16&lt;'Données projet'!$A$166,$DL$205^A16,IF(A16='Données projet'!$A$166,'Données projet'!$B$166,DO15+DN16-DW15)))</f>
        <v>35.760709845444744</v>
      </c>
      <c r="DP16" s="17">
        <f>DO16*VLOOKUP('Données projet'!$B$14,Paramètres!$A$1:$I$89,3,0)*VLOOKUP('Données projet'!$B$14,Paramètres!$A$1:$I$89,5,0)</f>
        <v>14.411566067714231</v>
      </c>
      <c r="DQ16" s="13">
        <f t="shared" si="43"/>
        <v>4.8684337099809492</v>
      </c>
      <c r="DR16" s="20">
        <f t="shared" si="16"/>
        <v>33.579332946152441</v>
      </c>
      <c r="DS16" s="59">
        <f t="shared" si="17"/>
        <v>233.12033319777126</v>
      </c>
      <c r="DT16" s="59">
        <f ca="1">AVERAGE(OFFSET($DS$3,0,0,'Données projet'!$E$14+1,1))-AVERAGE(OFFSET($H$3,0,0,'Données projet'!$E$14+1,1))</f>
        <v>419.35339339286082</v>
      </c>
      <c r="DU16" s="59">
        <f t="shared" si="44"/>
        <v>359.03308141414709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5.4666666666666668</v>
      </c>
      <c r="EJ16" s="12">
        <f>IF('Données projet'!$A$192&gt;35,EJ15+EI16-ER15,IF(A16&lt;'Données projet'!$A$192,$EG$205^A16,IF(A16='Données projet'!$A$192,'Données projet'!$B$192,EJ15+EI16-ER15)))</f>
        <v>45.56576563577736</v>
      </c>
      <c r="EK16" s="17">
        <f>EJ16*VLOOKUP('Données projet'!$B$15,Paramètres!$A$1:$I$89,3,0)*VLOOKUP('Données projet'!$B$15,Paramètres!$A$1:$I$89,5,0)</f>
        <v>20.140068411013594</v>
      </c>
      <c r="EL16" s="13">
        <f t="shared" si="45"/>
        <v>6.5436537745814753</v>
      </c>
      <c r="EM16" s="20">
        <f t="shared" si="19"/>
        <v>46.474149473244744</v>
      </c>
      <c r="EN16" s="59">
        <f t="shared" si="20"/>
        <v>246.01514972486356</v>
      </c>
      <c r="EO16" s="59">
        <f ca="1">AVERAGE(OFFSET($EN$3,0,0,'Données projet'!$E$15+1,1))-AVERAGE(OFFSET($H$3,0,0,'Données projet'!$E$15+1,1))</f>
        <v>561.50881628354409</v>
      </c>
      <c r="EP16" s="59">
        <f t="shared" si="46"/>
        <v>468.67708352238458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244.22545806894149</v>
      </c>
      <c r="S17" s="59">
        <f ca="1">AVERAGE(OFFSET($R$3,0,0,'Données projet'!$E$9+1,1))-AVERAGE(OFFSET($H$3,0,0,'Données projet'!$E$9+1,1))</f>
        <v>484.04602944257209</v>
      </c>
      <c r="T17" s="59">
        <f t="shared" si="34"/>
        <v>297.32483725004124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15.585543863661808</v>
      </c>
      <c r="AK17" s="13">
        <f t="shared" si="35"/>
        <v>5.217244504538245</v>
      </c>
      <c r="AL17" s="20">
        <f t="shared" si="4"/>
        <v>36.23152307461509</v>
      </c>
      <c r="AM17" s="59">
        <f t="shared" si="5"/>
        <v>238.26138484688829</v>
      </c>
      <c r="AN17" s="59">
        <f ca="1">AVERAGE(OFFSET($AM$3,0,0,'Données projet'!$E$10+1,1))-AVERAGE(OFFSET($H$3,0,0,'Données projet'!$E$10+1,1))</f>
        <v>493.74122500490859</v>
      </c>
      <c r="AO17" s="59">
        <f t="shared" si="36"/>
        <v>299.43985151679692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56.085119999999996</v>
      </c>
      <c r="BF17" s="13">
        <f t="shared" si="37"/>
        <v>16.174611252215492</v>
      </c>
      <c r="BG17" s="20">
        <f t="shared" si="7"/>
        <v>125.85236526427531</v>
      </c>
      <c r="BH17" s="59">
        <f t="shared" si="8"/>
        <v>327.8822270365485</v>
      </c>
      <c r="BI17" s="59">
        <f ca="1">AVERAGE(OFFSET($BH$3,0,0,'Données projet'!$E$11+1,1))-AVERAGE(OFFSET($H$3,0,0,'Données projet'!$E$11+1,1))</f>
        <v>364.64276939439014</v>
      </c>
      <c r="BJ17" s="59">
        <f t="shared" si="38"/>
        <v>341.7578598026638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7.333333333333333</v>
      </c>
      <c r="BY17" s="12">
        <f>IF('Données projet'!$A$114&gt;35,BY16+BX17-CG16,IF(A17&lt;'Données projet'!$A$114,$BV$205^A17,IF(A17='Données projet'!$A$114,'Données projet'!$B$114,BY16+BX17-CG16)))</f>
        <v>80.408107292525273</v>
      </c>
      <c r="BZ17" s="13">
        <f>BY17*VLOOKUP('Données projet'!$B$12,Paramètres!$A$1:$I$89,3,0)*VLOOKUP('Données projet'!$B$12,Paramètres!$A$1:$I$89,5,0)</f>
        <v>48.084048160930124</v>
      </c>
      <c r="CA17" s="13">
        <f t="shared" si="39"/>
        <v>14.11783718993377</v>
      </c>
      <c r="CB17" s="20">
        <f t="shared" si="10"/>
        <v>108.33495031942128</v>
      </c>
      <c r="CC17" s="59">
        <f t="shared" si="11"/>
        <v>310.36481209169449</v>
      </c>
      <c r="CD17" s="59">
        <f ca="1">AVERAGE(OFFSET($CC$3,0,0,'Données projet'!$E$12+1,1))-AVERAGE(OFFSET($H$3,0,0,'Données projet'!$E$12+1,1))</f>
        <v>435.81281313761326</v>
      </c>
      <c r="CE17" s="59">
        <f t="shared" si="40"/>
        <v>460.93390058676493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</v>
      </c>
      <c r="CT17" s="12">
        <f>IF('Données projet'!$A$140&gt;35,CT16+CS17-DB16,IF(A17&lt;'Données projet'!$A$140,$CQ$205^A17,IF(A17='Données projet'!$A$140,'Données projet'!$B$140,CT16+CS17-DB16)))</f>
        <v>31.789933905600495</v>
      </c>
      <c r="CU17" s="17">
        <f>CT17*VLOOKUP('Données projet'!$B$13,Paramètres!$A$1:$I$89,3,0)*VLOOKUP('Données projet'!$B$13,Paramètres!$A$1:$I$89,5,0)</f>
        <v>14.877689067821033</v>
      </c>
      <c r="CV17" s="13">
        <f t="shared" si="41"/>
        <v>5.0073092401102919</v>
      </c>
      <c r="CW17" s="20">
        <f t="shared" si="13"/>
        <v>34.633038719647061</v>
      </c>
      <c r="CX17" s="59">
        <f t="shared" si="14"/>
        <v>236.66290049192025</v>
      </c>
      <c r="CY17" s="59">
        <f ca="1">AVERAGE(OFFSET($CX$3,0,0,'Données projet'!$E$13+1,1))-AVERAGE(OFFSET($H$3,0,0,'Données projet'!$E$13+1,1))</f>
        <v>379.16472924112111</v>
      </c>
      <c r="CZ17" s="59">
        <f t="shared" si="42"/>
        <v>273.18950868898253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4.1333333333333337</v>
      </c>
      <c r="DO17" s="12">
        <f>IF('Données projet'!$A$166&gt;35,DO16+DN17-DW16,IF(A17&lt;'Données projet'!$A$166,$DL$205^A17,IF(A17='Données projet'!$A$166,'Données projet'!$B$166,DO16+DN17-DW16)))</f>
        <v>47.086771076572859</v>
      </c>
      <c r="DP17" s="17">
        <f>DO17*VLOOKUP('Données projet'!$B$14,Paramètres!$A$1:$I$89,3,0)*VLOOKUP('Données projet'!$B$14,Paramètres!$A$1:$I$89,5,0)</f>
        <v>18.975968743858861</v>
      </c>
      <c r="DQ17" s="13">
        <f t="shared" si="43"/>
        <v>6.2083055147691892</v>
      </c>
      <c r="DR17" s="20">
        <f t="shared" si="16"/>
        <v>43.862611000443849</v>
      </c>
      <c r="DS17" s="59">
        <f t="shared" si="17"/>
        <v>245.89247277271704</v>
      </c>
      <c r="DT17" s="59">
        <f ca="1">AVERAGE(OFFSET($DS$3,0,0,'Données projet'!$E$14+1,1))-AVERAGE(OFFSET($H$3,0,0,'Données projet'!$E$14+1,1))</f>
        <v>419.35339339286082</v>
      </c>
      <c r="DU17" s="59">
        <f t="shared" si="44"/>
        <v>359.03308141414709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5.4666666666666668</v>
      </c>
      <c r="EJ17" s="12">
        <f>IF('Données projet'!$A$192&gt;35,EJ16+EI17-ER16,IF(A17&lt;'Données projet'!$A$192,$EG$205^A17,IF(A17='Données projet'!$A$192,'Données projet'!$B$192,EJ16+EI17-ER16)))</f>
        <v>61.126040131303654</v>
      </c>
      <c r="EK17" s="17">
        <f>EJ17*VLOOKUP('Données projet'!$B$15,Paramètres!$A$1:$I$89,3,0)*VLOOKUP('Données projet'!$B$15,Paramètres!$A$1:$I$89,5,0)</f>
        <v>27.017709738036217</v>
      </c>
      <c r="EL17" s="13">
        <f t="shared" si="45"/>
        <v>8.483141426023689</v>
      </c>
      <c r="EM17" s="20">
        <f t="shared" si="19"/>
        <v>61.830649110737674</v>
      </c>
      <c r="EN17" s="59">
        <f t="shared" si="20"/>
        <v>263.86051088301087</v>
      </c>
      <c r="EO17" s="59">
        <f ca="1">AVERAGE(OFFSET($EN$3,0,0,'Données projet'!$E$15+1,1))-AVERAGE(OFFSET($H$3,0,0,'Données projet'!$E$15+1,1))</f>
        <v>561.50881628354409</v>
      </c>
      <c r="EP17" s="59">
        <f t="shared" si="46"/>
        <v>468.67708352238458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256.46949622159559</v>
      </c>
      <c r="S18" s="59">
        <f ca="1">AVERAGE(OFFSET($R$3,0,0,'Données projet'!$E$9+1,1))-AVERAGE(OFFSET($H$3,0,0,'Données projet'!$E$9+1,1))</f>
        <v>484.04602944257209</v>
      </c>
      <c r="T18" s="59">
        <f t="shared" si="34"/>
        <v>297.32483725004124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18.7881676267112</v>
      </c>
      <c r="AK18" s="13">
        <f t="shared" si="35"/>
        <v>6.1539837329243312</v>
      </c>
      <c r="AL18" s="20">
        <f t="shared" si="4"/>
        <v>43.440913618031878</v>
      </c>
      <c r="AM18" s="59">
        <f t="shared" si="5"/>
        <v>247.93766355091293</v>
      </c>
      <c r="AN18" s="59">
        <f ca="1">AVERAGE(OFFSET($AM$3,0,0,'Données projet'!$E$10+1,1))-AVERAGE(OFFSET($H$3,0,0,'Données projet'!$E$10+1,1))</f>
        <v>493.74122500490859</v>
      </c>
      <c r="AO18" s="59">
        <f t="shared" si="36"/>
        <v>299.43985151679692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63.772799999999997</v>
      </c>
      <c r="BF18" s="13">
        <f t="shared" si="37"/>
        <v>18.118739450759566</v>
      </c>
      <c r="BG18" s="20">
        <f t="shared" si="7"/>
        <v>142.62776454340624</v>
      </c>
      <c r="BH18" s="59">
        <f t="shared" si="8"/>
        <v>347.12451447628729</v>
      </c>
      <c r="BI18" s="59">
        <f ca="1">AVERAGE(OFFSET($BH$3,0,0,'Données projet'!$E$11+1,1))-AVERAGE(OFFSET($H$3,0,0,'Données projet'!$E$11+1,1))</f>
        <v>364.64276939439014</v>
      </c>
      <c r="BJ18" s="59">
        <f t="shared" si="38"/>
        <v>341.7578598026638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110</v>
      </c>
      <c r="BW18" s="12">
        <f>VLOOKUP(A18,'Données projet'!$A$113:$I$133,9,0)</f>
        <v>7.333333333333333</v>
      </c>
      <c r="BX18" s="12">
        <f t="array" ref="BX18">INDEX(BW:BW,MIN(IF(ISNUMBER(BW18:BW214),ROW(BW18:BW214),"")))</f>
        <v>7.333333333333333</v>
      </c>
      <c r="BY18" s="12">
        <f>IF('Données projet'!$A$114&gt;35,BY17+BX18-CG17,IF(A18&lt;'Données projet'!$A$114,$BV$205^A18,IF(A18='Données projet'!$A$114,'Données projet'!$B$114,BY17+BX18-CG17)))</f>
        <v>110</v>
      </c>
      <c r="BZ18" s="13">
        <f>BY18*VLOOKUP('Données projet'!$B$12,Paramètres!$A$1:$I$89,3,0)*VLOOKUP('Données projet'!$B$12,Paramètres!$A$1:$I$89,5,0)</f>
        <v>65.78</v>
      </c>
      <c r="CA18" s="13">
        <f t="shared" si="39"/>
        <v>18.621720661480644</v>
      </c>
      <c r="CB18" s="20">
        <f t="shared" si="10"/>
        <v>146.99966348541213</v>
      </c>
      <c r="CC18" s="59">
        <f t="shared" si="11"/>
        <v>351.49641341829317</v>
      </c>
      <c r="CD18" s="59">
        <f ca="1">AVERAGE(OFFSET($CC$3,0,0,'Données projet'!$E$12+1,1))-AVERAGE(OFFSET($H$3,0,0,'Données projet'!$E$12+1,1))</f>
        <v>435.81281313761326</v>
      </c>
      <c r="CE18" s="59">
        <f t="shared" si="40"/>
        <v>460.93390058676493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14</v>
      </c>
      <c r="CH18" s="16">
        <f>IF(ISNA(VLOOKUP(A18,'Données projet'!$A$113:$I$133,5,0)),0%,VLOOKUP(A18,'Données projet'!$A$113:$I$133,5,0)*VLOOKUP('Données projet'!$B$12,Paramètres!$A$1:$I$89,7,0))</f>
        <v>9.0000000000000011E-2</v>
      </c>
      <c r="CI18" s="16">
        <f>IF(ISNA(VLOOKUP(A18,'Données projet'!$A$113:$I$133,6,0)),0%,VLOOKUP(A18,'Données projet'!$A$113:$I$133,6,0)*VLOOKUP('Données projet'!$B$12,Paramètres!$A$1:$I$89,7,0))</f>
        <v>0.25200000000000006</v>
      </c>
      <c r="CJ18" s="16">
        <f>IF(ISNA(VLOOKUP(A18,'Données projet'!$A$113:$I$133,7,0)),0%,VLOOKUP(A18,'Données projet'!$A$113:$I$133,7,0))</f>
        <v>0.35</v>
      </c>
      <c r="CK18" s="21">
        <f>EXP(-LN(2)/35)*CK17+(1-EXP(-LN(2)/35))/(LN(2)/35)*CG18*CH18*VLOOKUP('Données projet'!$B$12,Paramètres!$A$1:$I$89,3,0)*0.475*44/12</f>
        <v>0.99953978588458492</v>
      </c>
      <c r="CL18" s="21">
        <f>EXP(-LN(2)/25)*CL17+(1-EXP(-LN(2)/25))/(LN(2)/25)*Calculateur!CG18*Calculateur!CI18*VLOOKUP('Données projet'!$B$12,Paramètres!$A$1:$I$89,3,0)*0.475*44/12</f>
        <v>2.7876918073005137</v>
      </c>
      <c r="CM18" s="21">
        <f>EXP(-LN(2)/2)*CM17+(1-EXP(-LN(2)/2))/(LN(2)/2)*CG18*CJ18*VLOOKUP('Données projet'!$B$12,Paramètres!$A$1:$I$89,3,0)*0.475*44/12</f>
        <v>3.3176670782120503</v>
      </c>
      <c r="CN18" s="22">
        <f t="shared" si="12"/>
        <v>7.1048986713971489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</v>
      </c>
      <c r="CT18" s="12">
        <f>IF('Données projet'!$A$140&gt;35,CT17+CS18-DB17,IF(A18&lt;'Données projet'!$A$140,$CQ$205^A18,IF(A18='Données projet'!$A$140,'Données projet'!$B$140,CT17+CS18-DB17)))</f>
        <v>40.70015158777526</v>
      </c>
      <c r="CU18" s="17">
        <f>CT18*VLOOKUP('Données projet'!$B$13,Paramètres!$A$1:$I$89,3,0)*VLOOKUP('Données projet'!$B$13,Paramètres!$A$1:$I$89,5,0)</f>
        <v>19.04767094307882</v>
      </c>
      <c r="CV18" s="13">
        <f t="shared" si="41"/>
        <v>6.2290289584104483</v>
      </c>
      <c r="CW18" s="20">
        <f t="shared" si="13"/>
        <v>44.023585661760478</v>
      </c>
      <c r="CX18" s="59">
        <f t="shared" si="14"/>
        <v>248.52033559464152</v>
      </c>
      <c r="CY18" s="59">
        <f ca="1">AVERAGE(OFFSET($CX$3,0,0,'Données projet'!$E$13+1,1))-AVERAGE(OFFSET($H$3,0,0,'Données projet'!$E$13+1,1))</f>
        <v>379.16472924112111</v>
      </c>
      <c r="CZ18" s="59">
        <f t="shared" si="42"/>
        <v>273.18950868898253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62</v>
      </c>
      <c r="DM18" s="12">
        <f>VLOOKUP(A18,'Données projet'!$A$165:$I$185,9,0)</f>
        <v>4.1333333333333337</v>
      </c>
      <c r="DN18" s="12">
        <f t="array" ref="DN18">INDEX(DM:DM,MIN(IF(ISNUMBER(DM18:DM214),ROW(DM18:DM214),"")))</f>
        <v>4.1333333333333337</v>
      </c>
      <c r="DO18" s="12">
        <f>IF('Données projet'!$A$166&gt;35,DO17+DN18-DW17,IF(A18&lt;'Données projet'!$A$166,$DL$205^A18,IF(A18='Données projet'!$A$166,'Données projet'!$B$166,DO17+DN18-DW17)))</f>
        <v>62</v>
      </c>
      <c r="DP18" s="17">
        <f>DO18*VLOOKUP('Données projet'!$B$14,Paramètres!$A$1:$I$89,3,0)*VLOOKUP('Données projet'!$B$14,Paramètres!$A$1:$I$89,5,0)</f>
        <v>24.986000000000001</v>
      </c>
      <c r="DQ18" s="13">
        <f t="shared" si="43"/>
        <v>7.9169317404271018</v>
      </c>
      <c r="DR18" s="20">
        <f t="shared" si="16"/>
        <v>57.305939447910525</v>
      </c>
      <c r="DS18" s="59">
        <f t="shared" si="17"/>
        <v>261.80268938079155</v>
      </c>
      <c r="DT18" s="59">
        <f ca="1">AVERAGE(OFFSET($DS$3,0,0,'Données projet'!$E$14+1,1))-AVERAGE(OFFSET($H$3,0,0,'Données projet'!$E$14+1,1))</f>
        <v>419.35339339286082</v>
      </c>
      <c r="DU18" s="59">
        <f t="shared" si="44"/>
        <v>359.03308141414709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0.11000000000000001</v>
      </c>
      <c r="DY18" s="16">
        <f>IF(ISNA(VLOOKUP(A18,'Données projet'!$A$165:$I$185,6,0)),0%,VLOOKUP(A18,'Données projet'!$A$165:$I$185,6,0)*VLOOKUP('Données projet'!$B$14,Paramètres!$A$1:$I$89,7,0))</f>
        <v>0.30800000000000005</v>
      </c>
      <c r="DZ18" s="16">
        <f>IF(ISNA(VLOOKUP(A18,'Données projet'!$A$165:$I$185,7,0)),0%,VLOOKUP(A18,'Données projet'!$A$165:$I$185,7,0))</f>
        <v>0.35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82</v>
      </c>
      <c r="EH18" s="12">
        <f>VLOOKUP(A18,'Données projet'!$A$191:$I$211,9,0)</f>
        <v>5.4666666666666668</v>
      </c>
      <c r="EI18" s="12">
        <f t="array" ref="EI18">INDEX(EH:EH,MIN(IF(ISNUMBER(EH18:EH214),ROW(EH18:EH214),"")))</f>
        <v>5.4666666666666668</v>
      </c>
      <c r="EJ18" s="12">
        <f>IF('Données projet'!$A$192&gt;35,EJ17+EI18-ER17,IF(A18&lt;'Données projet'!$A$192,$EG$205^A18,IF(A18='Données projet'!$A$192,'Données projet'!$B$192,EJ17+EI18-ER17)))</f>
        <v>82</v>
      </c>
      <c r="EK18" s="17">
        <f>EJ18*VLOOKUP('Données projet'!$B$15,Paramètres!$A$1:$I$89,3,0)*VLOOKUP('Données projet'!$B$15,Paramètres!$A$1:$I$89,5,0)</f>
        <v>36.244000000000007</v>
      </c>
      <c r="EL18" s="13">
        <f t="shared" si="45"/>
        <v>10.99747800433129</v>
      </c>
      <c r="EM18" s="20">
        <f t="shared" si="19"/>
        <v>82.278907524210339</v>
      </c>
      <c r="EN18" s="59">
        <f t="shared" si="20"/>
        <v>286.77565745709137</v>
      </c>
      <c r="EO18" s="59">
        <f ca="1">AVERAGE(OFFSET($EN$3,0,0,'Données projet'!$E$15+1,1))-AVERAGE(OFFSET($H$3,0,0,'Données projet'!$E$15+1,1))</f>
        <v>561.50881628354409</v>
      </c>
      <c r="EP18" s="59">
        <f t="shared" si="46"/>
        <v>468.67708352238458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0.11000000000000001</v>
      </c>
      <c r="ET18" s="16">
        <f>IF(ISNA(VLOOKUP(A18,'Données projet'!$A$191:$I$211,6,0)),0%,VLOOKUP(A18,'Données projet'!$A$191:$I$211,6,0)*VLOOKUP('Données projet'!$B$15,Paramètres!$A$1:$I$89,7,0))</f>
        <v>0.30800000000000005</v>
      </c>
      <c r="EU18" s="16">
        <f>IF(ISNA(VLOOKUP(A18,'Données projet'!$A$191:$I$211,7,0)),0%,VLOOKUP(A18,'Données projet'!$A$191:$I$211,7,0))</f>
        <v>0.35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270.96474543463864</v>
      </c>
      <c r="S19" s="59">
        <f ca="1">AVERAGE(OFFSET($R$3,0,0,'Données projet'!$E$9+1,1))-AVERAGE(OFFSET($H$3,0,0,'Données projet'!$E$9+1,1))</f>
        <v>484.04602944257209</v>
      </c>
      <c r="T19" s="59">
        <f t="shared" si="34"/>
        <v>297.32483725004124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22.648888345335092</v>
      </c>
      <c r="AK19" s="13">
        <f t="shared" si="35"/>
        <v>7.2589114334500859</v>
      </c>
      <c r="AL19" s="20">
        <f t="shared" si="4"/>
        <v>52.089417948050851</v>
      </c>
      <c r="AM19" s="59">
        <f t="shared" si="5"/>
        <v>259.03146387016488</v>
      </c>
      <c r="AN19" s="59">
        <f ca="1">AVERAGE(OFFSET($AM$3,0,0,'Données projet'!$E$10+1,1))-AVERAGE(OFFSET($H$3,0,0,'Données projet'!$E$10+1,1))</f>
        <v>493.74122500490859</v>
      </c>
      <c r="AO19" s="59">
        <f t="shared" si="36"/>
        <v>299.43985151679692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73.557119999999998</v>
      </c>
      <c r="BF19" s="13">
        <f t="shared" si="37"/>
        <v>20.554251427792224</v>
      </c>
      <c r="BG19" s="20">
        <f t="shared" si="7"/>
        <v>163.91063857007143</v>
      </c>
      <c r="BH19" s="59">
        <f t="shared" si="8"/>
        <v>370.85268449218552</v>
      </c>
      <c r="BI19" s="59">
        <f ca="1">AVERAGE(OFFSET($BH$3,0,0,'Données projet'!$E$11+1,1))-AVERAGE(OFFSET($H$3,0,0,'Données projet'!$E$11+1,1))</f>
        <v>364.64276939439014</v>
      </c>
      <c r="BJ19" s="59">
        <f t="shared" si="38"/>
        <v>341.7578598026638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21.4</v>
      </c>
      <c r="BY19" s="12">
        <f>IF('Données projet'!$A$114&gt;35,BY18+BX19-CG18,IF(A19&lt;'Données projet'!$A$114,$BV$205^A19,IF(A19='Données projet'!$A$114,'Données projet'!$B$114,BY18+BX19-CG18)))</f>
        <v>117.4</v>
      </c>
      <c r="BZ19" s="13">
        <f>BY19*VLOOKUP('Données projet'!$B$12,Paramètres!$A$1:$I$89,3,0)*VLOOKUP('Données projet'!$B$12,Paramètres!$A$1:$I$89,5,0)</f>
        <v>70.205200000000005</v>
      </c>
      <c r="CA19" s="13">
        <f t="shared" si="39"/>
        <v>19.724407279037784</v>
      </c>
      <c r="CB19" s="20">
        <f t="shared" si="10"/>
        <v>156.62739934432412</v>
      </c>
      <c r="CC19" s="59">
        <f t="shared" si="11"/>
        <v>363.56944526643815</v>
      </c>
      <c r="CD19" s="59">
        <f ca="1">AVERAGE(OFFSET($CC$3,0,0,'Données projet'!$E$12+1,1))-AVERAGE(OFFSET($H$3,0,0,'Données projet'!$E$12+1,1))</f>
        <v>435.81281313761326</v>
      </c>
      <c r="CE19" s="59">
        <f t="shared" si="40"/>
        <v>460.93390058676493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0.97993942034245873</v>
      </c>
      <c r="CL19" s="21">
        <f>EXP(-LN(2)/25)*CL18+(1-EXP(-LN(2)/25))/(LN(2)/25)*Calculateur!CG19*Calculateur!CI19*VLOOKUP('Données projet'!$B$12,Paramètres!$A$1:$I$89,3,0)*0.475*44/12</f>
        <v>2.7114622282315404</v>
      </c>
      <c r="CM19" s="21">
        <f>EXP(-LN(2)/2)*CM18+(1-EXP(-LN(2)/2))/(LN(2)/2)*CG19*CJ19*VLOOKUP('Données projet'!$B$12,Paramètres!$A$1:$I$89,3,0)*0.475*44/12</f>
        <v>2.3459448887231007</v>
      </c>
      <c r="CN19" s="22">
        <f t="shared" si="12"/>
        <v>6.0373465372970996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</v>
      </c>
      <c r="CT19" s="12">
        <f>IF('Données projet'!$A$140&gt;35,CT18+CS19-DB18,IF(A19&lt;'Données projet'!$A$140,$CQ$205^A19,IF(A19='Données projet'!$A$140,'Données projet'!$B$140,CT18+CS19-DB18)))</f>
        <v>52.107762922276969</v>
      </c>
      <c r="CU19" s="17">
        <f>CT19*VLOOKUP('Données projet'!$B$13,Paramètres!$A$1:$I$89,3,0)*VLOOKUP('Données projet'!$B$13,Paramètres!$A$1:$I$89,5,0)</f>
        <v>24.386433047625623</v>
      </c>
      <c r="CV19" s="13">
        <f t="shared" si="41"/>
        <v>7.7488327371331547</v>
      </c>
      <c r="CW19" s="20">
        <f t="shared" si="13"/>
        <v>55.968921241788202</v>
      </c>
      <c r="CX19" s="59">
        <f t="shared" si="14"/>
        <v>262.91096716390228</v>
      </c>
      <c r="CY19" s="59">
        <f ca="1">AVERAGE(OFFSET($CX$3,0,0,'Données projet'!$E$13+1,1))-AVERAGE(OFFSET($H$3,0,0,'Données projet'!$E$13+1,1))</f>
        <v>379.16472924112111</v>
      </c>
      <c r="CZ19" s="59">
        <f t="shared" si="42"/>
        <v>273.18950868898253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20.399999999999999</v>
      </c>
      <c r="DO19" s="12">
        <f>IF('Données projet'!$A$166&gt;35,DO18+DN19-DW18,IF(A19&lt;'Données projet'!$A$166,$DL$205^A19,IF(A19='Données projet'!$A$166,'Données projet'!$B$166,DO18+DN19-DW18)))</f>
        <v>82.4</v>
      </c>
      <c r="DP19" s="17">
        <f>DO19*VLOOKUP('Données projet'!$B$14,Paramètres!$A$1:$I$89,3,0)*VLOOKUP('Données projet'!$B$14,Paramètres!$A$1:$I$89,5,0)</f>
        <v>33.2072</v>
      </c>
      <c r="DQ19" s="13">
        <f t="shared" si="43"/>
        <v>10.179182197747613</v>
      </c>
      <c r="DR19" s="20">
        <f t="shared" si="16"/>
        <v>75.564615661077099</v>
      </c>
      <c r="DS19" s="59">
        <f t="shared" si="17"/>
        <v>282.50666158319115</v>
      </c>
      <c r="DT19" s="59">
        <f ca="1">AVERAGE(OFFSET($DS$3,0,0,'Données projet'!$E$14+1,1))-AVERAGE(OFFSET($H$3,0,0,'Données projet'!$E$14+1,1))</f>
        <v>419.35339339286082</v>
      </c>
      <c r="DU19" s="59">
        <f t="shared" si="44"/>
        <v>359.03308141414709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27.4</v>
      </c>
      <c r="EJ19" s="12">
        <f>IF('Données projet'!$A$192&gt;35,EJ18+EI19-ER18,IF(A19&lt;'Données projet'!$A$192,$EG$205^A19,IF(A19='Données projet'!$A$192,'Données projet'!$B$192,EJ18+EI19-ER18)))</f>
        <v>109.4</v>
      </c>
      <c r="EK19" s="17">
        <f>EJ19*VLOOKUP('Données projet'!$B$15,Paramètres!$A$1:$I$89,3,0)*VLOOKUP('Données projet'!$B$15,Paramètres!$A$1:$I$89,5,0)</f>
        <v>48.354800000000012</v>
      </c>
      <c r="EL19" s="13">
        <f t="shared" si="45"/>
        <v>14.188055798351984</v>
      </c>
      <c r="EM19" s="20">
        <f t="shared" si="19"/>
        <v>108.92880718212973</v>
      </c>
      <c r="EN19" s="59">
        <f t="shared" si="20"/>
        <v>315.87085310424379</v>
      </c>
      <c r="EO19" s="59">
        <f ca="1">AVERAGE(OFFSET($EN$3,0,0,'Données projet'!$E$15+1,1))-AVERAGE(OFFSET($H$3,0,0,'Données projet'!$E$15+1,1))</f>
        <v>561.50881628354409</v>
      </c>
      <c r="EP19" s="59">
        <f t="shared" si="46"/>
        <v>468.67708352238458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288.24149918328646</v>
      </c>
      <c r="S20" s="59">
        <f ca="1">AVERAGE(OFFSET($R$3,0,0,'Données projet'!$E$9+1,1))-AVERAGE(OFFSET($H$3,0,0,'Données projet'!$E$9+1,1))</f>
        <v>484.04602944257209</v>
      </c>
      <c r="T20" s="59">
        <f t="shared" si="34"/>
        <v>297.32483725004124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27.302936266661874</v>
      </c>
      <c r="AK20" s="13">
        <f t="shared" si="35"/>
        <v>8.5622252975364237</v>
      </c>
      <c r="AL20" s="20">
        <f t="shared" si="4"/>
        <v>62.465156390978699</v>
      </c>
      <c r="AM20" s="59">
        <f t="shared" si="5"/>
        <v>271.83128070685143</v>
      </c>
      <c r="AN20" s="59">
        <f ca="1">AVERAGE(OFFSET($AM$3,0,0,'Données projet'!$E$10+1,1))-AVERAGE(OFFSET($H$3,0,0,'Données projet'!$E$10+1,1))</f>
        <v>493.74122500490859</v>
      </c>
      <c r="AO20" s="59">
        <f t="shared" si="36"/>
        <v>299.43985151679692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83.341440000000006</v>
      </c>
      <c r="BF20" s="13">
        <f t="shared" si="37"/>
        <v>22.952227742446681</v>
      </c>
      <c r="BG20" s="20">
        <f t="shared" si="7"/>
        <v>185.12813798476131</v>
      </c>
      <c r="BH20" s="59">
        <f t="shared" si="8"/>
        <v>394.49426230063403</v>
      </c>
      <c r="BI20" s="59">
        <f ca="1">AVERAGE(OFFSET($BH$3,0,0,'Données projet'!$E$11+1,1))-AVERAGE(OFFSET($H$3,0,0,'Données projet'!$E$11+1,1))</f>
        <v>364.64276939439014</v>
      </c>
      <c r="BJ20" s="59">
        <f t="shared" si="38"/>
        <v>341.7578598026638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21.4</v>
      </c>
      <c r="BY20" s="12">
        <f>IF('Données projet'!$A$114&gt;35,BY19+BX20-CG19,IF(A20&lt;'Données projet'!$A$114,$BV$205^A20,IF(A20='Données projet'!$A$114,'Données projet'!$B$114,BY19+BX20-CG19)))</f>
        <v>138.80000000000001</v>
      </c>
      <c r="BZ20" s="13">
        <f>BY20*VLOOKUP('Données projet'!$B$12,Paramètres!$A$1:$I$89,3,0)*VLOOKUP('Données projet'!$B$12,Paramètres!$A$1:$I$89,5,0)</f>
        <v>83.002400000000009</v>
      </c>
      <c r="CA20" s="13">
        <f t="shared" si="39"/>
        <v>22.869705036637765</v>
      </c>
      <c r="CB20" s="20">
        <f t="shared" si="10"/>
        <v>184.39391627214411</v>
      </c>
      <c r="CC20" s="59">
        <f t="shared" si="11"/>
        <v>393.76004058801686</v>
      </c>
      <c r="CD20" s="59">
        <f ca="1">AVERAGE(OFFSET($CC$3,0,0,'Données projet'!$E$12+1,1))-AVERAGE(OFFSET($H$3,0,0,'Données projet'!$E$12+1,1))</f>
        <v>435.81281313761326</v>
      </c>
      <c r="CE20" s="59">
        <f t="shared" si="40"/>
        <v>460.93390058676493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0.9607234060135712</v>
      </c>
      <c r="CL20" s="21">
        <f>EXP(-LN(2)/25)*CL19+(1-EXP(-LN(2)/25))/(LN(2)/25)*Calculateur!CG20*Calculateur!CI20*VLOOKUP('Données projet'!$B$12,Paramètres!$A$1:$I$89,3,0)*0.475*44/12</f>
        <v>2.6373171510109477</v>
      </c>
      <c r="CM20" s="21">
        <f>EXP(-LN(2)/2)*CM19+(1-EXP(-LN(2)/2))/(LN(2)/2)*CG20*CJ20*VLOOKUP('Données projet'!$B$12,Paramètres!$A$1:$I$89,3,0)*0.475*44/12</f>
        <v>1.6588335391060252</v>
      </c>
      <c r="CN20" s="22">
        <f t="shared" si="12"/>
        <v>5.2568740961305442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</v>
      </c>
      <c r="CT20" s="12">
        <f>IF('Données projet'!$A$140&gt;35,CT19+CS20-DB19,IF(A20&lt;'Données projet'!$A$140,$CQ$205^A20,IF(A20='Données projet'!$A$140,'Données projet'!$B$140,CT19+CS20-DB19)))</f>
        <v>66.712748008038588</v>
      </c>
      <c r="CU20" s="17">
        <f>CT20*VLOOKUP('Données projet'!$B$13,Paramètres!$A$1:$I$89,3,0)*VLOOKUP('Données projet'!$B$13,Paramètres!$A$1:$I$89,5,0)</f>
        <v>31.221566067762058</v>
      </c>
      <c r="CV20" s="13">
        <f t="shared" si="41"/>
        <v>9.6394492928138327</v>
      </c>
      <c r="CW20" s="20">
        <f t="shared" si="13"/>
        <v>71.166268419669663</v>
      </c>
      <c r="CX20" s="59">
        <f t="shared" si="14"/>
        <v>280.53239273554237</v>
      </c>
      <c r="CY20" s="59">
        <f ca="1">AVERAGE(OFFSET($CX$3,0,0,'Données projet'!$E$13+1,1))-AVERAGE(OFFSET($H$3,0,0,'Données projet'!$E$13+1,1))</f>
        <v>379.16472924112111</v>
      </c>
      <c r="CZ20" s="59">
        <f t="shared" si="42"/>
        <v>273.18950868898253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20.399999999999999</v>
      </c>
      <c r="DO20" s="12">
        <f>IF('Données projet'!$A$166&gt;35,DO19+DN20-DW19,IF(A20&lt;'Données projet'!$A$166,$DL$205^A20,IF(A20='Données projet'!$A$166,'Données projet'!$B$166,DO19+DN20-DW19)))</f>
        <v>102.80000000000001</v>
      </c>
      <c r="DP20" s="17">
        <f>DO20*VLOOKUP('Données projet'!$B$14,Paramètres!$A$1:$I$89,3,0)*VLOOKUP('Données projet'!$B$14,Paramètres!$A$1:$I$89,5,0)</f>
        <v>41.428400000000003</v>
      </c>
      <c r="DQ20" s="13">
        <f t="shared" si="43"/>
        <v>12.376467899441744</v>
      </c>
      <c r="DR20" s="20">
        <f t="shared" si="16"/>
        <v>93.710144924861027</v>
      </c>
      <c r="DS20" s="59">
        <f t="shared" si="17"/>
        <v>303.07626924073372</v>
      </c>
      <c r="DT20" s="59">
        <f ca="1">AVERAGE(OFFSET($DS$3,0,0,'Données projet'!$E$14+1,1))-AVERAGE(OFFSET($H$3,0,0,'Données projet'!$E$14+1,1))</f>
        <v>419.35339339286082</v>
      </c>
      <c r="DU20" s="59">
        <f t="shared" si="44"/>
        <v>359.03308141414709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27.4</v>
      </c>
      <c r="EJ20" s="12">
        <f>IF('Données projet'!$A$192&gt;35,EJ19+EI20-ER19,IF(A20&lt;'Données projet'!$A$192,$EG$205^A20,IF(A20='Données projet'!$A$192,'Données projet'!$B$192,EJ19+EI20-ER19)))</f>
        <v>136.80000000000001</v>
      </c>
      <c r="EK20" s="17">
        <f>EJ20*VLOOKUP('Données projet'!$B$15,Paramètres!$A$1:$I$89,3,0)*VLOOKUP('Données projet'!$B$15,Paramètres!$A$1:$I$89,5,0)</f>
        <v>60.465600000000009</v>
      </c>
      <c r="EL20" s="13">
        <f t="shared" si="45"/>
        <v>17.28593428824821</v>
      </c>
      <c r="EM20" s="20">
        <f t="shared" si="19"/>
        <v>135.41725555203232</v>
      </c>
      <c r="EN20" s="59">
        <f t="shared" si="20"/>
        <v>344.78337986790507</v>
      </c>
      <c r="EO20" s="59">
        <f ca="1">AVERAGE(OFFSET($EN$3,0,0,'Données projet'!$E$15+1,1))-AVERAGE(OFFSET($H$3,0,0,'Données projet'!$E$15+1,1))</f>
        <v>561.50881628354409</v>
      </c>
      <c r="EP20" s="59">
        <f t="shared" si="46"/>
        <v>468.67708352238458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308.95393822316214</v>
      </c>
      <c r="S21" s="59">
        <f ca="1">AVERAGE(OFFSET($R$3,0,0,'Données projet'!$E$9+1,1))-AVERAGE(OFFSET($H$3,0,0,'Données projet'!$E$9+1,1))</f>
        <v>484.04602944257209</v>
      </c>
      <c r="T21" s="59">
        <f t="shared" si="34"/>
        <v>297.32483725004124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32.913329670545963</v>
      </c>
      <c r="AK21" s="13">
        <f t="shared" si="35"/>
        <v>10.099544913572311</v>
      </c>
      <c r="AL21" s="20">
        <f t="shared" si="4"/>
        <v>74.91408990067265</v>
      </c>
      <c r="AM21" s="59">
        <f t="shared" si="5"/>
        <v>286.68344309267576</v>
      </c>
      <c r="AN21" s="59">
        <f ca="1">AVERAGE(OFFSET($AM$3,0,0,'Données projet'!$E$10+1,1))-AVERAGE(OFFSET($H$3,0,0,'Données projet'!$E$10+1,1))</f>
        <v>493.74122500490859</v>
      </c>
      <c r="AO21" s="59">
        <f t="shared" si="36"/>
        <v>299.43985151679692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93.125760000000014</v>
      </c>
      <c r="BF21" s="13">
        <f t="shared" si="37"/>
        <v>25.317578585717406</v>
      </c>
      <c r="BG21" s="20">
        <f t="shared" si="7"/>
        <v>206.2888147034578</v>
      </c>
      <c r="BH21" s="59">
        <f t="shared" si="8"/>
        <v>418.05816789546088</v>
      </c>
      <c r="BI21" s="59">
        <f ca="1">AVERAGE(OFFSET($BH$3,0,0,'Données projet'!$E$11+1,1))-AVERAGE(OFFSET($H$3,0,0,'Données projet'!$E$11+1,1))</f>
        <v>364.64276939439014</v>
      </c>
      <c r="BJ21" s="59">
        <f t="shared" si="38"/>
        <v>341.7578598026638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21.4</v>
      </c>
      <c r="BY21" s="12">
        <f>IF('Données projet'!$A$114&gt;35,BY20+BX21-CG20,IF(A21&lt;'Données projet'!$A$114,$BV$205^A21,IF(A21='Données projet'!$A$114,'Données projet'!$B$114,BY20+BX21-CG20)))</f>
        <v>160.20000000000002</v>
      </c>
      <c r="BZ21" s="13">
        <f>BY21*VLOOKUP('Données projet'!$B$12,Paramètres!$A$1:$I$89,3,0)*VLOOKUP('Données projet'!$B$12,Paramètres!$A$1:$I$89,5,0)</f>
        <v>95.799600000000012</v>
      </c>
      <c r="CA21" s="13">
        <f t="shared" si="39"/>
        <v>25.958824745990441</v>
      </c>
      <c r="CB21" s="20">
        <f t="shared" si="10"/>
        <v>212.06258976593335</v>
      </c>
      <c r="CC21" s="59">
        <f t="shared" si="11"/>
        <v>423.83194295793646</v>
      </c>
      <c r="CD21" s="59">
        <f ca="1">AVERAGE(OFFSET($CC$3,0,0,'Données projet'!$E$12+1,1))-AVERAGE(OFFSET($H$3,0,0,'Données projet'!$E$12+1,1))</f>
        <v>435.81281313761326</v>
      </c>
      <c r="CE21" s="59">
        <f t="shared" si="40"/>
        <v>460.93390058676493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0.94188420600506173</v>
      </c>
      <c r="CL21" s="21">
        <f>EXP(-LN(2)/25)*CL20+(1-EXP(-LN(2)/25))/(LN(2)/25)*Calculateur!CG21*Calculateur!CI21*VLOOKUP('Données projet'!$B$12,Paramètres!$A$1:$I$89,3,0)*0.475*44/12</f>
        <v>2.5651995748260719</v>
      </c>
      <c r="CM21" s="21">
        <f>EXP(-LN(2)/2)*CM20+(1-EXP(-LN(2)/2))/(LN(2)/2)*CG21*CJ21*VLOOKUP('Données projet'!$B$12,Paramètres!$A$1:$I$89,3,0)*0.475*44/12</f>
        <v>1.1729724443615503</v>
      </c>
      <c r="CN21" s="22">
        <f t="shared" si="12"/>
        <v>4.6800562251926845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</v>
      </c>
      <c r="CT21" s="12">
        <f>IF('Données projet'!$A$140&gt;35,CT20+CS21-DB20,IF(A21&lt;'Données projet'!$A$140,$CQ$205^A21,IF(A21='Données projet'!$A$140,'Données projet'!$B$140,CT20+CS21-DB20)))</f>
        <v>85.411280338833194</v>
      </c>
      <c r="CU21" s="17">
        <f>CT21*VLOOKUP('Données projet'!$B$13,Paramètres!$A$1:$I$89,3,0)*VLOOKUP('Données projet'!$B$13,Paramètres!$A$1:$I$89,5,0)</f>
        <v>39.972479198573936</v>
      </c>
      <c r="CV21" s="13">
        <f t="shared" si="41"/>
        <v>11.991352223084183</v>
      </c>
      <c r="CW21" s="20">
        <f t="shared" si="13"/>
        <v>90.503673059387893</v>
      </c>
      <c r="CX21" s="59">
        <f t="shared" si="14"/>
        <v>302.273026251391</v>
      </c>
      <c r="CY21" s="59">
        <f ca="1">AVERAGE(OFFSET($CX$3,0,0,'Données projet'!$E$13+1,1))-AVERAGE(OFFSET($H$3,0,0,'Données projet'!$E$13+1,1))</f>
        <v>379.16472924112111</v>
      </c>
      <c r="CZ21" s="59">
        <f t="shared" si="42"/>
        <v>273.18950868898253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20.399999999999999</v>
      </c>
      <c r="DO21" s="12">
        <f>IF('Données projet'!$A$166&gt;35,DO20+DN21-DW20,IF(A21&lt;'Données projet'!$A$166,$DL$205^A21,IF(A21='Données projet'!$A$166,'Données projet'!$B$166,DO20+DN21-DW20)))</f>
        <v>123.20000000000002</v>
      </c>
      <c r="DP21" s="17">
        <f>DO21*VLOOKUP('Données projet'!$B$14,Paramètres!$A$1:$I$89,3,0)*VLOOKUP('Données projet'!$B$14,Paramètres!$A$1:$I$89,5,0)</f>
        <v>49.649600000000014</v>
      </c>
      <c r="DQ21" s="13">
        <f t="shared" si="43"/>
        <v>14.523230330118354</v>
      </c>
      <c r="DR21" s="20">
        <f t="shared" si="16"/>
        <v>111.76767949162281</v>
      </c>
      <c r="DS21" s="59">
        <f t="shared" si="17"/>
        <v>323.53703268362591</v>
      </c>
      <c r="DT21" s="59">
        <f ca="1">AVERAGE(OFFSET($DS$3,0,0,'Données projet'!$E$14+1,1))-AVERAGE(OFFSET($H$3,0,0,'Données projet'!$E$14+1,1))</f>
        <v>419.35339339286082</v>
      </c>
      <c r="DU21" s="59">
        <f t="shared" si="44"/>
        <v>359.03308141414709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27.4</v>
      </c>
      <c r="EJ21" s="12">
        <f>IF('Données projet'!$A$192&gt;35,EJ20+EI21-ER20,IF(A21&lt;'Données projet'!$A$192,$EG$205^A21,IF(A21='Données projet'!$A$192,'Données projet'!$B$192,EJ20+EI21-ER20)))</f>
        <v>164.20000000000002</v>
      </c>
      <c r="EK21" s="17">
        <f>EJ21*VLOOKUP('Données projet'!$B$15,Paramètres!$A$1:$I$89,3,0)*VLOOKUP('Données projet'!$B$15,Paramètres!$A$1:$I$89,5,0)</f>
        <v>72.576400000000021</v>
      </c>
      <c r="EL21" s="13">
        <f t="shared" si="45"/>
        <v>20.31191637522646</v>
      </c>
      <c r="EM21" s="20">
        <f t="shared" si="19"/>
        <v>161.78048435351943</v>
      </c>
      <c r="EN21" s="59">
        <f t="shared" si="20"/>
        <v>373.54983754552256</v>
      </c>
      <c r="EO21" s="59">
        <f ca="1">AVERAGE(OFFSET($EN$3,0,0,'Données projet'!$E$15+1,1))-AVERAGE(OFFSET($H$3,0,0,'Données projet'!$E$15+1,1))</f>
        <v>561.50881628354409</v>
      </c>
      <c r="EP21" s="59">
        <f t="shared" si="46"/>
        <v>468.67708352238458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333.90916953776684</v>
      </c>
      <c r="S22" s="59">
        <f ca="1">AVERAGE(OFFSET($R$3,0,0,'Données projet'!$E$9+1,1))-AVERAGE(OFFSET($H$3,0,0,'Données projet'!$E$9+1,1))</f>
        <v>484.04602944257209</v>
      </c>
      <c r="T22" s="59">
        <f t="shared" si="34"/>
        <v>297.32483725004124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39.676584943897929</v>
      </c>
      <c r="AK22" s="13">
        <f t="shared" si="35"/>
        <v>11.912885250825237</v>
      </c>
      <c r="AL22" s="20">
        <f t="shared" si="4"/>
        <v>89.851660589142838</v>
      </c>
      <c r="AM22" s="59">
        <f t="shared" si="5"/>
        <v>304.00375483216635</v>
      </c>
      <c r="AN22" s="59">
        <f ca="1">AVERAGE(OFFSET($AM$3,0,0,'Données projet'!$E$10+1,1))-AVERAGE(OFFSET($H$3,0,0,'Données projet'!$E$10+1,1))</f>
        <v>493.74122500490859</v>
      </c>
      <c r="AO22" s="59">
        <f t="shared" si="36"/>
        <v>299.43985151679692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102.91008000000001</v>
      </c>
      <c r="BF22" s="13">
        <f t="shared" si="37"/>
        <v>27.654122306790427</v>
      </c>
      <c r="BG22" s="20">
        <f t="shared" si="7"/>
        <v>227.39931901765999</v>
      </c>
      <c r="BH22" s="59">
        <f t="shared" si="8"/>
        <v>441.55141326068349</v>
      </c>
      <c r="BI22" s="59">
        <f ca="1">AVERAGE(OFFSET($BH$3,0,0,'Données projet'!$E$11+1,1))-AVERAGE(OFFSET($H$3,0,0,'Données projet'!$E$11+1,1))</f>
        <v>364.64276939439014</v>
      </c>
      <c r="BJ22" s="59">
        <f t="shared" si="38"/>
        <v>341.7578598026638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21.4</v>
      </c>
      <c r="BY22" s="12">
        <f>IF('Données projet'!$A$114&gt;35,BY21+BX22-CG21,IF(A22&lt;'Données projet'!$A$114,$BV$205^A22,IF(A22='Données projet'!$A$114,'Données projet'!$B$114,BY21+BX22-CG21)))</f>
        <v>181.60000000000002</v>
      </c>
      <c r="BZ22" s="13">
        <f>BY22*VLOOKUP('Données projet'!$B$12,Paramètres!$A$1:$I$89,3,0)*VLOOKUP('Données projet'!$B$12,Paramètres!$A$1:$I$89,5,0)</f>
        <v>108.59680000000003</v>
      </c>
      <c r="CA22" s="13">
        <f t="shared" si="39"/>
        <v>29.000133087134955</v>
      </c>
      <c r="CB22" s="20">
        <f t="shared" si="10"/>
        <v>239.64799179342674</v>
      </c>
      <c r="CC22" s="59">
        <f t="shared" si="11"/>
        <v>453.80008603645024</v>
      </c>
      <c r="CD22" s="59">
        <f ca="1">AVERAGE(OFFSET($CC$3,0,0,'Données projet'!$E$12+1,1))-AVERAGE(OFFSET($H$3,0,0,'Données projet'!$E$12+1,1))</f>
        <v>435.81281313761326</v>
      </c>
      <c r="CE22" s="59">
        <f t="shared" si="40"/>
        <v>460.93390058676493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0.92341443121794164</v>
      </c>
      <c r="CL22" s="21">
        <f>EXP(-LN(2)/25)*CL21+(1-EXP(-LN(2)/25))/(LN(2)/25)*Calculateur!CG22*Calculateur!CI22*VLOOKUP('Données projet'!$B$12,Paramètres!$A$1:$I$89,3,0)*0.475*44/12</f>
        <v>2.4950540575544702</v>
      </c>
      <c r="CM22" s="21">
        <f>EXP(-LN(2)/2)*CM21+(1-EXP(-LN(2)/2))/(LN(2)/2)*CG22*CJ22*VLOOKUP('Données projet'!$B$12,Paramètres!$A$1:$I$89,3,0)*0.475*44/12</f>
        <v>0.82941676955301258</v>
      </c>
      <c r="CN22" s="22">
        <f t="shared" si="12"/>
        <v>4.2478852583254243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</v>
      </c>
      <c r="CT22" s="12">
        <f>IF('Données projet'!$A$140&gt;35,CT21+CS22-DB21,IF(A22&lt;'Données projet'!$A$140,$CQ$205^A22,IF(A22='Données projet'!$A$140,'Données projet'!$B$140,CT21+CS22-DB21)))</f>
        <v>109.35071672118391</v>
      </c>
      <c r="CU22" s="17">
        <f>CT22*VLOOKUP('Données projet'!$B$13,Paramètres!$A$1:$I$89,3,0)*VLOOKUP('Données projet'!$B$13,Paramètres!$A$1:$I$89,5,0)</f>
        <v>51.176135425514076</v>
      </c>
      <c r="CV22" s="13">
        <f t="shared" si="41"/>
        <v>14.917089531791261</v>
      </c>
      <c r="CW22" s="20">
        <f t="shared" si="13"/>
        <v>115.11236680064013</v>
      </c>
      <c r="CX22" s="59">
        <f t="shared" si="14"/>
        <v>329.26446104366369</v>
      </c>
      <c r="CY22" s="59">
        <f ca="1">AVERAGE(OFFSET($CX$3,0,0,'Données projet'!$E$13+1,1))-AVERAGE(OFFSET($H$3,0,0,'Données projet'!$E$13+1,1))</f>
        <v>379.16472924112111</v>
      </c>
      <c r="CZ22" s="59">
        <f t="shared" si="42"/>
        <v>273.18950868898253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20.399999999999999</v>
      </c>
      <c r="DO22" s="12">
        <f>IF('Données projet'!$A$166&gt;35,DO21+DN22-DW21,IF(A22&lt;'Données projet'!$A$166,$DL$205^A22,IF(A22='Données projet'!$A$166,'Données projet'!$B$166,DO21+DN22-DW21)))</f>
        <v>143.60000000000002</v>
      </c>
      <c r="DP22" s="17">
        <f>DO22*VLOOKUP('Données projet'!$B$14,Paramètres!$A$1:$I$89,3,0)*VLOOKUP('Données projet'!$B$14,Paramètres!$A$1:$I$89,5,0)</f>
        <v>57.87080000000001</v>
      </c>
      <c r="DQ22" s="13">
        <f t="shared" si="43"/>
        <v>16.62881366155743</v>
      </c>
      <c r="DR22" s="20">
        <f t="shared" si="16"/>
        <v>129.75349379387922</v>
      </c>
      <c r="DS22" s="59">
        <f t="shared" si="17"/>
        <v>343.90558803690271</v>
      </c>
      <c r="DT22" s="59">
        <f ca="1">AVERAGE(OFFSET($DS$3,0,0,'Données projet'!$E$14+1,1))-AVERAGE(OFFSET($H$3,0,0,'Données projet'!$E$14+1,1))</f>
        <v>419.35339339286082</v>
      </c>
      <c r="DU22" s="59">
        <f t="shared" si="44"/>
        <v>359.03308141414709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27.4</v>
      </c>
      <c r="EJ22" s="12">
        <f>IF('Données projet'!$A$192&gt;35,EJ21+EI22-ER21,IF(A22&lt;'Données projet'!$A$192,$EG$205^A22,IF(A22='Données projet'!$A$192,'Données projet'!$B$192,EJ21+EI22-ER21)))</f>
        <v>191.60000000000002</v>
      </c>
      <c r="EK22" s="17">
        <f>EJ22*VLOOKUP('Données projet'!$B$15,Paramètres!$A$1:$I$89,3,0)*VLOOKUP('Données projet'!$B$15,Paramètres!$A$1:$I$89,5,0)</f>
        <v>84.687200000000004</v>
      </c>
      <c r="EL22" s="13">
        <f t="shared" si="45"/>
        <v>23.279403611759438</v>
      </c>
      <c r="EM22" s="20">
        <f t="shared" si="19"/>
        <v>188.04183462381434</v>
      </c>
      <c r="EN22" s="59">
        <f t="shared" si="20"/>
        <v>402.19392886683784</v>
      </c>
      <c r="EO22" s="59">
        <f ca="1">AVERAGE(OFFSET($EN$3,0,0,'Données projet'!$E$15+1,1))-AVERAGE(OFFSET($H$3,0,0,'Données projet'!$E$15+1,1))</f>
        <v>561.50881628354409</v>
      </c>
      <c r="EP22" s="59">
        <f t="shared" si="46"/>
        <v>468.67708352238458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364.10308709124286</v>
      </c>
      <c r="S23" s="59">
        <f ca="1">AVERAGE(OFFSET($R$3,0,0,'Données projet'!$E$9+1,1))-AVERAGE(OFFSET($H$3,0,0,'Données projet'!$E$9+1,1))</f>
        <v>484.04602944257209</v>
      </c>
      <c r="T23" s="59">
        <f t="shared" si="34"/>
        <v>297.32483725004124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47.829599999999999</v>
      </c>
      <c r="AK23" s="13">
        <f t="shared" si="35"/>
        <v>14.051804929211587</v>
      </c>
      <c r="AL23" s="20">
        <f t="shared" si="4"/>
        <v>107.77678025171018</v>
      </c>
      <c r="AM23" s="59">
        <f t="shared" si="5"/>
        <v>324.29148313860588</v>
      </c>
      <c r="AN23" s="59">
        <f ca="1">AVERAGE(OFFSET($AM$3,0,0,'Données projet'!$E$10+1,1))-AVERAGE(OFFSET($H$3,0,0,'Données projet'!$E$10+1,1))</f>
        <v>493.74122500490859</v>
      </c>
      <c r="AO23" s="59">
        <f t="shared" si="36"/>
        <v>299.43985151679692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112.69440000000002</v>
      </c>
      <c r="BF23" s="13">
        <f t="shared" si="37"/>
        <v>29.964909381330632</v>
      </c>
      <c r="BG23" s="20">
        <f t="shared" si="7"/>
        <v>248.46496383915087</v>
      </c>
      <c r="BH23" s="59">
        <f t="shared" si="8"/>
        <v>464.97966672604662</v>
      </c>
      <c r="BI23" s="59">
        <f ca="1">AVERAGE(OFFSET($BH$3,0,0,'Données projet'!$E$11+1,1))-AVERAGE(OFFSET($H$3,0,0,'Données projet'!$E$11+1,1))</f>
        <v>364.64276939439014</v>
      </c>
      <c r="BJ23" s="59">
        <f t="shared" si="38"/>
        <v>341.7578598026638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203</v>
      </c>
      <c r="BW23" s="12">
        <f>VLOOKUP(A23,'Données projet'!$A$113:$I$133,9,0)</f>
        <v>21.4</v>
      </c>
      <c r="BX23" s="12">
        <f t="array" ref="BX23">INDEX(BW:BW,MIN(IF(ISNUMBER(BW23:BW219),ROW(BW23:BW219),"")))</f>
        <v>21.4</v>
      </c>
      <c r="BY23" s="12">
        <f>IF('Données projet'!$A$114&gt;35,BY22+BX23-CG22,IF(A23&lt;'Données projet'!$A$114,$BV$205^A23,IF(A23='Données projet'!$A$114,'Données projet'!$B$114,BY22+BX23-CG22)))</f>
        <v>203.00000000000003</v>
      </c>
      <c r="BZ23" s="13">
        <f>BY23*VLOOKUP('Données projet'!$B$12,Paramètres!$A$1:$I$89,3,0)*VLOOKUP('Données projet'!$B$12,Paramètres!$A$1:$I$89,5,0)</f>
        <v>121.39400000000003</v>
      </c>
      <c r="CA23" s="13">
        <f t="shared" si="39"/>
        <v>31.999908030972463</v>
      </c>
      <c r="CB23" s="20">
        <f t="shared" si="10"/>
        <v>267.16105648727711</v>
      </c>
      <c r="CC23" s="59">
        <f t="shared" si="11"/>
        <v>483.6757593741728</v>
      </c>
      <c r="CD23" s="59">
        <f ca="1">AVERAGE(OFFSET($CC$3,0,0,'Données projet'!$E$12+1,1))-AVERAGE(OFFSET($H$3,0,0,'Données projet'!$E$12+1,1))</f>
        <v>435.81281313761326</v>
      </c>
      <c r="CE23" s="59">
        <f t="shared" si="40"/>
        <v>460.93390058676493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63</v>
      </c>
      <c r="CH23" s="16">
        <f>IF(ISNA(VLOOKUP(A23,'Données projet'!$A$113:$I$133,5,0)),0%,VLOOKUP(A23,'Données projet'!$A$113:$I$133,5,0)*VLOOKUP('Données projet'!$B$12,Paramètres!$A$1:$I$89,7,0))</f>
        <v>9.0000000000000011E-2</v>
      </c>
      <c r="CI23" s="16">
        <f>IF(ISNA(VLOOKUP(A23,'Données projet'!$A$113:$I$133,6,0)),0%,VLOOKUP(A23,'Données projet'!$A$113:$I$133,6,0)*VLOOKUP('Données projet'!$B$12,Paramètres!$A$1:$I$89,7,0))</f>
        <v>0.25200000000000006</v>
      </c>
      <c r="CJ23" s="16">
        <f>IF(ISNA(VLOOKUP(A23,'Données projet'!$A$113:$I$133,7,0)),0%,VLOOKUP(A23,'Données projet'!$A$113:$I$133,7,0))</f>
        <v>0.35</v>
      </c>
      <c r="CK23" s="21">
        <f>EXP(-LN(2)/35)*CK22+(1-EXP(-LN(2)/35))/(LN(2)/35)*CG23*CH23*VLOOKUP('Données projet'!$B$12,Paramètres!$A$1:$I$89,3,0)*0.475*44/12</f>
        <v>5.4032358739295789</v>
      </c>
      <c r="CL23" s="21">
        <f>EXP(-LN(2)/25)*CL22+(1-EXP(-LN(2)/25))/(LN(2)/25)*Calculateur!CG23*Calculateur!CI23*VLOOKUP('Données projet'!$B$12,Paramètres!$A$1:$I$89,3,0)*0.475*44/12</f>
        <v>14.971439805993764</v>
      </c>
      <c r="CM23" s="21">
        <f>EXP(-LN(2)/2)*CM22+(1-EXP(-LN(2)/2))/(LN(2)/2)*CG23*CJ23*VLOOKUP('Données projet'!$B$12,Paramètres!$A$1:$I$89,3,0)*0.475*44/12</f>
        <v>15.515988074135002</v>
      </c>
      <c r="CN23" s="22">
        <f t="shared" si="12"/>
        <v>35.890663754058345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140</v>
      </c>
      <c r="CR23" s="12">
        <f>VLOOKUP(A23,'Données projet'!$A$139:$I$159,9,0)</f>
        <v>7</v>
      </c>
      <c r="CS23" s="12">
        <f t="array" ref="CS23">INDEX(CR:CR,MIN(IF(ISNUMBER(CR23:CR219),ROW(CR23:CR219),"")))</f>
        <v>7</v>
      </c>
      <c r="CT23" s="12">
        <f>IF('Données projet'!$A$140&gt;35,CT22+CS23-DB22,IF(A23&lt;'Données projet'!$A$140,$CQ$205^A23,IF(A23='Données projet'!$A$140,'Données projet'!$B$140,CT22+CS23-DB22)))</f>
        <v>140</v>
      </c>
      <c r="CU23" s="17">
        <f>CT23*VLOOKUP('Données projet'!$B$13,Paramètres!$A$1:$I$89,3,0)*VLOOKUP('Données projet'!$B$13,Paramètres!$A$1:$I$89,5,0)</f>
        <v>65.52</v>
      </c>
      <c r="CV23" s="13">
        <f t="shared" si="41"/>
        <v>18.556669503136725</v>
      </c>
      <c r="CW23" s="20">
        <f t="shared" si="13"/>
        <v>146.43353271796309</v>
      </c>
      <c r="CX23" s="59">
        <f t="shared" si="14"/>
        <v>362.94823560485884</v>
      </c>
      <c r="CY23" s="59">
        <f ca="1">AVERAGE(OFFSET($CX$3,0,0,'Données projet'!$E$13+1,1))-AVERAGE(OFFSET($H$3,0,0,'Données projet'!$E$13+1,1))</f>
        <v>379.16472924112111</v>
      </c>
      <c r="CZ23" s="59">
        <f t="shared" si="42"/>
        <v>273.18950868898253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0.30800000000000005</v>
      </c>
      <c r="DE23" s="16">
        <f>IF(ISNA(VLOOKUP(A23,'Données projet'!$A$139:$I$159,7,0)),0%,VLOOKUP(A23,'Données projet'!$A$139:$I$159,7,0))</f>
        <v>0.44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7.6185366162250032</v>
      </c>
      <c r="DH23" s="21">
        <f>EXP(-LN(2)/2)*DH22+(1-EXP(-LN(2)/2))/(LN(2)/2)*DB23*DE23*VLOOKUP('Données projet'!$B$13,Paramètres!$A$1:$I$89,3,0)*0.475*44/12</f>
        <v>9.3259709882659934</v>
      </c>
      <c r="DI23" s="22">
        <f t="shared" si="15"/>
        <v>16.944507604490997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164</v>
      </c>
      <c r="DM23" s="12">
        <f>VLOOKUP(A23,'Données projet'!$A$165:$I$185,9,0)</f>
        <v>20.399999999999999</v>
      </c>
      <c r="DN23" s="12">
        <f t="array" ref="DN23">INDEX(DM:DM,MIN(IF(ISNUMBER(DM23:DM219),ROW(DM23:DM219),"")))</f>
        <v>20.399999999999999</v>
      </c>
      <c r="DO23" s="12">
        <f>IF('Données projet'!$A$166&gt;35,DO22+DN23-DW22,IF(A23&lt;'Données projet'!$A$166,$DL$205^A23,IF(A23='Données projet'!$A$166,'Données projet'!$B$166,DO22+DN23-DW22)))</f>
        <v>164.00000000000003</v>
      </c>
      <c r="DP23" s="17">
        <f>DO23*VLOOKUP('Données projet'!$B$14,Paramètres!$A$1:$I$89,3,0)*VLOOKUP('Données projet'!$B$14,Paramètres!$A$1:$I$89,5,0)</f>
        <v>66.092000000000013</v>
      </c>
      <c r="DQ23" s="13">
        <f t="shared" si="43"/>
        <v>18.69974256620976</v>
      </c>
      <c r="DR23" s="20">
        <f t="shared" si="16"/>
        <v>147.6789516361487</v>
      </c>
      <c r="DS23" s="59">
        <f t="shared" si="17"/>
        <v>364.19365452304442</v>
      </c>
      <c r="DT23" s="59">
        <f ca="1">AVERAGE(OFFSET($DS$3,0,0,'Données projet'!$E$14+1,1))-AVERAGE(OFFSET($H$3,0,0,'Données projet'!$E$14+1,1))</f>
        <v>419.35339339286082</v>
      </c>
      <c r="DU23" s="59">
        <f t="shared" si="44"/>
        <v>359.03308141414709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26</v>
      </c>
      <c r="DX23" s="16">
        <f>IF(ISNA(VLOOKUP(A23,'Données projet'!$A$165:$I$185,5,0)),0%,VLOOKUP(A23,'Données projet'!$A$165:$I$185,5,0)*VLOOKUP('Données projet'!$B$14,Paramètres!$A$1:$I$89,7,0))</f>
        <v>0.11000000000000001</v>
      </c>
      <c r="DY23" s="16">
        <f>IF(ISNA(VLOOKUP(A23,'Données projet'!$A$165:$I$185,6,0)),0%,VLOOKUP(A23,'Données projet'!$A$165:$I$185,6,0)*VLOOKUP('Données projet'!$B$14,Paramètres!$A$1:$I$89,7,0))</f>
        <v>0.30800000000000005</v>
      </c>
      <c r="DZ23" s="16">
        <f>IF(ISNA(VLOOKUP(A23,'Données projet'!$A$165:$I$185,7,0)),0%,VLOOKUP(A23,'Données projet'!$A$165:$I$185,7,0))</f>
        <v>0.35</v>
      </c>
      <c r="EA23" s="21">
        <f>EXP(-LN(2)/35)*EA22+(1-EXP(-LN(2)/35))/(LN(2)/35)*DW23*DX23*VLOOKUP('Données projet'!$B$14,Paramètres!$A$1:$I$89,3,0)*0.475*44/12</f>
        <v>1.5289716600505054</v>
      </c>
      <c r="EB23" s="21">
        <f>EXP(-LN(2)/25)*EB22+(1-EXP(-LN(2)/25))/(LN(2)/25)*Calculateur!DW23*Calculateur!DY23*VLOOKUP('Données projet'!$B$14,Paramètres!$A$1:$I$89,3,0)*0.475*44/12</f>
        <v>4.2642642449148278</v>
      </c>
      <c r="EC23" s="21">
        <f>EXP(-LN(2)/2)*EC22+(1-EXP(-LN(2)/2))/(LN(2)/2)*DW23*DZ23*VLOOKUP('Données projet'!$B$14,Paramètres!$A$1:$I$89,3,0)*0.475*44/12</f>
        <v>4.1522355047188082</v>
      </c>
      <c r="ED23" s="22">
        <f t="shared" si="18"/>
        <v>9.9454714096841421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219</v>
      </c>
      <c r="EH23" s="12">
        <f>VLOOKUP(A23,'Données projet'!$A$191:$I$211,9,0)</f>
        <v>27.4</v>
      </c>
      <c r="EI23" s="12">
        <f t="array" ref="EI23">INDEX(EH:EH,MIN(IF(ISNUMBER(EH23:EH219),ROW(EH23:EH219),"")))</f>
        <v>27.4</v>
      </c>
      <c r="EJ23" s="12">
        <f>IF('Données projet'!$A$192&gt;35,EJ22+EI23-ER22,IF(A23&lt;'Données projet'!$A$192,$EG$205^A23,IF(A23='Données projet'!$A$192,'Données projet'!$B$192,EJ22+EI23-ER22)))</f>
        <v>219.00000000000003</v>
      </c>
      <c r="EK23" s="17">
        <f>EJ23*VLOOKUP('Données projet'!$B$15,Paramètres!$A$1:$I$89,3,0)*VLOOKUP('Données projet'!$B$15,Paramètres!$A$1:$I$89,5,0)</f>
        <v>96.798000000000016</v>
      </c>
      <c r="EL23" s="13">
        <f t="shared" si="45"/>
        <v>26.197726383901067</v>
      </c>
      <c r="EM23" s="20">
        <f t="shared" si="19"/>
        <v>214.21755678529439</v>
      </c>
      <c r="EN23" s="59">
        <f t="shared" si="20"/>
        <v>430.73225967219014</v>
      </c>
      <c r="EO23" s="59">
        <f ca="1">AVERAGE(OFFSET($EN$3,0,0,'Données projet'!$E$15+1,1))-AVERAGE(OFFSET($H$3,0,0,'Données projet'!$E$15+1,1))</f>
        <v>561.50881628354409</v>
      </c>
      <c r="EP23" s="59">
        <f t="shared" si="46"/>
        <v>468.67708352238458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88</v>
      </c>
      <c r="ES23" s="16">
        <f>IF(ISNA(VLOOKUP(A23,'Données projet'!$A$191:$I$211,5,0)),0%,VLOOKUP(A23,'Données projet'!$A$191:$I$211,5,0)*VLOOKUP('Données projet'!$B$15,Paramètres!$A$1:$I$89,7,0))</f>
        <v>0.11000000000000001</v>
      </c>
      <c r="ET23" s="16">
        <f>IF(ISNA(VLOOKUP(A23,'Données projet'!$A$191:$I$211,6,0)),0%,VLOOKUP(A23,'Données projet'!$A$191:$I$211,6,0)*VLOOKUP('Données projet'!$B$15,Paramètres!$A$1:$I$89,7,0))</f>
        <v>0.30800000000000005</v>
      </c>
      <c r="EU23" s="16">
        <f>IF(ISNA(VLOOKUP(A23,'Données projet'!$A$191:$I$211,7,0)),0%,VLOOKUP(A23,'Données projet'!$A$191:$I$211,7,0))</f>
        <v>0.35</v>
      </c>
      <c r="EV23" s="21">
        <f>EXP(-LN(2)/35)*EV22+(1-EXP(-LN(2)/35))/(LN(2)/35)*ER23*ES23*VLOOKUP('Données projet'!$B$15,Paramètres!$A$1:$I$89,3,0)*0.475*44/12</f>
        <v>5.6757856164654008</v>
      </c>
      <c r="EW23" s="21">
        <f>EXP(-LN(2)/25)*EW22+(1-EXP(-LN(2)/25))/(LN(2)/25)*Calculateur!ER23*Calculateur!ET23*VLOOKUP('Données projet'!$B$15,Paramètres!$A$1:$I$89,3,0)*0.475*44/12</f>
        <v>15.829626080378622</v>
      </c>
      <c r="EX23" s="21">
        <f>EXP(-LN(2)/2)*EX22+(1-EXP(-LN(2)/2))/(LN(2)/2)*ER23*EU23*VLOOKUP('Données projet'!$B$15,Paramètres!$A$1:$I$89,3,0)*0.475*44/12</f>
        <v>15.413757605606294</v>
      </c>
      <c r="EY23" s="22">
        <f t="shared" si="21"/>
        <v>36.919169302450314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</v>
      </c>
      <c r="N24" s="13">
        <f>IF('Données projet'!$A$36&gt;35,N23+M24-V23,IF(A24&lt;'Données projet'!$A$36,$K$205^A24,IF(A24='Données projet'!$A$36,'Données projet'!$B$36,N23+M24-V23)))</f>
        <v>79</v>
      </c>
      <c r="O24" s="13">
        <f>N24*VLOOKUP('Données projet'!$B$9,Paramètres!$A$1:$I$89,3,0)*VLOOKUP('Données projet'!$B$9,Paramètres!$A$1:$I$89,5,0)</f>
        <v>71.479200000000006</v>
      </c>
      <c r="P24" s="13">
        <f t="shared" si="33"/>
        <v>20.040346808618612</v>
      </c>
      <c r="Q24" s="20">
        <f t="shared" si="2"/>
        <v>159.39654402501074</v>
      </c>
      <c r="R24" s="59">
        <f t="shared" si="0"/>
        <v>378.25407240088509</v>
      </c>
      <c r="S24" s="59">
        <f ca="1">AVERAGE(OFFSET($R$3,0,0,'Données projet'!$E$9+1,1))-AVERAGE(OFFSET($H$3,0,0,'Données projet'!$E$9+1,1))</f>
        <v>484.04602944257209</v>
      </c>
      <c r="T24" s="59">
        <f t="shared" si="34"/>
        <v>297.32483725004124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54.206879999999998</v>
      </c>
      <c r="AK24" s="13">
        <f t="shared" si="35"/>
        <v>15.695044182455275</v>
      </c>
      <c r="AL24" s="20">
        <f t="shared" si="4"/>
        <v>121.74585128444294</v>
      </c>
      <c r="AM24" s="59">
        <f t="shared" si="5"/>
        <v>340.60337966031733</v>
      </c>
      <c r="AN24" s="59">
        <f ca="1">AVERAGE(OFFSET($AM$3,0,0,'Données projet'!$E$10+1,1))-AVERAGE(OFFSET($H$3,0,0,'Données projet'!$E$10+1,1))</f>
        <v>493.74122500490859</v>
      </c>
      <c r="AO24" s="59">
        <f t="shared" si="36"/>
        <v>299.43985151679692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74.430719999999994</v>
      </c>
      <c r="BF24" s="13">
        <f t="shared" si="37"/>
        <v>20.76980057385482</v>
      </c>
      <c r="BG24" s="20">
        <f t="shared" si="7"/>
        <v>165.80757333279712</v>
      </c>
      <c r="BH24" s="59">
        <f t="shared" si="8"/>
        <v>384.6651017086715</v>
      </c>
      <c r="BI24" s="59">
        <f ca="1">AVERAGE(OFFSET($BH$3,0,0,'Données projet'!$E$11+1,1))-AVERAGE(OFFSET($H$3,0,0,'Données projet'!$E$11+1,1))</f>
        <v>364.64276939439014</v>
      </c>
      <c r="BJ24" s="59">
        <f t="shared" si="38"/>
        <v>341.7578598026638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22.8</v>
      </c>
      <c r="BY24" s="12">
        <f>IF('Données projet'!$A$114&gt;35,BY23+BX24-CG23,IF(A24&lt;'Données projet'!$A$114,$BV$205^A24,IF(A24='Données projet'!$A$114,'Données projet'!$B$114,BY23+BX24-CG23)))</f>
        <v>162.80000000000004</v>
      </c>
      <c r="BZ24" s="13">
        <f>BY24*VLOOKUP('Données projet'!$B$12,Paramètres!$A$1:$I$89,3,0)*VLOOKUP('Données projet'!$B$12,Paramètres!$A$1:$I$89,5,0)</f>
        <v>97.354400000000027</v>
      </c>
      <c r="CA24" s="13">
        <f t="shared" si="39"/>
        <v>26.330739676620471</v>
      </c>
      <c r="CB24" s="20">
        <f t="shared" si="10"/>
        <v>215.41828493678068</v>
      </c>
      <c r="CC24" s="59">
        <f t="shared" si="11"/>
        <v>434.27581331265503</v>
      </c>
      <c r="CD24" s="59">
        <f ca="1">AVERAGE(OFFSET($CC$3,0,0,'Données projet'!$E$12+1,1))-AVERAGE(OFFSET($H$3,0,0,'Données projet'!$E$12+1,1))</f>
        <v>435.81281313761326</v>
      </c>
      <c r="CE24" s="59">
        <f t="shared" si="40"/>
        <v>460.93390058676493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5.2972817140902846</v>
      </c>
      <c r="CL24" s="21">
        <f>EXP(-LN(2)/25)*CL23+(1-EXP(-LN(2)/25))/(LN(2)/25)*Calculateur!CG24*Calculateur!CI24*VLOOKUP('Données projet'!$B$12,Paramètres!$A$1:$I$89,3,0)*0.475*44/12</f>
        <v>14.562044997185064</v>
      </c>
      <c r="CM24" s="21">
        <f>EXP(-LN(2)/2)*CM23+(1-EXP(-LN(2)/2))/(LN(2)/2)*CG24*CJ24*VLOOKUP('Données projet'!$B$12,Paramètres!$A$1:$I$89,3,0)*0.475*44/12</f>
        <v>10.971460384030461</v>
      </c>
      <c r="CN24" s="22">
        <f t="shared" si="12"/>
        <v>30.830787095305809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11</v>
      </c>
      <c r="CT24" s="12">
        <f>IF('Données projet'!$A$140&gt;35,CT23+CS24-DB23,IF(A24&lt;'Données projet'!$A$140,$CQ$205^A24,IF(A24='Données projet'!$A$140,'Données projet'!$B$140,CT23+CS24-DB23)))</f>
        <v>111</v>
      </c>
      <c r="CU24" s="17">
        <f>CT24*VLOOKUP('Données projet'!$B$13,Paramètres!$A$1:$I$89,3,0)*VLOOKUP('Données projet'!$B$13,Paramètres!$A$1:$I$89,5,0)</f>
        <v>51.948</v>
      </c>
      <c r="CV24" s="13">
        <f t="shared" si="41"/>
        <v>15.115714645211892</v>
      </c>
      <c r="CW24" s="20">
        <f t="shared" si="13"/>
        <v>116.8026363404107</v>
      </c>
      <c r="CX24" s="59">
        <f t="shared" si="14"/>
        <v>335.66016471628507</v>
      </c>
      <c r="CY24" s="59">
        <f ca="1">AVERAGE(OFFSET($CX$3,0,0,'Données projet'!$E$13+1,1))-AVERAGE(OFFSET($H$3,0,0,'Données projet'!$E$13+1,1))</f>
        <v>379.16472924112111</v>
      </c>
      <c r="CZ24" s="59">
        <f t="shared" si="42"/>
        <v>273.18950868898253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7.4102073318129023</v>
      </c>
      <c r="DH24" s="21">
        <f>EXP(-LN(2)/2)*DH23+(1-EXP(-LN(2)/2))/(LN(2)/2)*DB24*DE24*VLOOKUP('Données projet'!$B$13,Paramètres!$A$1:$I$89,3,0)*0.475*44/12</f>
        <v>6.5944573269518925</v>
      </c>
      <c r="DI24" s="22">
        <f t="shared" si="15"/>
        <v>14.004664658764796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26.4</v>
      </c>
      <c r="DO24" s="12">
        <f>IF('Données projet'!$A$166&gt;35,DO23+DN24-DW23,IF(A24&lt;'Données projet'!$A$166,$DL$205^A24,IF(A24='Données projet'!$A$166,'Données projet'!$B$166,DO23+DN24-DW23)))</f>
        <v>164.40000000000003</v>
      </c>
      <c r="DP24" s="17">
        <f>DO24*VLOOKUP('Données projet'!$B$14,Paramètres!$A$1:$I$89,3,0)*VLOOKUP('Données projet'!$B$14,Paramètres!$A$1:$I$89,5,0)</f>
        <v>66.253200000000021</v>
      </c>
      <c r="DQ24" s="13">
        <f t="shared" si="43"/>
        <v>18.740037076415806</v>
      </c>
      <c r="DR24" s="20">
        <f t="shared" si="16"/>
        <v>148.0298879080909</v>
      </c>
      <c r="DS24" s="59">
        <f t="shared" si="17"/>
        <v>366.88741628396531</v>
      </c>
      <c r="DT24" s="59">
        <f ca="1">AVERAGE(OFFSET($DS$3,0,0,'Données projet'!$E$14+1,1))-AVERAGE(OFFSET($H$3,0,0,'Données projet'!$E$14+1,1))</f>
        <v>419.35339339286082</v>
      </c>
      <c r="DU24" s="59">
        <f t="shared" si="44"/>
        <v>359.03308141414709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1.4989894583775429</v>
      </c>
      <c r="EB24" s="21">
        <f>EXP(-LN(2)/25)*EB23+(1-EXP(-LN(2)/25))/(LN(2)/25)*Calculateur!DW24*Calculateur!DY24*VLOOKUP('Données projet'!$B$14,Paramètres!$A$1:$I$89,3,0)*0.475*44/12</f>
        <v>4.1476577148897213</v>
      </c>
      <c r="EC24" s="21">
        <f>EXP(-LN(2)/2)*EC23+(1-EXP(-LN(2)/2))/(LN(2)/2)*DW24*DZ24*VLOOKUP('Données projet'!$B$14,Paramètres!$A$1:$I$89,3,0)*0.475*44/12</f>
        <v>2.9360738824702164</v>
      </c>
      <c r="ED24" s="22">
        <f t="shared" si="18"/>
        <v>8.5827210557374798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37.200000000000003</v>
      </c>
      <c r="EJ24" s="12">
        <f>IF('Données projet'!$A$192&gt;35,EJ23+EI24-ER23,IF(A24&lt;'Données projet'!$A$192,$EG$205^A24,IF(A24='Données projet'!$A$192,'Données projet'!$B$192,EJ23+EI24-ER23)))</f>
        <v>168.20000000000005</v>
      </c>
      <c r="EK24" s="17">
        <f>EJ24*VLOOKUP('Données projet'!$B$15,Paramètres!$A$1:$I$89,3,0)*VLOOKUP('Données projet'!$B$15,Paramètres!$A$1:$I$89,5,0)</f>
        <v>74.344400000000022</v>
      </c>
      <c r="EL24" s="13">
        <f t="shared" si="45"/>
        <v>20.748515430944668</v>
      </c>
      <c r="EM24" s="20">
        <f t="shared" si="19"/>
        <v>165.62016104222866</v>
      </c>
      <c r="EN24" s="59">
        <f t="shared" si="20"/>
        <v>384.47768941810307</v>
      </c>
      <c r="EO24" s="59">
        <f ca="1">AVERAGE(OFFSET($EN$3,0,0,'Données projet'!$E$15+1,1))-AVERAGE(OFFSET($H$3,0,0,'Données projet'!$E$15+1,1))</f>
        <v>561.50881628354409</v>
      </c>
      <c r="EP24" s="59">
        <f t="shared" si="46"/>
        <v>468.67708352238458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5.5644869224139075</v>
      </c>
      <c r="EW24" s="21">
        <f>EXP(-LN(2)/25)*EW23+(1-EXP(-LN(2)/25))/(LN(2)/25)*Calculateur!ER24*Calculateur!ET24*VLOOKUP('Données projet'!$B$15,Paramètres!$A$1:$I$89,3,0)*0.475*44/12</f>
        <v>15.396764122766813</v>
      </c>
      <c r="EX24" s="21">
        <f>EXP(-LN(2)/2)*EX23+(1-EXP(-LN(2)/2))/(LN(2)/2)*ER24*EU24*VLOOKUP('Données projet'!$B$15,Paramètres!$A$1:$I$89,3,0)*0.475*44/12</f>
        <v>10.899172526489933</v>
      </c>
      <c r="EY24" s="22">
        <f t="shared" si="21"/>
        <v>31.860423571670651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</v>
      </c>
      <c r="N25" s="13">
        <f>IF('Données projet'!$A$36&gt;35,N24+M25-V24,IF(A25&lt;'Données projet'!$A$36,$K$205^A25,IF(A25='Données projet'!$A$36,'Données projet'!$B$36,N24+M25-V24)))</f>
        <v>85</v>
      </c>
      <c r="O25" s="13">
        <f>N25*VLOOKUP('Données projet'!$B$9,Paramètres!$A$1:$I$89,3,0)*VLOOKUP('Données projet'!$B$9,Paramètres!$A$1:$I$89,5,0)</f>
        <v>76.908000000000001</v>
      </c>
      <c r="P25" s="13">
        <f t="shared" si="33"/>
        <v>21.379448490435635</v>
      </c>
      <c r="Q25" s="20">
        <f t="shared" si="2"/>
        <v>171.18397278750874</v>
      </c>
      <c r="R25" s="59">
        <f t="shared" si="0"/>
        <v>392.36488669097713</v>
      </c>
      <c r="S25" s="59">
        <f ca="1">AVERAGE(OFFSET($R$3,0,0,'Données projet'!$E$9+1,1))-AVERAGE(OFFSET($H$3,0,0,'Données projet'!$E$9+1,1))</f>
        <v>484.04602944257209</v>
      </c>
      <c r="T25" s="59">
        <f t="shared" si="34"/>
        <v>297.32483725004124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60.584159999999997</v>
      </c>
      <c r="AK25" s="13">
        <f t="shared" si="35"/>
        <v>17.315879601565083</v>
      </c>
      <c r="AL25" s="20">
        <f t="shared" si="4"/>
        <v>135.67590230605916</v>
      </c>
      <c r="AM25" s="59">
        <f t="shared" si="5"/>
        <v>356.85681620952755</v>
      </c>
      <c r="AN25" s="59">
        <f ca="1">AVERAGE(OFFSET($AM$3,0,0,'Données projet'!$E$10+1,1))-AVERAGE(OFFSET($H$3,0,0,'Données projet'!$E$10+1,1))</f>
        <v>493.74122500490859</v>
      </c>
      <c r="AO25" s="59">
        <f t="shared" si="36"/>
        <v>299.43985151679692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83.341440000000006</v>
      </c>
      <c r="BF25" s="13">
        <f t="shared" si="37"/>
        <v>22.952227742446681</v>
      </c>
      <c r="BG25" s="20">
        <f t="shared" si="7"/>
        <v>185.12813798476131</v>
      </c>
      <c r="BH25" s="59">
        <f t="shared" si="8"/>
        <v>406.3090518882297</v>
      </c>
      <c r="BI25" s="59">
        <f ca="1">AVERAGE(OFFSET($BH$3,0,0,'Données projet'!$E$11+1,1))-AVERAGE(OFFSET($H$3,0,0,'Données projet'!$E$11+1,1))</f>
        <v>364.64276939439014</v>
      </c>
      <c r="BJ25" s="59">
        <f t="shared" si="38"/>
        <v>341.7578598026638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22.8</v>
      </c>
      <c r="BY25" s="12">
        <f>IF('Données projet'!$A$114&gt;35,BY24+BX25-CG24,IF(A25&lt;'Données projet'!$A$114,$BV$205^A25,IF(A25='Données projet'!$A$114,'Données projet'!$B$114,BY24+BX25-CG24)))</f>
        <v>185.60000000000005</v>
      </c>
      <c r="BZ25" s="13">
        <f>BY25*VLOOKUP('Données projet'!$B$12,Paramètres!$A$1:$I$89,3,0)*VLOOKUP('Données projet'!$B$12,Paramètres!$A$1:$I$89,5,0)</f>
        <v>110.98880000000004</v>
      </c>
      <c r="CA25" s="13">
        <f t="shared" si="39"/>
        <v>29.56383208945169</v>
      </c>
      <c r="CB25" s="20">
        <f t="shared" si="10"/>
        <v>244.79583422246174</v>
      </c>
      <c r="CC25" s="59">
        <f t="shared" si="11"/>
        <v>465.97674812593016</v>
      </c>
      <c r="CD25" s="59">
        <f ca="1">AVERAGE(OFFSET($CC$3,0,0,'Données projet'!$E$12+1,1))-AVERAGE(OFFSET($H$3,0,0,'Données projet'!$E$12+1,1))</f>
        <v>435.81281313761326</v>
      </c>
      <c r="CE25" s="59">
        <f t="shared" si="40"/>
        <v>460.93390058676493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5.193405250699783</v>
      </c>
      <c r="CL25" s="21">
        <f>EXP(-LN(2)/25)*CL24+(1-EXP(-LN(2)/25))/(LN(2)/25)*Calculateur!CG25*Calculateur!CI25*VLOOKUP('Données projet'!$B$12,Paramètres!$A$1:$I$89,3,0)*0.475*44/12</f>
        <v>14.163845110952373</v>
      </c>
      <c r="CM25" s="21">
        <f>EXP(-LN(2)/2)*CM24+(1-EXP(-LN(2)/2))/(LN(2)/2)*CG25*CJ25*VLOOKUP('Données projet'!$B$12,Paramètres!$A$1:$I$89,3,0)*0.475*44/12</f>
        <v>7.7579940370675029</v>
      </c>
      <c r="CN25" s="22">
        <f t="shared" si="12"/>
        <v>27.115244398719661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11</v>
      </c>
      <c r="CT25" s="12">
        <f>IF('Données projet'!$A$140&gt;35,CT24+CS25-DB24,IF(A25&lt;'Données projet'!$A$140,$CQ$205^A25,IF(A25='Données projet'!$A$140,'Données projet'!$B$140,CT24+CS25-DB24)))</f>
        <v>122</v>
      </c>
      <c r="CU25" s="17">
        <f>CT25*VLOOKUP('Données projet'!$B$13,Paramètres!$A$1:$I$89,3,0)*VLOOKUP('Données projet'!$B$13,Paramètres!$A$1:$I$89,5,0)</f>
        <v>57.096000000000004</v>
      </c>
      <c r="CV25" s="13">
        <f t="shared" si="41"/>
        <v>16.431940248498016</v>
      </c>
      <c r="CW25" s="20">
        <f t="shared" si="13"/>
        <v>128.06116259946739</v>
      </c>
      <c r="CX25" s="59">
        <f t="shared" si="14"/>
        <v>349.24207650293579</v>
      </c>
      <c r="CY25" s="59">
        <f ca="1">AVERAGE(OFFSET($CX$3,0,0,'Données projet'!$E$13+1,1))-AVERAGE(OFFSET($H$3,0,0,'Données projet'!$E$13+1,1))</f>
        <v>379.16472924112111</v>
      </c>
      <c r="CZ25" s="59">
        <f t="shared" si="42"/>
        <v>273.18950868898253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7.2075748226386107</v>
      </c>
      <c r="DH25" s="21">
        <f>EXP(-LN(2)/2)*DH24+(1-EXP(-LN(2)/2))/(LN(2)/2)*DB25*DE25*VLOOKUP('Données projet'!$B$13,Paramètres!$A$1:$I$89,3,0)*0.475*44/12</f>
        <v>4.6629854941329976</v>
      </c>
      <c r="DI25" s="22">
        <f t="shared" si="15"/>
        <v>11.870560316771609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26.4</v>
      </c>
      <c r="DO25" s="12">
        <f>IF('Données projet'!$A$166&gt;35,DO24+DN25-DW24,IF(A25&lt;'Données projet'!$A$166,$DL$205^A25,IF(A25='Données projet'!$A$166,'Données projet'!$B$166,DO24+DN25-DW24)))</f>
        <v>190.80000000000004</v>
      </c>
      <c r="DP25" s="17">
        <f>DO25*VLOOKUP('Données projet'!$B$14,Paramètres!$A$1:$I$89,3,0)*VLOOKUP('Données projet'!$B$14,Paramètres!$A$1:$I$89,5,0)</f>
        <v>76.892400000000009</v>
      </c>
      <c r="DQ25" s="13">
        <f t="shared" si="43"/>
        <v>21.375616623556329</v>
      </c>
      <c r="DR25" s="20">
        <f t="shared" si="16"/>
        <v>171.15012895269396</v>
      </c>
      <c r="DS25" s="59">
        <f t="shared" si="17"/>
        <v>392.33104285616236</v>
      </c>
      <c r="DT25" s="59">
        <f ca="1">AVERAGE(OFFSET($DS$3,0,0,'Données projet'!$E$14+1,1))-AVERAGE(OFFSET($H$3,0,0,'Données projet'!$E$14+1,1))</f>
        <v>419.35339339286082</v>
      </c>
      <c r="DU25" s="59">
        <f t="shared" si="44"/>
        <v>359.03308141414709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1.46959518939205</v>
      </c>
      <c r="EB25" s="21">
        <f>EXP(-LN(2)/25)*EB24+(1-EXP(-LN(2)/25))/(LN(2)/25)*Calculateur!DW25*Calculateur!DY25*VLOOKUP('Données projet'!$B$14,Paramètres!$A$1:$I$89,3,0)*0.475*44/12</f>
        <v>4.0342397965602226</v>
      </c>
      <c r="EC25" s="21">
        <f>EXP(-LN(2)/2)*EC24+(1-EXP(-LN(2)/2))/(LN(2)/2)*DW25*DZ25*VLOOKUP('Données projet'!$B$14,Paramètres!$A$1:$I$89,3,0)*0.475*44/12</f>
        <v>2.0761177523594045</v>
      </c>
      <c r="ED25" s="22">
        <f t="shared" si="18"/>
        <v>7.5799527383116772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37.200000000000003</v>
      </c>
      <c r="EJ25" s="12">
        <f>IF('Données projet'!$A$192&gt;35,EJ24+EI25-ER24,IF(A25&lt;'Données projet'!$A$192,$EG$205^A25,IF(A25='Données projet'!$A$192,'Données projet'!$B$192,EJ24+EI25-ER24)))</f>
        <v>205.40000000000003</v>
      </c>
      <c r="EK25" s="17">
        <f>EJ25*VLOOKUP('Données projet'!$B$15,Paramètres!$A$1:$I$89,3,0)*VLOOKUP('Données projet'!$B$15,Paramètres!$A$1:$I$89,5,0)</f>
        <v>90.786800000000014</v>
      </c>
      <c r="EL25" s="13">
        <f t="shared" si="45"/>
        <v>24.754885972493234</v>
      </c>
      <c r="EM25" s="20">
        <f t="shared" si="19"/>
        <v>201.23510306875903</v>
      </c>
      <c r="EN25" s="59">
        <f t="shared" si="20"/>
        <v>422.41601697222745</v>
      </c>
      <c r="EO25" s="59">
        <f ca="1">AVERAGE(OFFSET($EN$3,0,0,'Données projet'!$E$15+1,1))-AVERAGE(OFFSET($H$3,0,0,'Données projet'!$E$15+1,1))</f>
        <v>561.50881628354409</v>
      </c>
      <c r="EP25" s="59">
        <f t="shared" si="46"/>
        <v>468.67708352238458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5.4553707278672636</v>
      </c>
      <c r="EW25" s="21">
        <f>EXP(-LN(2)/25)*EW24+(1-EXP(-LN(2)/25))/(LN(2)/25)*Calculateur!ER25*Calculateur!ET25*VLOOKUP('Données projet'!$B$15,Paramètres!$A$1:$I$89,3,0)*0.475*44/12</f>
        <v>14.975738798149118</v>
      </c>
      <c r="EX25" s="21">
        <f>EXP(-LN(2)/2)*EX24+(1-EXP(-LN(2)/2))/(LN(2)/2)*ER25*EU25*VLOOKUP('Données projet'!$B$15,Paramètres!$A$1:$I$89,3,0)*0.475*44/12</f>
        <v>7.7068788028031481</v>
      </c>
      <c r="EY25" s="22">
        <f t="shared" si="21"/>
        <v>28.137988328819532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</v>
      </c>
      <c r="N26" s="13">
        <f>IF('Données projet'!$A$36&gt;35,N25+M26-V25,IF(A26&lt;'Données projet'!$A$36,$K$205^A26,IF(A26='Données projet'!$A$36,'Données projet'!$B$36,N25+M26-V25)))</f>
        <v>91</v>
      </c>
      <c r="O26" s="13">
        <f>N26*VLOOKUP('Données projet'!$B$9,Paramètres!$A$1:$I$89,3,0)*VLOOKUP('Données projet'!$B$9,Paramètres!$A$1:$I$89,5,0)</f>
        <v>82.336799999999997</v>
      </c>
      <c r="P26" s="13">
        <f t="shared" si="33"/>
        <v>22.707582950885364</v>
      </c>
      <c r="Q26" s="20">
        <f t="shared" si="2"/>
        <v>182.95230030612535</v>
      </c>
      <c r="R26" s="59">
        <f t="shared" si="0"/>
        <v>406.43749701567185</v>
      </c>
      <c r="S26" s="59">
        <f ca="1">AVERAGE(OFFSET($R$3,0,0,'Données projet'!$E$9+1,1))-AVERAGE(OFFSET($H$3,0,0,'Données projet'!$E$9+1,1))</f>
        <v>484.04602944257209</v>
      </c>
      <c r="T26" s="59">
        <f t="shared" si="34"/>
        <v>297.32483725004124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66.961439999999996</v>
      </c>
      <c r="AK26" s="13">
        <f t="shared" si="35"/>
        <v>18.9169381762505</v>
      </c>
      <c r="AL26" s="20">
        <f t="shared" si="4"/>
        <v>149.5715086569696</v>
      </c>
      <c r="AM26" s="59">
        <f t="shared" si="5"/>
        <v>373.0567053665161</v>
      </c>
      <c r="AN26" s="59">
        <f ca="1">AVERAGE(OFFSET($AM$3,0,0,'Données projet'!$E$10+1,1))-AVERAGE(OFFSET($H$3,0,0,'Données projet'!$E$10+1,1))</f>
        <v>493.74122500490859</v>
      </c>
      <c r="AO26" s="59">
        <f t="shared" si="36"/>
        <v>299.43985151679692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92.252160000000003</v>
      </c>
      <c r="BF26" s="13">
        <f t="shared" si="37"/>
        <v>25.107607958259987</v>
      </c>
      <c r="BG26" s="20">
        <f t="shared" si="7"/>
        <v>204.40159586063612</v>
      </c>
      <c r="BH26" s="59">
        <f t="shared" si="8"/>
        <v>427.88679257018259</v>
      </c>
      <c r="BI26" s="59">
        <f ca="1">AVERAGE(OFFSET($BH$3,0,0,'Données projet'!$E$11+1,1))-AVERAGE(OFFSET($H$3,0,0,'Données projet'!$E$11+1,1))</f>
        <v>364.64276939439014</v>
      </c>
      <c r="BJ26" s="59">
        <f t="shared" si="38"/>
        <v>341.7578598026638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22.8</v>
      </c>
      <c r="BY26" s="12">
        <f>IF('Données projet'!$A$114&gt;35,BY25+BX26-CG25,IF(A26&lt;'Données projet'!$A$114,$BV$205^A26,IF(A26='Données projet'!$A$114,'Données projet'!$B$114,BY25+BX26-CG25)))</f>
        <v>208.40000000000006</v>
      </c>
      <c r="BZ26" s="13">
        <f>BY26*VLOOKUP('Données projet'!$B$12,Paramètres!$A$1:$I$89,3,0)*VLOOKUP('Données projet'!$B$12,Paramètres!$A$1:$I$89,5,0)</f>
        <v>124.62320000000004</v>
      </c>
      <c r="CA26" s="13">
        <f t="shared" si="39"/>
        <v>32.750900958675722</v>
      </c>
      <c r="CB26" s="20">
        <f t="shared" si="10"/>
        <v>274.09322583636032</v>
      </c>
      <c r="CC26" s="59">
        <f t="shared" si="11"/>
        <v>497.57842254590685</v>
      </c>
      <c r="CD26" s="59">
        <f ca="1">AVERAGE(OFFSET($CC$3,0,0,'Données projet'!$E$12+1,1))-AVERAGE(OFFSET($H$3,0,0,'Données projet'!$E$12+1,1))</f>
        <v>435.81281313761326</v>
      </c>
      <c r="CE26" s="59">
        <f t="shared" si="40"/>
        <v>460.93390058676493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5.0915657413979822</v>
      </c>
      <c r="CL26" s="21">
        <f>EXP(-LN(2)/25)*CL25+(1-EXP(-LN(2)/25))/(LN(2)/25)*Calculateur!CG26*Calculateur!CI26*VLOOKUP('Données projet'!$B$12,Paramètres!$A$1:$I$89,3,0)*0.475*44/12</f>
        <v>13.776534021549137</v>
      </c>
      <c r="CM26" s="21">
        <f>EXP(-LN(2)/2)*CM25+(1-EXP(-LN(2)/2))/(LN(2)/2)*CG26*CJ26*VLOOKUP('Données projet'!$B$12,Paramètres!$A$1:$I$89,3,0)*0.475*44/12</f>
        <v>5.4857301920152315</v>
      </c>
      <c r="CN26" s="22">
        <f t="shared" si="12"/>
        <v>24.35382995496235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11</v>
      </c>
      <c r="CT26" s="12">
        <f>IF('Données projet'!$A$140&gt;35,CT25+CS26-DB25,IF(A26&lt;'Données projet'!$A$140,$CQ$205^A26,IF(A26='Données projet'!$A$140,'Données projet'!$B$140,CT25+CS26-DB25)))</f>
        <v>133</v>
      </c>
      <c r="CU26" s="17">
        <f>CT26*VLOOKUP('Données projet'!$B$13,Paramètres!$A$1:$I$89,3,0)*VLOOKUP('Données projet'!$B$13,Paramètres!$A$1:$I$89,5,0)</f>
        <v>62.243999999999993</v>
      </c>
      <c r="CV26" s="13">
        <f t="shared" si="41"/>
        <v>17.734404526076432</v>
      </c>
      <c r="CW26" s="20">
        <f t="shared" si="13"/>
        <v>139.29572121624975</v>
      </c>
      <c r="CX26" s="59">
        <f t="shared" si="14"/>
        <v>362.78091792579625</v>
      </c>
      <c r="CY26" s="59">
        <f ca="1">AVERAGE(OFFSET($CX$3,0,0,'Données projet'!$E$13+1,1))-AVERAGE(OFFSET($H$3,0,0,'Données projet'!$E$13+1,1))</f>
        <v>379.16472924112111</v>
      </c>
      <c r="CZ26" s="59">
        <f t="shared" si="42"/>
        <v>273.18950868898253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7.0104833100836714</v>
      </c>
      <c r="DH26" s="21">
        <f>EXP(-LN(2)/2)*DH25+(1-EXP(-LN(2)/2))/(LN(2)/2)*DB26*DE26*VLOOKUP('Données projet'!$B$13,Paramètres!$A$1:$I$89,3,0)*0.475*44/12</f>
        <v>3.2972286634759471</v>
      </c>
      <c r="DI26" s="22">
        <f t="shared" si="15"/>
        <v>10.307711973559618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26.4</v>
      </c>
      <c r="DO26" s="12">
        <f>IF('Données projet'!$A$166&gt;35,DO25+DN26-DW25,IF(A26&lt;'Données projet'!$A$166,$DL$205^A26,IF(A26='Données projet'!$A$166,'Données projet'!$B$166,DO25+DN26-DW25)))</f>
        <v>217.20000000000005</v>
      </c>
      <c r="DP26" s="17">
        <f>DO26*VLOOKUP('Données projet'!$B$14,Paramètres!$A$1:$I$89,3,0)*VLOOKUP('Données projet'!$B$14,Paramètres!$A$1:$I$89,5,0)</f>
        <v>87.531600000000012</v>
      </c>
      <c r="DQ26" s="13">
        <f t="shared" si="43"/>
        <v>23.968946244214525</v>
      </c>
      <c r="DR26" s="20">
        <f t="shared" si="16"/>
        <v>194.19678470867362</v>
      </c>
      <c r="DS26" s="59">
        <f t="shared" si="17"/>
        <v>417.68198141822012</v>
      </c>
      <c r="DT26" s="59">
        <f ca="1">AVERAGE(OFFSET($DS$3,0,0,'Données projet'!$E$14+1,1))-AVERAGE(OFFSET($H$3,0,0,'Données projet'!$E$14+1,1))</f>
        <v>419.35339339286082</v>
      </c>
      <c r="DU26" s="59">
        <f t="shared" si="44"/>
        <v>359.03308141414709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1.4407773240926287</v>
      </c>
      <c r="EB26" s="21">
        <f>EXP(-LN(2)/25)*EB25+(1-EXP(-LN(2)/25))/(LN(2)/25)*Calculateur!DW26*Calculateur!DY26*VLOOKUP('Données projet'!$B$14,Paramètres!$A$1:$I$89,3,0)*0.475*44/12</f>
        <v>3.9239232971718327</v>
      </c>
      <c r="EC26" s="21">
        <f>EXP(-LN(2)/2)*EC25+(1-EXP(-LN(2)/2))/(LN(2)/2)*DW26*DZ26*VLOOKUP('Données projet'!$B$14,Paramètres!$A$1:$I$89,3,0)*0.475*44/12</f>
        <v>1.4680369412351084</v>
      </c>
      <c r="ED26" s="22">
        <f t="shared" si="18"/>
        <v>6.8327375624995694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37.200000000000003</v>
      </c>
      <c r="EJ26" s="12">
        <f>IF('Données projet'!$A$192&gt;35,EJ25+EI26-ER25,IF(A26&lt;'Données projet'!$A$192,$EG$205^A26,IF(A26='Données projet'!$A$192,'Données projet'!$B$192,EJ25+EI26-ER25)))</f>
        <v>242.60000000000002</v>
      </c>
      <c r="EK26" s="17">
        <f>EJ26*VLOOKUP('Données projet'!$B$15,Paramètres!$A$1:$I$89,3,0)*VLOOKUP('Données projet'!$B$15,Paramètres!$A$1:$I$89,5,0)</f>
        <v>107.22920000000002</v>
      </c>
      <c r="EL26" s="13">
        <f t="shared" si="45"/>
        <v>28.677196348124994</v>
      </c>
      <c r="EM26" s="20">
        <f t="shared" si="19"/>
        <v>236.70364030631768</v>
      </c>
      <c r="EN26" s="59">
        <f t="shared" si="20"/>
        <v>460.18883701586418</v>
      </c>
      <c r="EO26" s="59">
        <f ca="1">AVERAGE(OFFSET($EN$3,0,0,'Données projet'!$E$15+1,1))-AVERAGE(OFFSET($H$3,0,0,'Données projet'!$E$15+1,1))</f>
        <v>561.50881628354409</v>
      </c>
      <c r="EP26" s="59">
        <f t="shared" si="46"/>
        <v>468.67708352238458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5.348394235341372</v>
      </c>
      <c r="EW26" s="21">
        <f>EXP(-LN(2)/25)*EW25+(1-EXP(-LN(2)/25))/(LN(2)/25)*Calculateur!ER26*Calculateur!ET26*VLOOKUP('Données projet'!$B$15,Paramètres!$A$1:$I$89,3,0)*0.475*44/12</f>
        <v>14.566226433173854</v>
      </c>
      <c r="EX26" s="21">
        <f>EXP(-LN(2)/2)*EX25+(1-EXP(-LN(2)/2))/(LN(2)/2)*ER26*EU26*VLOOKUP('Données projet'!$B$15,Paramètres!$A$1:$I$89,3,0)*0.475*44/12</f>
        <v>5.4495862632449672</v>
      </c>
      <c r="EY26" s="22">
        <f t="shared" si="21"/>
        <v>25.364206931760194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</v>
      </c>
      <c r="N27" s="13">
        <f>IF('Données projet'!$A$36&gt;35,N26+M27-V26,IF(A27&lt;'Données projet'!$A$36,$K$205^A27,IF(A27='Données projet'!$A$36,'Données projet'!$B$36,N26+M27-V26)))</f>
        <v>97</v>
      </c>
      <c r="O27" s="13">
        <f>N27*VLOOKUP('Données projet'!$B$9,Paramètres!$A$1:$I$89,3,0)*VLOOKUP('Données projet'!$B$9,Paramètres!$A$1:$I$89,5,0)</f>
        <v>87.765600000000006</v>
      </c>
      <c r="P27" s="13">
        <f t="shared" si="33"/>
        <v>24.025555589247954</v>
      </c>
      <c r="Q27" s="20">
        <f t="shared" si="2"/>
        <v>194.7029293179402</v>
      </c>
      <c r="R27" s="59">
        <f t="shared" si="0"/>
        <v>420.47363750156001</v>
      </c>
      <c r="S27" s="59">
        <f ca="1">AVERAGE(OFFSET($R$3,0,0,'Données projet'!$E$9+1,1))-AVERAGE(OFFSET($H$3,0,0,'Données projet'!$E$9+1,1))</f>
        <v>484.04602944257209</v>
      </c>
      <c r="T27" s="59">
        <f t="shared" si="34"/>
        <v>297.32483725004124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73.338720000000009</v>
      </c>
      <c r="AK27" s="13">
        <f t="shared" si="35"/>
        <v>20.500317703224091</v>
      </c>
      <c r="AL27" s="20">
        <f t="shared" si="4"/>
        <v>163.43632399978199</v>
      </c>
      <c r="AM27" s="59">
        <f t="shared" si="5"/>
        <v>389.20703218340179</v>
      </c>
      <c r="AN27" s="59">
        <f ca="1">AVERAGE(OFFSET($AM$3,0,0,'Données projet'!$E$10+1,1))-AVERAGE(OFFSET($H$3,0,0,'Données projet'!$E$10+1,1))</f>
        <v>493.74122500490859</v>
      </c>
      <c r="AO27" s="59">
        <f t="shared" si="36"/>
        <v>299.43985151679692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101.16288</v>
      </c>
      <c r="BF27" s="13">
        <f t="shared" si="37"/>
        <v>27.238850979377386</v>
      </c>
      <c r="BG27" s="20">
        <f t="shared" si="7"/>
        <v>223.63301478908227</v>
      </c>
      <c r="BH27" s="59">
        <f t="shared" si="8"/>
        <v>449.4037229727021</v>
      </c>
      <c r="BI27" s="59">
        <f ca="1">AVERAGE(OFFSET($BH$3,0,0,'Données projet'!$E$11+1,1))-AVERAGE(OFFSET($H$3,0,0,'Données projet'!$E$11+1,1))</f>
        <v>364.64276939439014</v>
      </c>
      <c r="BJ27" s="59">
        <f t="shared" si="38"/>
        <v>341.7578598026638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22.8</v>
      </c>
      <c r="BY27" s="12">
        <f>IF('Données projet'!$A$114&gt;35,BY26+BX27-CG26,IF(A27&lt;'Données projet'!$A$114,$BV$205^A27,IF(A27='Données projet'!$A$114,'Données projet'!$B$114,BY26+BX27-CG26)))</f>
        <v>231.20000000000007</v>
      </c>
      <c r="BZ27" s="13">
        <f>BY27*VLOOKUP('Données projet'!$B$12,Paramètres!$A$1:$I$89,3,0)*VLOOKUP('Données projet'!$B$12,Paramètres!$A$1:$I$89,5,0)</f>
        <v>138.25760000000005</v>
      </c>
      <c r="CA27" s="13">
        <f t="shared" si="39"/>
        <v>35.897555647294986</v>
      </c>
      <c r="CB27" s="20">
        <f t="shared" si="10"/>
        <v>303.32022941903887</v>
      </c>
      <c r="CC27" s="59">
        <f t="shared" si="11"/>
        <v>529.09093760265864</v>
      </c>
      <c r="CD27" s="59">
        <f ca="1">AVERAGE(OFFSET($CC$3,0,0,'Données projet'!$E$12+1,1))-AVERAGE(OFFSET($H$3,0,0,'Données projet'!$E$12+1,1))</f>
        <v>435.81281313761326</v>
      </c>
      <c r="CE27" s="59">
        <f t="shared" si="40"/>
        <v>460.93390058676493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4.9917232427576224</v>
      </c>
      <c r="CL27" s="21">
        <f>EXP(-LN(2)/25)*CL26+(1-EXP(-LN(2)/25))/(LN(2)/25)*Calculateur!CG27*Calculateur!CI27*VLOOKUP('Données projet'!$B$12,Paramètres!$A$1:$I$89,3,0)*0.475*44/12</f>
        <v>13.399813974253439</v>
      </c>
      <c r="CM27" s="21">
        <f>EXP(-LN(2)/2)*CM26+(1-EXP(-LN(2)/2))/(LN(2)/2)*CG27*CJ27*VLOOKUP('Données projet'!$B$12,Paramètres!$A$1:$I$89,3,0)*0.475*44/12</f>
        <v>3.8789970185337519</v>
      </c>
      <c r="CN27" s="22">
        <f t="shared" si="12"/>
        <v>22.270534235544815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11</v>
      </c>
      <c r="CT27" s="12">
        <f>IF('Données projet'!$A$140&gt;35,CT26+CS27-DB26,IF(A27&lt;'Données projet'!$A$140,$CQ$205^A27,IF(A27='Données projet'!$A$140,'Données projet'!$B$140,CT26+CS27-DB26)))</f>
        <v>144</v>
      </c>
      <c r="CU27" s="17">
        <f>CT27*VLOOKUP('Données projet'!$B$13,Paramètres!$A$1:$I$89,3,0)*VLOOKUP('Données projet'!$B$13,Paramètres!$A$1:$I$89,5,0)</f>
        <v>67.391999999999996</v>
      </c>
      <c r="CV27" s="13">
        <f t="shared" si="41"/>
        <v>19.02437502991798</v>
      </c>
      <c r="CW27" s="20">
        <f t="shared" si="13"/>
        <v>150.5085198437738</v>
      </c>
      <c r="CX27" s="59">
        <f t="shared" si="14"/>
        <v>376.27922802739363</v>
      </c>
      <c r="CY27" s="59">
        <f ca="1">AVERAGE(OFFSET($CX$3,0,0,'Données projet'!$E$13+1,1))-AVERAGE(OFFSET($H$3,0,0,'Données projet'!$E$13+1,1))</f>
        <v>379.16472924112111</v>
      </c>
      <c r="CZ27" s="59">
        <f t="shared" si="42"/>
        <v>273.18950868898253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6.818781275304139</v>
      </c>
      <c r="DH27" s="21">
        <f>EXP(-LN(2)/2)*DH26+(1-EXP(-LN(2)/2))/(LN(2)/2)*DB27*DE27*VLOOKUP('Données projet'!$B$13,Paramètres!$A$1:$I$89,3,0)*0.475*44/12</f>
        <v>2.3314927470664992</v>
      </c>
      <c r="DI27" s="22">
        <f t="shared" si="15"/>
        <v>9.1502740223706382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26.4</v>
      </c>
      <c r="DO27" s="12">
        <f>IF('Données projet'!$A$166&gt;35,DO26+DN27-DW26,IF(A27&lt;'Données projet'!$A$166,$DL$205^A27,IF(A27='Données projet'!$A$166,'Données projet'!$B$166,DO26+DN27-DW26)))</f>
        <v>243.60000000000005</v>
      </c>
      <c r="DP27" s="17">
        <f>DO27*VLOOKUP('Données projet'!$B$14,Paramètres!$A$1:$I$89,3,0)*VLOOKUP('Données projet'!$B$14,Paramètres!$A$1:$I$89,5,0)</f>
        <v>98.170800000000028</v>
      </c>
      <c r="DQ27" s="13">
        <f t="shared" si="43"/>
        <v>26.525748752747578</v>
      </c>
      <c r="DR27" s="20">
        <f t="shared" si="16"/>
        <v>217.17982241103539</v>
      </c>
      <c r="DS27" s="59">
        <f t="shared" si="17"/>
        <v>442.95053059465522</v>
      </c>
      <c r="DT27" s="59">
        <f ca="1">AVERAGE(OFFSET($DS$3,0,0,'Données projet'!$E$14+1,1))-AVERAGE(OFFSET($H$3,0,0,'Données projet'!$E$14+1,1))</f>
        <v>419.35339339286082</v>
      </c>
      <c r="DU27" s="59">
        <f t="shared" si="44"/>
        <v>359.03308141414709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1.412524559554567</v>
      </c>
      <c r="EB27" s="21">
        <f>EXP(-LN(2)/25)*EB26+(1-EXP(-LN(2)/25))/(LN(2)/25)*Calculateur!DW27*Calculateur!DY27*VLOOKUP('Données projet'!$B$14,Paramètres!$A$1:$I$89,3,0)*0.475*44/12</f>
        <v>3.8166234082605111</v>
      </c>
      <c r="EC27" s="21">
        <f>EXP(-LN(2)/2)*EC26+(1-EXP(-LN(2)/2))/(LN(2)/2)*DW27*DZ27*VLOOKUP('Données projet'!$B$14,Paramètres!$A$1:$I$89,3,0)*0.475*44/12</f>
        <v>1.0380588761797025</v>
      </c>
      <c r="ED27" s="22">
        <f t="shared" si="18"/>
        <v>6.2672068439947806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37.200000000000003</v>
      </c>
      <c r="EJ27" s="12">
        <f>IF('Données projet'!$A$192&gt;35,EJ26+EI27-ER26,IF(A27&lt;'Données projet'!$A$192,$EG$205^A27,IF(A27='Données projet'!$A$192,'Données projet'!$B$192,EJ26+EI27-ER26)))</f>
        <v>279.8</v>
      </c>
      <c r="EK27" s="17">
        <f>EJ27*VLOOKUP('Données projet'!$B$15,Paramètres!$A$1:$I$89,3,0)*VLOOKUP('Données projet'!$B$15,Paramètres!$A$1:$I$89,5,0)</f>
        <v>123.67160000000001</v>
      </c>
      <c r="EL27" s="13">
        <f t="shared" si="45"/>
        <v>32.529831878811208</v>
      </c>
      <c r="EM27" s="20">
        <f t="shared" si="19"/>
        <v>272.05082718892953</v>
      </c>
      <c r="EN27" s="59">
        <f t="shared" si="20"/>
        <v>497.82153537254931</v>
      </c>
      <c r="EO27" s="59">
        <f ca="1">AVERAGE(OFFSET($EN$3,0,0,'Données projet'!$E$15+1,1))-AVERAGE(OFFSET($H$3,0,0,'Données projet'!$E$15+1,1))</f>
        <v>561.50881628354409</v>
      </c>
      <c r="EP27" s="59">
        <f t="shared" si="46"/>
        <v>468.67708352238458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5.2435154865846956</v>
      </c>
      <c r="EW27" s="21">
        <f>EXP(-LN(2)/25)*EW26+(1-EXP(-LN(2)/25))/(LN(2)/25)*Calculateur!ER27*Calculateur!ET27*VLOOKUP('Données projet'!$B$15,Paramètres!$A$1:$I$89,3,0)*0.475*44/12</f>
        <v>14.16791220535416</v>
      </c>
      <c r="EX27" s="21">
        <f>EXP(-LN(2)/2)*EX26+(1-EXP(-LN(2)/2))/(LN(2)/2)*ER27*EU27*VLOOKUP('Données projet'!$B$15,Paramètres!$A$1:$I$89,3,0)*0.475*44/12</f>
        <v>3.8534394014015745</v>
      </c>
      <c r="EY27" s="22">
        <f t="shared" si="21"/>
        <v>23.264867093340428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6</v>
      </c>
      <c r="M28" s="12">
        <f t="array" ref="M28">INDEX(L:L,MIN(IF(ISNUMBER(L28:L224),ROW(L28:L224),"")))</f>
        <v>6</v>
      </c>
      <c r="N28" s="13">
        <f>IF('Données projet'!$A$36&gt;35,N27+M28-V27,IF(A28&lt;'Données projet'!$A$36,$K$205^A28,IF(A28='Données projet'!$A$36,'Données projet'!$B$36,N27+M28-V27)))</f>
        <v>103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434.47485318479289</v>
      </c>
      <c r="S28" s="59">
        <f ca="1">AVERAGE(OFFSET($R$3,0,0,'Données projet'!$E$9+1,1))-AVERAGE(OFFSET($H$3,0,0,'Données projet'!$E$9+1,1))</f>
        <v>484.04602944257209</v>
      </c>
      <c r="T28" s="59">
        <f t="shared" si="34"/>
        <v>297.32483725004124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79.716000000000008</v>
      </c>
      <c r="AK28" s="13">
        <f t="shared" si="35"/>
        <v>22.067730286351054</v>
      </c>
      <c r="AL28" s="20">
        <f t="shared" si="4"/>
        <v>177.27333024872806</v>
      </c>
      <c r="AM28" s="59">
        <f t="shared" si="5"/>
        <v>405.31110421506014</v>
      </c>
      <c r="AN28" s="59">
        <f ca="1">AVERAGE(OFFSET($AM$3,0,0,'Données projet'!$E$10+1,1))-AVERAGE(OFFSET($H$3,0,0,'Données projet'!$E$10+1,1))</f>
        <v>493.74122500490859</v>
      </c>
      <c r="AO28" s="59">
        <f t="shared" si="36"/>
        <v>299.43985151679692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110.07360000000001</v>
      </c>
      <c r="BF28" s="13">
        <f t="shared" si="37"/>
        <v>29.348324631518828</v>
      </c>
      <c r="BG28" s="20">
        <f t="shared" si="7"/>
        <v>242.8265187332286</v>
      </c>
      <c r="BH28" s="59">
        <f t="shared" si="8"/>
        <v>470.86429269956068</v>
      </c>
      <c r="BI28" s="59">
        <f ca="1">AVERAGE(OFFSET($BH$3,0,0,'Données projet'!$E$11+1,1))-AVERAGE(OFFSET($H$3,0,0,'Données projet'!$E$11+1,1))</f>
        <v>364.64276939439014</v>
      </c>
      <c r="BJ28" s="59">
        <f t="shared" si="38"/>
        <v>341.7578598026638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254</v>
      </c>
      <c r="BW28" s="12">
        <f>VLOOKUP(A28,'Données projet'!$A$113:$I$133,9,0)</f>
        <v>22.8</v>
      </c>
      <c r="BX28" s="12">
        <f t="array" ref="BX28">INDEX(BW:BW,MIN(IF(ISNUMBER(BW28:BW224),ROW(BW28:BW224),"")))</f>
        <v>22.8</v>
      </c>
      <c r="BY28" s="12">
        <f>IF('Données projet'!$A$114&gt;35,BY27+BX28-CG27,IF(A28&lt;'Données projet'!$A$114,$BV$205^A28,IF(A28='Données projet'!$A$114,'Données projet'!$B$114,BY27+BX28-CG27)))</f>
        <v>254.00000000000009</v>
      </c>
      <c r="BZ28" s="13">
        <f>BY28*VLOOKUP('Données projet'!$B$12,Paramètres!$A$1:$I$89,3,0)*VLOOKUP('Données projet'!$B$12,Paramètres!$A$1:$I$89,5,0)</f>
        <v>151.89200000000005</v>
      </c>
      <c r="CA28" s="13">
        <f t="shared" si="39"/>
        <v>39.008235247069457</v>
      </c>
      <c r="CB28" s="20">
        <f t="shared" si="10"/>
        <v>332.48457638864602</v>
      </c>
      <c r="CC28" s="59">
        <f t="shared" si="11"/>
        <v>560.52235035497813</v>
      </c>
      <c r="CD28" s="59">
        <f ca="1">AVERAGE(OFFSET($CC$3,0,0,'Données projet'!$E$12+1,1))-AVERAGE(OFFSET($H$3,0,0,'Données projet'!$E$12+1,1))</f>
        <v>435.81281313761326</v>
      </c>
      <c r="CE28" s="59">
        <f t="shared" si="40"/>
        <v>460.93390058676493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63</v>
      </c>
      <c r="CH28" s="16">
        <f>IF(ISNA(VLOOKUP(A28,'Données projet'!$A$113:$I$133,5,0)),0%,VLOOKUP(A28,'Données projet'!$A$113:$I$133,5,0)*VLOOKUP('Données projet'!$B$12,Paramètres!$A$1:$I$89,7,0))</f>
        <v>0.13500000000000001</v>
      </c>
      <c r="CI28" s="16">
        <f>IF(ISNA(VLOOKUP(A28,'Données projet'!$A$113:$I$133,6,0)),0%,VLOOKUP(A28,'Données projet'!$A$113:$I$133,6,0)*VLOOKUP('Données projet'!$B$12,Paramètres!$A$1:$I$89,7,0))</f>
        <v>0.17550000000000002</v>
      </c>
      <c r="CJ28" s="16">
        <f>IF(ISNA(VLOOKUP(A28,'Données projet'!$A$113:$I$133,7,0)),0%,VLOOKUP(A28,'Données projet'!$A$113:$I$133,7,0))</f>
        <v>0.31</v>
      </c>
      <c r="CK28" s="21">
        <f>EXP(-LN(2)/35)*CK27+(1-EXP(-LN(2)/35))/(LN(2)/35)*CG28*CH28*VLOOKUP('Données projet'!$B$12,Paramètres!$A$1:$I$89,3,0)*0.475*44/12</f>
        <v>11.640732149338637</v>
      </c>
      <c r="CL28" s="21">
        <f>EXP(-LN(2)/25)*CL27+(1-EXP(-LN(2)/25))/(LN(2)/25)*Calculateur!CG28*Calculateur!CI28*VLOOKUP('Données projet'!$B$12,Paramètres!$A$1:$I$89,3,0)*0.475*44/12</f>
        <v>21.769822359698317</v>
      </c>
      <c r="CM28" s="21">
        <f>EXP(-LN(2)/2)*CM27+(1-EXP(-LN(2)/2))/(LN(2)/2)*CG28*CJ28*VLOOKUP('Données projet'!$B$12,Paramètres!$A$1:$I$89,3,0)*0.475*44/12</f>
        <v>15.966138164881361</v>
      </c>
      <c r="CN28" s="22">
        <f t="shared" si="12"/>
        <v>49.376692673918313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11</v>
      </c>
      <c r="CT28" s="12">
        <f>IF('Données projet'!$A$140&gt;35,CT27+CS28-DB27,IF(A28&lt;'Données projet'!$A$140,$CQ$205^A28,IF(A28='Données projet'!$A$140,'Données projet'!$B$140,CT27+CS28-DB27)))</f>
        <v>155</v>
      </c>
      <c r="CU28" s="17">
        <f>CT28*VLOOKUP('Données projet'!$B$13,Paramètres!$A$1:$I$89,3,0)*VLOOKUP('Données projet'!$B$13,Paramètres!$A$1:$I$89,5,0)</f>
        <v>72.539999999999992</v>
      </c>
      <c r="CV28" s="13">
        <f t="shared" si="41"/>
        <v>20.302914660456786</v>
      </c>
      <c r="CW28" s="20">
        <f t="shared" si="13"/>
        <v>161.70140970029556</v>
      </c>
      <c r="CX28" s="59">
        <f t="shared" si="14"/>
        <v>389.7391836666277</v>
      </c>
      <c r="CY28" s="59">
        <f ca="1">AVERAGE(OFFSET($CX$3,0,0,'Données projet'!$E$13+1,1))-AVERAGE(OFFSET($H$3,0,0,'Données projet'!$E$13+1,1))</f>
        <v>379.16472924112111</v>
      </c>
      <c r="CZ28" s="59">
        <f t="shared" si="42"/>
        <v>273.18950868898253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6.6323213427468248</v>
      </c>
      <c r="DH28" s="21">
        <f>EXP(-LN(2)/2)*DH27+(1-EXP(-LN(2)/2))/(LN(2)/2)*DB28*DE28*VLOOKUP('Données projet'!$B$13,Paramètres!$A$1:$I$89,3,0)*0.475*44/12</f>
        <v>1.6486143317379738</v>
      </c>
      <c r="DI28" s="22">
        <f t="shared" si="15"/>
        <v>8.2809356744847982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270</v>
      </c>
      <c r="DM28" s="12">
        <f>VLOOKUP(A28,'Données projet'!$A$165:$I$185,9,0)</f>
        <v>26.4</v>
      </c>
      <c r="DN28" s="12">
        <f t="array" ref="DN28">INDEX(DM:DM,MIN(IF(ISNUMBER(DM28:DM224),ROW(DM28:DM224),"")))</f>
        <v>26.4</v>
      </c>
      <c r="DO28" s="12">
        <f>IF('Données projet'!$A$166&gt;35,DO27+DN28-DW27,IF(A28&lt;'Données projet'!$A$166,$DL$205^A28,IF(A28='Données projet'!$A$166,'Données projet'!$B$166,DO27+DN28-DW27)))</f>
        <v>270.00000000000006</v>
      </c>
      <c r="DP28" s="17">
        <f>DO28*VLOOKUP('Données projet'!$B$14,Paramètres!$A$1:$I$89,3,0)*VLOOKUP('Données projet'!$B$14,Paramètres!$A$1:$I$89,5,0)</f>
        <v>108.81000000000003</v>
      </c>
      <c r="DQ28" s="13">
        <f t="shared" si="43"/>
        <v>29.05043404802263</v>
      </c>
      <c r="DR28" s="20">
        <f t="shared" si="16"/>
        <v>240.10692263363944</v>
      </c>
      <c r="DS28" s="59">
        <f t="shared" si="17"/>
        <v>468.14469659997155</v>
      </c>
      <c r="DT28" s="59">
        <f ca="1">AVERAGE(OFFSET($DS$3,0,0,'Données projet'!$E$14+1,1))-AVERAGE(OFFSET($H$3,0,0,'Données projet'!$E$14+1,1))</f>
        <v>419.35339339286082</v>
      </c>
      <c r="DU28" s="59">
        <f t="shared" si="44"/>
        <v>359.03308141414709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70</v>
      </c>
      <c r="DX28" s="16">
        <f>IF(ISNA(VLOOKUP(A28,'Données projet'!$A$165:$I$185,5,0)),0%,VLOOKUP(A28,'Données projet'!$A$165:$I$185,5,0)*VLOOKUP('Données projet'!$B$14,Paramètres!$A$1:$I$89,7,0))</f>
        <v>0.16500000000000001</v>
      </c>
      <c r="DY28" s="16">
        <f>IF(ISNA(VLOOKUP(A28,'Données projet'!$A$165:$I$185,6,0)),0%,VLOOKUP(A28,'Données projet'!$A$165:$I$185,6,0)*VLOOKUP('Données projet'!$B$14,Paramètres!$A$1:$I$89,7,0))</f>
        <v>0.21450000000000002</v>
      </c>
      <c r="DZ28" s="16">
        <f>IF(ISNA(VLOOKUP(A28,'Données projet'!$A$165:$I$185,7,0)),0%,VLOOKUP(A28,'Données projet'!$A$165:$I$185,7,0))</f>
        <v>0.31</v>
      </c>
      <c r="EA28" s="21">
        <f>EXP(-LN(2)/35)*EA27+(1-EXP(-LN(2)/35))/(LN(2)/35)*DW28*DX28*VLOOKUP('Données projet'!$B$14,Paramètres!$A$1:$I$89,3,0)*0.475*44/12</f>
        <v>7.5595190570082664</v>
      </c>
      <c r="EB28" s="21">
        <f>EXP(-LN(2)/25)*EB27+(1-EXP(-LN(2)/25))/(LN(2)/25)*Calculateur!DW28*Calculateur!DY28*VLOOKUP('Données projet'!$B$14,Paramètres!$A$1:$I$89,3,0)*0.475*44/12</f>
        <v>11.707753099669429</v>
      </c>
      <c r="EC28" s="21">
        <f>EXP(-LN(2)/2)*EC27+(1-EXP(-LN(2)/2))/(LN(2)/2)*DW28*DZ28*VLOOKUP('Données projet'!$B$14,Paramètres!$A$1:$I$89,3,0)*0.475*44/12</f>
        <v>10.635503135716251</v>
      </c>
      <c r="ED28" s="22">
        <f t="shared" si="18"/>
        <v>29.902775292393947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317</v>
      </c>
      <c r="EH28" s="12">
        <f>VLOOKUP(A28,'Données projet'!$A$191:$I$211,9,0)</f>
        <v>37.200000000000003</v>
      </c>
      <c r="EI28" s="12">
        <f t="array" ref="EI28">INDEX(EH:EH,MIN(IF(ISNUMBER(EH28:EH224),ROW(EH28:EH224),"")))</f>
        <v>37.200000000000003</v>
      </c>
      <c r="EJ28" s="12">
        <f>IF('Données projet'!$A$192&gt;35,EJ27+EI28-ER27,IF(A28&lt;'Données projet'!$A$192,$EG$205^A28,IF(A28='Données projet'!$A$192,'Données projet'!$B$192,EJ27+EI28-ER27)))</f>
        <v>317</v>
      </c>
      <c r="EK28" s="17">
        <f>EJ28*VLOOKUP('Données projet'!$B$15,Paramètres!$A$1:$I$89,3,0)*VLOOKUP('Données projet'!$B$15,Paramètres!$A$1:$I$89,5,0)</f>
        <v>140.114</v>
      </c>
      <c r="EL28" s="13">
        <f t="shared" si="45"/>
        <v>36.323120056877237</v>
      </c>
      <c r="EM28" s="20">
        <f t="shared" si="19"/>
        <v>307.29465076572779</v>
      </c>
      <c r="EN28" s="59">
        <f t="shared" si="20"/>
        <v>535.33242473205996</v>
      </c>
      <c r="EO28" s="59">
        <f ca="1">AVERAGE(OFFSET($EN$3,0,0,'Données projet'!$E$15+1,1))-AVERAGE(OFFSET($H$3,0,0,'Données projet'!$E$15+1,1))</f>
        <v>561.50881628354409</v>
      </c>
      <c r="EP28" s="59">
        <f t="shared" si="46"/>
        <v>468.67708352238458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91</v>
      </c>
      <c r="ES28" s="16">
        <f>IF(ISNA(VLOOKUP(A28,'Données projet'!$A$191:$I$211,5,0)),0%,VLOOKUP(A28,'Données projet'!$A$191:$I$211,5,0)*VLOOKUP('Données projet'!$B$15,Paramètres!$A$1:$I$89,7,0))</f>
        <v>0.16500000000000001</v>
      </c>
      <c r="ET28" s="16">
        <f>IF(ISNA(VLOOKUP(A28,'Données projet'!$A$191:$I$211,6,0)),0%,VLOOKUP(A28,'Données projet'!$A$191:$I$211,6,0)*VLOOKUP('Données projet'!$B$15,Paramètres!$A$1:$I$89,7,0))</f>
        <v>0.21450000000000002</v>
      </c>
      <c r="EU28" s="16">
        <f>IF(ISNA(VLOOKUP(A28,'Données projet'!$A$191:$I$211,7,0)),0%,VLOOKUP(A28,'Données projet'!$A$191:$I$211,7,0))</f>
        <v>0.31</v>
      </c>
      <c r="EV28" s="21">
        <f>EXP(-LN(2)/35)*EV27+(1-EXP(-LN(2)/35))/(LN(2)/35)*ER28*ES28*VLOOKUP('Données projet'!$B$15,Paramètres!$A$1:$I$89,3,0)*0.475*44/12</f>
        <v>13.944610808025136</v>
      </c>
      <c r="EW28" s="21">
        <f>EXP(-LN(2)/25)*EW27+(1-EXP(-LN(2)/25))/(LN(2)/25)*Calculateur!ER28*Calculateur!ET28*VLOOKUP('Données projet'!$B$15,Paramètres!$A$1:$I$89,3,0)*0.475*44/12</f>
        <v>25.180518910631481</v>
      </c>
      <c r="EX28" s="21">
        <f>EXP(-LN(2)/2)*EX27+(1-EXP(-LN(2)/2))/(LN(2)/2)*ER28*EU28*VLOOKUP('Données projet'!$B$15,Paramètres!$A$1:$I$89,3,0)*0.475*44/12</f>
        <v>16.842393847666436</v>
      </c>
      <c r="EY28" s="22">
        <f t="shared" si="21"/>
        <v>55.967523566323052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</v>
      </c>
      <c r="N29" s="13">
        <f>IF('Données projet'!$A$36&gt;35,N28+M29-V28,IF(A29&lt;'Données projet'!$A$36,$K$205^A29,IF(A29='Données projet'!$A$36,'Données projet'!$B$36,N28+M29-V28)))</f>
        <v>106.6</v>
      </c>
      <c r="O29" s="13">
        <f>N29*VLOOKUP('Données projet'!$B$9,Paramètres!$A$1:$I$89,3,0)*VLOOKUP('Données projet'!$B$9,Paramètres!$A$1:$I$89,5,0)</f>
        <v>96.451679999999996</v>
      </c>
      <c r="P29" s="13">
        <f t="shared" si="33"/>
        <v>26.114890017542621</v>
      </c>
      <c r="Q29" s="20">
        <f t="shared" si="2"/>
        <v>213.47010944722004</v>
      </c>
      <c r="R29" s="59">
        <f t="shared" si="0"/>
        <v>443.75682349641022</v>
      </c>
      <c r="S29" s="59">
        <f ca="1">AVERAGE(OFFSET($R$3,0,0,'Données projet'!$E$9+1,1))-AVERAGE(OFFSET($H$3,0,0,'Données projet'!$E$9+1,1))</f>
        <v>484.04602944257209</v>
      </c>
      <c r="T29" s="59">
        <f t="shared" si="34"/>
        <v>297.32483725004124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5.4</v>
      </c>
      <c r="AI29" s="13">
        <f>IF('Données projet'!$A$62&gt;35,AI28+AH29-AQ28,IF(A29&lt;'Données projet'!$A$62,$AF$205^A29,IF(A29='Données projet'!$A$62,'Données projet'!$B$62,AI28+AH29-AQ28)))</f>
        <v>75.400000000000006</v>
      </c>
      <c r="AJ29" s="13">
        <f>AI29*VLOOKUP('Données projet'!$B$10,Paramètres!$A$1:$I$89,3,0)*VLOOKUP('Données projet'!$B$10,Paramètres!$A$1:$I$89,5,0)</f>
        <v>85.865520000000004</v>
      </c>
      <c r="AK29" s="13">
        <f t="shared" si="35"/>
        <v>23.565375283928201</v>
      </c>
      <c r="AL29" s="20">
        <f t="shared" si="4"/>
        <v>190.59214261950831</v>
      </c>
      <c r="AM29" s="59">
        <f t="shared" si="5"/>
        <v>420.87885666869852</v>
      </c>
      <c r="AN29" s="59">
        <f ca="1">AVERAGE(OFFSET($AM$3,0,0,'Données projet'!$E$10+1,1))-AVERAGE(OFFSET($H$3,0,0,'Données projet'!$E$10+1,1))</f>
        <v>493.74122500490859</v>
      </c>
      <c r="AO29" s="59">
        <f t="shared" si="36"/>
        <v>299.43985151679692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95.921280000000024</v>
      </c>
      <c r="BF29" s="13">
        <f t="shared" si="37"/>
        <v>25.98795633328076</v>
      </c>
      <c r="BG29" s="20">
        <f t="shared" si="7"/>
        <v>212.32525328046404</v>
      </c>
      <c r="BH29" s="59">
        <f t="shared" si="8"/>
        <v>442.61196732965425</v>
      </c>
      <c r="BI29" s="59">
        <f ca="1">AVERAGE(OFFSET($BH$3,0,0,'Données projet'!$E$11+1,1))-AVERAGE(OFFSET($H$3,0,0,'Données projet'!$E$11+1,1))</f>
        <v>364.64276939439014</v>
      </c>
      <c r="BJ29" s="59">
        <f t="shared" si="38"/>
        <v>341.7578598026638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24</v>
      </c>
      <c r="BY29" s="12">
        <f>IF('Données projet'!$A$114&gt;35,BY28+BX29-CG28,IF(A29&lt;'Données projet'!$A$114,$BV$205^A29,IF(A29='Données projet'!$A$114,'Données projet'!$B$114,BY28+BX29-CG28)))</f>
        <v>215.00000000000011</v>
      </c>
      <c r="BZ29" s="13">
        <f>BY29*VLOOKUP('Données projet'!$B$12,Paramètres!$A$1:$I$89,3,0)*VLOOKUP('Données projet'!$B$12,Paramètres!$A$1:$I$89,5,0)</f>
        <v>128.57000000000008</v>
      </c>
      <c r="CA29" s="13">
        <f t="shared" si="39"/>
        <v>33.665715905233277</v>
      </c>
      <c r="CB29" s="20">
        <f t="shared" si="10"/>
        <v>282.56053853494808</v>
      </c>
      <c r="CC29" s="59">
        <f t="shared" si="11"/>
        <v>512.84725258413823</v>
      </c>
      <c r="CD29" s="59">
        <f ca="1">AVERAGE(OFFSET($CC$3,0,0,'Données projet'!$E$12+1,1))-AVERAGE(OFFSET($H$3,0,0,'Données projet'!$E$12+1,1))</f>
        <v>435.81281313761326</v>
      </c>
      <c r="CE29" s="59">
        <f t="shared" si="40"/>
        <v>460.93390058676493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11.412464492035637</v>
      </c>
      <c r="CL29" s="21">
        <f>EXP(-LN(2)/25)*CL28+(1-EXP(-LN(2)/25))/(LN(2)/25)*Calculateur!CG29*Calculateur!CI29*VLOOKUP('Données projet'!$B$12,Paramètres!$A$1:$I$89,3,0)*0.475*44/12</f>
        <v>21.174525422447164</v>
      </c>
      <c r="CM29" s="21">
        <f>EXP(-LN(2)/2)*CM28+(1-EXP(-LN(2)/2))/(LN(2)/2)*CG29*CJ29*VLOOKUP('Données projet'!$B$12,Paramètres!$A$1:$I$89,3,0)*0.475*44/12</f>
        <v>11.289764565748952</v>
      </c>
      <c r="CN29" s="22">
        <f t="shared" si="12"/>
        <v>43.876754480231753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</v>
      </c>
      <c r="CT29" s="12">
        <f>IF('Données projet'!$A$140&gt;35,CT28+CS29-DB28,IF(A29&lt;'Données projet'!$A$140,$CQ$205^A29,IF(A29='Données projet'!$A$140,'Données projet'!$B$140,CT28+CS29-DB28)))</f>
        <v>166</v>
      </c>
      <c r="CU29" s="17">
        <f>CT29*VLOOKUP('Données projet'!$B$13,Paramètres!$A$1:$I$89,3,0)*VLOOKUP('Données projet'!$B$13,Paramètres!$A$1:$I$89,5,0)</f>
        <v>77.688000000000002</v>
      </c>
      <c r="CV29" s="13">
        <f t="shared" si="41"/>
        <v>21.570926907728207</v>
      </c>
      <c r="CW29" s="20">
        <f t="shared" si="13"/>
        <v>172.87596436429328</v>
      </c>
      <c r="CX29" s="59">
        <f t="shared" si="14"/>
        <v>403.16267841348349</v>
      </c>
      <c r="CY29" s="59">
        <f ca="1">AVERAGE(OFFSET($CX$3,0,0,'Données projet'!$E$13+1,1))-AVERAGE(OFFSET($H$3,0,0,'Données projet'!$E$13+1,1))</f>
        <v>379.16472924112111</v>
      </c>
      <c r="CZ29" s="59">
        <f t="shared" si="42"/>
        <v>273.18950868898253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6.4509601668507921</v>
      </c>
      <c r="DH29" s="21">
        <f>EXP(-LN(2)/2)*DH28+(1-EXP(-LN(2)/2))/(LN(2)/2)*DB29*DE29*VLOOKUP('Données projet'!$B$13,Paramètres!$A$1:$I$89,3,0)*0.475*44/12</f>
        <v>1.1657463735332498</v>
      </c>
      <c r="DI29" s="22">
        <f t="shared" si="15"/>
        <v>7.6167065403840422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28.6</v>
      </c>
      <c r="DO29" s="12">
        <f>IF('Données projet'!$A$166&gt;35,DO28+DN29-DW28,IF(A29&lt;'Données projet'!$A$166,$DL$205^A29,IF(A29='Données projet'!$A$166,'Données projet'!$B$166,DO28+DN29-DW28)))</f>
        <v>228.60000000000008</v>
      </c>
      <c r="DP29" s="17">
        <f>DO29*VLOOKUP('Données projet'!$B$14,Paramètres!$A$1:$I$89,3,0)*VLOOKUP('Données projet'!$B$14,Paramètres!$A$1:$I$89,5,0)</f>
        <v>92.125800000000041</v>
      </c>
      <c r="DQ29" s="13">
        <f t="shared" si="43"/>
        <v>25.07721809422981</v>
      </c>
      <c r="DR29" s="20">
        <f t="shared" si="16"/>
        <v>204.12858984745029</v>
      </c>
      <c r="DS29" s="59">
        <f t="shared" si="17"/>
        <v>434.41530389664047</v>
      </c>
      <c r="DT29" s="59">
        <f ca="1">AVERAGE(OFFSET($DS$3,0,0,'Données projet'!$E$14+1,1))-AVERAGE(OFFSET($H$3,0,0,'Données projet'!$E$14+1,1))</f>
        <v>419.35339339286082</v>
      </c>
      <c r="DU29" s="59">
        <f t="shared" si="44"/>
        <v>359.03308141414709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7.4112814991516753</v>
      </c>
      <c r="EB29" s="21">
        <f>EXP(-LN(2)/25)*EB28+(1-EXP(-LN(2)/25))/(LN(2)/25)*Calculateur!DW29*Calculateur!DY29*VLOOKUP('Données projet'!$B$14,Paramètres!$A$1:$I$89,3,0)*0.475*44/12</f>
        <v>11.387603975474992</v>
      </c>
      <c r="EC29" s="21">
        <f>EXP(-LN(2)/2)*EC28+(1-EXP(-LN(2)/2))/(LN(2)/2)*DW29*DZ29*VLOOKUP('Données projet'!$B$14,Paramètres!$A$1:$I$89,3,0)*0.475*44/12</f>
        <v>7.5204363885957513</v>
      </c>
      <c r="ED29" s="22">
        <f t="shared" si="18"/>
        <v>26.319321863222417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40.6</v>
      </c>
      <c r="EJ29" s="12">
        <f>IF('Données projet'!$A$192&gt;35,EJ28+EI29-ER28,IF(A29&lt;'Données projet'!$A$192,$EG$205^A29,IF(A29='Données projet'!$A$192,'Données projet'!$B$192,EJ28+EI29-ER28)))</f>
        <v>266.60000000000002</v>
      </c>
      <c r="EK29" s="17">
        <f>EJ29*VLOOKUP('Données projet'!$B$15,Paramètres!$A$1:$I$89,3,0)*VLOOKUP('Données projet'!$B$15,Paramètres!$A$1:$I$89,5,0)</f>
        <v>117.83720000000002</v>
      </c>
      <c r="EL29" s="13">
        <f t="shared" si="45"/>
        <v>31.170028994320312</v>
      </c>
      <c r="EM29" s="20">
        <f t="shared" si="19"/>
        <v>259.52092383177461</v>
      </c>
      <c r="EN29" s="59">
        <f t="shared" si="20"/>
        <v>489.80763788096476</v>
      </c>
      <c r="EO29" s="59">
        <f ca="1">AVERAGE(OFFSET($EN$3,0,0,'Données projet'!$E$15+1,1))-AVERAGE(OFFSET($H$3,0,0,'Données projet'!$E$15+1,1))</f>
        <v>561.50881628354409</v>
      </c>
      <c r="EP29" s="59">
        <f t="shared" si="46"/>
        <v>468.67708352238458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13.67116549545252</v>
      </c>
      <c r="EW29" s="21">
        <f>EXP(-LN(2)/25)*EW28+(1-EXP(-LN(2)/25))/(LN(2)/25)*Calculateur!ER29*Calculateur!ET29*VLOOKUP('Données projet'!$B$15,Paramètres!$A$1:$I$89,3,0)*0.475*44/12</f>
        <v>24.491956296834324</v>
      </c>
      <c r="EX29" s="21">
        <f>EXP(-LN(2)/2)*EX28+(1-EXP(-LN(2)/2))/(LN(2)/2)*ER29*EU29*VLOOKUP('Données projet'!$B$15,Paramètres!$A$1:$I$89,3,0)*0.475*44/12</f>
        <v>11.909370901099527</v>
      </c>
      <c r="EY29" s="22">
        <f t="shared" si="21"/>
        <v>50.072492693386373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</v>
      </c>
      <c r="N30" s="13">
        <f>IF('Données projet'!$A$36&gt;35,N29+M30-V29,IF(A30&lt;'Données projet'!$A$36,$K$205^A30,IF(A30='Données projet'!$A$36,'Données projet'!$B$36,N29+M30-V29)))</f>
        <v>110.19999999999999</v>
      </c>
      <c r="O30" s="13">
        <f>N30*VLOOKUP('Données projet'!$B$9,Paramètres!$A$1:$I$89,3,0)*VLOOKUP('Données projet'!$B$9,Paramètres!$A$1:$I$89,5,0)</f>
        <v>99.70895999999999</v>
      </c>
      <c r="P30" s="13">
        <f t="shared" si="33"/>
        <v>26.892649524411862</v>
      </c>
      <c r="Q30" s="20">
        <f t="shared" si="2"/>
        <v>220.49780325501729</v>
      </c>
      <c r="R30" s="59">
        <f t="shared" si="0"/>
        <v>453.01564612758079</v>
      </c>
      <c r="S30" s="59">
        <f ca="1">AVERAGE(OFFSET($R$3,0,0,'Données projet'!$E$9+1,1))-AVERAGE(OFFSET($H$3,0,0,'Données projet'!$E$9+1,1))</f>
        <v>484.04602944257209</v>
      </c>
      <c r="T30" s="59">
        <f t="shared" si="34"/>
        <v>297.32483725004124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5.4</v>
      </c>
      <c r="AI30" s="13">
        <f>IF('Données projet'!$A$62&gt;35,AI29+AH30-AQ29,IF(A30&lt;'Données projet'!$A$62,$AF$205^A30,IF(A30='Données projet'!$A$62,'Données projet'!$B$62,AI29+AH30-AQ29)))</f>
        <v>80.800000000000011</v>
      </c>
      <c r="AJ30" s="13">
        <f>AI30*VLOOKUP('Données projet'!$B$10,Paramètres!$A$1:$I$89,3,0)*VLOOKUP('Données projet'!$B$10,Paramètres!$A$1:$I$89,5,0)</f>
        <v>92.015040000000013</v>
      </c>
      <c r="AK30" s="13">
        <f t="shared" si="35"/>
        <v>25.050576074837696</v>
      </c>
      <c r="AL30" s="20">
        <f t="shared" si="4"/>
        <v>203.88928133034233</v>
      </c>
      <c r="AM30" s="59">
        <f t="shared" si="5"/>
        <v>436.40712420290583</v>
      </c>
      <c r="AN30" s="59">
        <f ca="1">AVERAGE(OFFSET($AM$3,0,0,'Données projet'!$E$10+1,1))-AVERAGE(OFFSET($H$3,0,0,'Données projet'!$E$10+1,1))</f>
        <v>493.74122500490859</v>
      </c>
      <c r="AO30" s="59">
        <f t="shared" si="36"/>
        <v>299.43985151679692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104.48256000000002</v>
      </c>
      <c r="BF30" s="13">
        <f t="shared" si="37"/>
        <v>28.02716504477474</v>
      </c>
      <c r="BG30" s="20">
        <f t="shared" si="7"/>
        <v>230.78777111964939</v>
      </c>
      <c r="BH30" s="59">
        <f t="shared" si="8"/>
        <v>463.3056139922129</v>
      </c>
      <c r="BI30" s="59">
        <f ca="1">AVERAGE(OFFSET($BH$3,0,0,'Données projet'!$E$11+1,1))-AVERAGE(OFFSET($H$3,0,0,'Données projet'!$E$11+1,1))</f>
        <v>364.64276939439014</v>
      </c>
      <c r="BJ30" s="59">
        <f t="shared" si="38"/>
        <v>341.7578598026638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24</v>
      </c>
      <c r="BY30" s="12">
        <f>IF('Données projet'!$A$114&gt;35,BY29+BX30-CG29,IF(A30&lt;'Données projet'!$A$114,$BV$205^A30,IF(A30='Données projet'!$A$114,'Données projet'!$B$114,BY29+BX30-CG29)))</f>
        <v>239.00000000000011</v>
      </c>
      <c r="BZ30" s="13">
        <f>BY30*VLOOKUP('Données projet'!$B$12,Paramètres!$A$1:$I$89,3,0)*VLOOKUP('Données projet'!$B$12,Paramètres!$A$1:$I$89,5,0)</f>
        <v>142.92200000000008</v>
      </c>
      <c r="CA30" s="13">
        <f t="shared" si="39"/>
        <v>36.965587791044591</v>
      </c>
      <c r="CB30" s="20">
        <f t="shared" si="10"/>
        <v>313.30421540273613</v>
      </c>
      <c r="CC30" s="59">
        <f t="shared" si="11"/>
        <v>545.8220582752997</v>
      </c>
      <c r="CD30" s="59">
        <f ca="1">AVERAGE(OFFSET($CC$3,0,0,'Données projet'!$E$12+1,1))-AVERAGE(OFFSET($H$3,0,0,'Données projet'!$E$12+1,1))</f>
        <v>435.81281313761326</v>
      </c>
      <c r="CE30" s="59">
        <f t="shared" si="40"/>
        <v>460.93390058676493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11.188673024262824</v>
      </c>
      <c r="CL30" s="21">
        <f>EXP(-LN(2)/25)*CL29+(1-EXP(-LN(2)/25))/(LN(2)/25)*Calculateur!CG30*Calculateur!CI30*VLOOKUP('Données projet'!$B$12,Paramètres!$A$1:$I$89,3,0)*0.475*44/12</f>
        <v>20.59550691125045</v>
      </c>
      <c r="CM30" s="21">
        <f>EXP(-LN(2)/2)*CM29+(1-EXP(-LN(2)/2))/(LN(2)/2)*CG30*CJ30*VLOOKUP('Données projet'!$B$12,Paramètres!$A$1:$I$89,3,0)*0.475*44/12</f>
        <v>7.9830690824406823</v>
      </c>
      <c r="CN30" s="22">
        <f t="shared" si="12"/>
        <v>39.767249017953958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</v>
      </c>
      <c r="CT30" s="12">
        <f>IF('Données projet'!$A$140&gt;35,CT29+CS30-DB29,IF(A30&lt;'Données projet'!$A$140,$CQ$205^A30,IF(A30='Données projet'!$A$140,'Données projet'!$B$140,CT29+CS30-DB29)))</f>
        <v>177</v>
      </c>
      <c r="CU30" s="17">
        <f>CT30*VLOOKUP('Données projet'!$B$13,Paramètres!$A$1:$I$89,3,0)*VLOOKUP('Données projet'!$B$13,Paramètres!$A$1:$I$89,5,0)</f>
        <v>82.835999999999999</v>
      </c>
      <c r="CV30" s="13">
        <f t="shared" si="41"/>
        <v>22.829188748646022</v>
      </c>
      <c r="CW30" s="20">
        <f t="shared" si="13"/>
        <v>184.03353707055848</v>
      </c>
      <c r="CX30" s="59">
        <f t="shared" si="14"/>
        <v>416.55137994312201</v>
      </c>
      <c r="CY30" s="59">
        <f ca="1">AVERAGE(OFFSET($CX$3,0,0,'Données projet'!$E$13+1,1))-AVERAGE(OFFSET($H$3,0,0,'Données projet'!$E$13+1,1))</f>
        <v>379.16472924112111</v>
      </c>
      <c r="CZ30" s="59">
        <f t="shared" si="42"/>
        <v>273.18950868898253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6.2745583218470058</v>
      </c>
      <c r="DH30" s="21">
        <f>EXP(-LN(2)/2)*DH29+(1-EXP(-LN(2)/2))/(LN(2)/2)*DB30*DE30*VLOOKUP('Données projet'!$B$13,Paramètres!$A$1:$I$89,3,0)*0.475*44/12</f>
        <v>0.824307165868987</v>
      </c>
      <c r="DI30" s="22">
        <f t="shared" si="15"/>
        <v>7.0988654877159929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28.6</v>
      </c>
      <c r="DO30" s="12">
        <f>IF('Données projet'!$A$166&gt;35,DO29+DN30-DW29,IF(A30&lt;'Données projet'!$A$166,$DL$205^A30,IF(A30='Données projet'!$A$166,'Données projet'!$B$166,DO29+DN30-DW29)))</f>
        <v>257.2000000000001</v>
      </c>
      <c r="DP30" s="17">
        <f>DO30*VLOOKUP('Données projet'!$B$14,Paramètres!$A$1:$I$89,3,0)*VLOOKUP('Données projet'!$B$14,Paramètres!$A$1:$I$89,5,0)</f>
        <v>103.65160000000004</v>
      </c>
      <c r="DQ30" s="13">
        <f t="shared" si="43"/>
        <v>27.830116712085445</v>
      </c>
      <c r="DR30" s="20">
        <f t="shared" si="16"/>
        <v>228.99732327354891</v>
      </c>
      <c r="DS30" s="59">
        <f t="shared" si="17"/>
        <v>461.51516614611239</v>
      </c>
      <c r="DT30" s="59">
        <f ca="1">AVERAGE(OFFSET($DS$3,0,0,'Données projet'!$E$14+1,1))-AVERAGE(OFFSET($H$3,0,0,'Données projet'!$E$14+1,1))</f>
        <v>419.35339339286082</v>
      </c>
      <c r="DU30" s="59">
        <f t="shared" si="44"/>
        <v>359.03308141414709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7.2659507893886692</v>
      </c>
      <c r="EB30" s="21">
        <f>EXP(-LN(2)/25)*EB29+(1-EXP(-LN(2)/25))/(LN(2)/25)*Calculateur!DW30*Calculateur!DY30*VLOOKUP('Données projet'!$B$14,Paramètres!$A$1:$I$89,3,0)*0.475*44/12</f>
        <v>11.076209345917562</v>
      </c>
      <c r="EC30" s="21">
        <f>EXP(-LN(2)/2)*EC29+(1-EXP(-LN(2)/2))/(LN(2)/2)*DW30*DZ30*VLOOKUP('Données projet'!$B$14,Paramètres!$A$1:$I$89,3,0)*0.475*44/12</f>
        <v>5.3177515678581262</v>
      </c>
      <c r="ED30" s="22">
        <f t="shared" si="18"/>
        <v>23.659911703164354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40.6</v>
      </c>
      <c r="EJ30" s="12">
        <f>IF('Données projet'!$A$192&gt;35,EJ29+EI30-ER29,IF(A30&lt;'Données projet'!$A$192,$EG$205^A30,IF(A30='Données projet'!$A$192,'Données projet'!$B$192,EJ29+EI30-ER29)))</f>
        <v>307.20000000000005</v>
      </c>
      <c r="EK30" s="17">
        <f>EJ30*VLOOKUP('Données projet'!$B$15,Paramètres!$A$1:$I$89,3,0)*VLOOKUP('Données projet'!$B$15,Paramètres!$A$1:$I$89,5,0)</f>
        <v>135.78240000000002</v>
      </c>
      <c r="EL30" s="13">
        <f t="shared" si="45"/>
        <v>35.329099218353022</v>
      </c>
      <c r="EM30" s="20">
        <f t="shared" si="19"/>
        <v>298.01919447196491</v>
      </c>
      <c r="EN30" s="59">
        <f t="shared" si="20"/>
        <v>530.53703734452847</v>
      </c>
      <c r="EO30" s="59">
        <f ca="1">AVERAGE(OFFSET($EN$3,0,0,'Données projet'!$E$15+1,1))-AVERAGE(OFFSET($H$3,0,0,'Données projet'!$E$15+1,1))</f>
        <v>561.50881628354409</v>
      </c>
      <c r="EP30" s="59">
        <f t="shared" si="46"/>
        <v>468.67708352238458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13.403082278674281</v>
      </c>
      <c r="EW30" s="21">
        <f>EXP(-LN(2)/25)*EW29+(1-EXP(-LN(2)/25))/(LN(2)/25)*Calculateur!ER30*Calculateur!ET30*VLOOKUP('Données projet'!$B$15,Paramètres!$A$1:$I$89,3,0)*0.475*44/12</f>
        <v>23.822222463921385</v>
      </c>
      <c r="EX30" s="21">
        <f>EXP(-LN(2)/2)*EX29+(1-EXP(-LN(2)/2))/(LN(2)/2)*ER30*EU30*VLOOKUP('Données projet'!$B$15,Paramètres!$A$1:$I$89,3,0)*0.475*44/12</f>
        <v>8.4211969238332198</v>
      </c>
      <c r="EY30" s="22">
        <f t="shared" si="21"/>
        <v>45.64650166642889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</v>
      </c>
      <c r="N31" s="13">
        <f>IF('Données projet'!$A$36&gt;35,N30+M31-V30,IF(A31&lt;'Données projet'!$A$36,$K$205^A31,IF(A31='Données projet'!$A$36,'Données projet'!$B$36,N30+M31-V30)))</f>
        <v>113.79999999999998</v>
      </c>
      <c r="O31" s="13">
        <f>N31*VLOOKUP('Données projet'!$B$9,Paramètres!$A$1:$I$89,3,0)*VLOOKUP('Données projet'!$B$9,Paramètres!$A$1:$I$89,5,0)</f>
        <v>102.96623999999998</v>
      </c>
      <c r="P31" s="13">
        <f t="shared" si="33"/>
        <v>27.6674566300326</v>
      </c>
      <c r="Q31" s="20">
        <f t="shared" si="2"/>
        <v>227.5203549639734</v>
      </c>
      <c r="R31" s="59">
        <f t="shared" si="0"/>
        <v>462.25182438595749</v>
      </c>
      <c r="S31" s="59">
        <f ca="1">AVERAGE(OFFSET($R$3,0,0,'Données projet'!$E$9+1,1))-AVERAGE(OFFSET($H$3,0,0,'Données projet'!$E$9+1,1))</f>
        <v>484.04602944257209</v>
      </c>
      <c r="T31" s="59">
        <f t="shared" si="34"/>
        <v>297.32483725004124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5.4</v>
      </c>
      <c r="AI31" s="13">
        <f>IF('Données projet'!$A$62&gt;35,AI30+AH31-AQ30,IF(A31&lt;'Données projet'!$A$62,$AF$205^A31,IF(A31='Données projet'!$A$62,'Données projet'!$B$62,AI30+AH31-AQ30)))</f>
        <v>86.200000000000017</v>
      </c>
      <c r="AJ31" s="13">
        <f>AI31*VLOOKUP('Données projet'!$B$10,Paramètres!$A$1:$I$89,3,0)*VLOOKUP('Données projet'!$B$10,Paramètres!$A$1:$I$89,5,0)</f>
        <v>98.164560000000023</v>
      </c>
      <c r="AK31" s="13">
        <f t="shared" si="35"/>
        <v>26.524258955302447</v>
      </c>
      <c r="AL31" s="20">
        <f t="shared" si="4"/>
        <v>217.16635968048513</v>
      </c>
      <c r="AM31" s="59">
        <f t="shared" si="5"/>
        <v>451.89782910246925</v>
      </c>
      <c r="AN31" s="59">
        <f ca="1">AVERAGE(OFFSET($AM$3,0,0,'Données projet'!$E$10+1,1))-AVERAGE(OFFSET($H$3,0,0,'Données projet'!$E$10+1,1))</f>
        <v>493.74122500490859</v>
      </c>
      <c r="AO31" s="59">
        <f t="shared" si="36"/>
        <v>299.43985151679692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113.04384000000002</v>
      </c>
      <c r="BF31" s="13">
        <f t="shared" si="37"/>
        <v>30.046993788338579</v>
      </c>
      <c r="BG31" s="20">
        <f t="shared" si="7"/>
        <v>249.2165355146897</v>
      </c>
      <c r="BH31" s="59">
        <f t="shared" si="8"/>
        <v>483.94800493667378</v>
      </c>
      <c r="BI31" s="59">
        <f ca="1">AVERAGE(OFFSET($BH$3,0,0,'Données projet'!$E$11+1,1))-AVERAGE(OFFSET($H$3,0,0,'Données projet'!$E$11+1,1))</f>
        <v>364.64276939439014</v>
      </c>
      <c r="BJ31" s="59">
        <f t="shared" si="38"/>
        <v>341.7578598026638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24</v>
      </c>
      <c r="BY31" s="12">
        <f>IF('Données projet'!$A$114&gt;35,BY30+BX31-CG30,IF(A31&lt;'Données projet'!$A$114,$BV$205^A31,IF(A31='Données projet'!$A$114,'Données projet'!$B$114,BY30+BX31-CG30)))</f>
        <v>263.00000000000011</v>
      </c>
      <c r="BZ31" s="13">
        <f>BY31*VLOOKUP('Données projet'!$B$12,Paramètres!$A$1:$I$89,3,0)*VLOOKUP('Données projet'!$B$12,Paramètres!$A$1:$I$89,5,0)</f>
        <v>157.27400000000009</v>
      </c>
      <c r="CA31" s="13">
        <f t="shared" si="39"/>
        <v>40.22704491543449</v>
      </c>
      <c r="CB31" s="20">
        <f t="shared" si="10"/>
        <v>343.98098656104861</v>
      </c>
      <c r="CC31" s="59">
        <f t="shared" si="11"/>
        <v>578.71245598303267</v>
      </c>
      <c r="CD31" s="59">
        <f ca="1">AVERAGE(OFFSET($CC$3,0,0,'Données projet'!$E$12+1,1))-AVERAGE(OFFSET($H$3,0,0,'Données projet'!$E$12+1,1))</f>
        <v>435.81281313761326</v>
      </c>
      <c r="CE31" s="59">
        <f t="shared" si="40"/>
        <v>460.93390058676493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10.96926997067372</v>
      </c>
      <c r="CL31" s="21">
        <f>EXP(-LN(2)/25)*CL30+(1-EXP(-LN(2)/25))/(LN(2)/25)*Calculateur!CG31*Calculateur!CI31*VLOOKUP('Données projet'!$B$12,Paramètres!$A$1:$I$89,3,0)*0.475*44/12</f>
        <v>20.032321691691671</v>
      </c>
      <c r="CM31" s="21">
        <f>EXP(-LN(2)/2)*CM30+(1-EXP(-LN(2)/2))/(LN(2)/2)*CG31*CJ31*VLOOKUP('Données projet'!$B$12,Paramètres!$A$1:$I$89,3,0)*0.475*44/12</f>
        <v>5.6448822828744767</v>
      </c>
      <c r="CN31" s="22">
        <f t="shared" si="12"/>
        <v>36.646473945239869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</v>
      </c>
      <c r="CT31" s="12">
        <f>IF('Données projet'!$A$140&gt;35,CT30+CS31-DB30,IF(A31&lt;'Données projet'!$A$140,$CQ$205^A31,IF(A31='Données projet'!$A$140,'Données projet'!$B$140,CT30+CS31-DB30)))</f>
        <v>188</v>
      </c>
      <c r="CU31" s="17">
        <f>CT31*VLOOKUP('Données projet'!$B$13,Paramètres!$A$1:$I$89,3,0)*VLOOKUP('Données projet'!$B$13,Paramètres!$A$1:$I$89,5,0)</f>
        <v>87.983999999999995</v>
      </c>
      <c r="CV31" s="13">
        <f t="shared" si="41"/>
        <v>24.078375128721785</v>
      </c>
      <c r="CW31" s="20">
        <f t="shared" si="13"/>
        <v>195.17530334919044</v>
      </c>
      <c r="CX31" s="59">
        <f t="shared" si="14"/>
        <v>429.90677277117453</v>
      </c>
      <c r="CY31" s="59">
        <f ca="1">AVERAGE(OFFSET($CX$3,0,0,'Données projet'!$E$13+1,1))-AVERAGE(OFFSET($H$3,0,0,'Données projet'!$E$13+1,1))</f>
        <v>379.16472924112111</v>
      </c>
      <c r="CZ31" s="59">
        <f t="shared" si="42"/>
        <v>273.18950868898253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6.1029801945714182</v>
      </c>
      <c r="DH31" s="21">
        <f>EXP(-LN(2)/2)*DH30+(1-EXP(-LN(2)/2))/(LN(2)/2)*DB31*DE31*VLOOKUP('Données projet'!$B$13,Paramètres!$A$1:$I$89,3,0)*0.475*44/12</f>
        <v>0.58287318676662492</v>
      </c>
      <c r="DI31" s="22">
        <f t="shared" si="15"/>
        <v>6.6858533813380427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28.6</v>
      </c>
      <c r="DO31" s="12">
        <f>IF('Données projet'!$A$166&gt;35,DO30+DN31-DW30,IF(A31&lt;'Données projet'!$A$166,$DL$205^A31,IF(A31='Données projet'!$A$166,'Données projet'!$B$166,DO30+DN31-DW30)))</f>
        <v>285.80000000000013</v>
      </c>
      <c r="DP31" s="17">
        <f>DO31*VLOOKUP('Données projet'!$B$14,Paramètres!$A$1:$I$89,3,0)*VLOOKUP('Données projet'!$B$14,Paramètres!$A$1:$I$89,5,0)</f>
        <v>115.17740000000006</v>
      </c>
      <c r="DQ31" s="13">
        <f t="shared" si="43"/>
        <v>30.547535991421519</v>
      </c>
      <c r="DR31" s="20">
        <f t="shared" si="16"/>
        <v>253.80426351839256</v>
      </c>
      <c r="DS31" s="59">
        <f t="shared" si="17"/>
        <v>488.53573294037665</v>
      </c>
      <c r="DT31" s="59">
        <f ca="1">AVERAGE(OFFSET($DS$3,0,0,'Données projet'!$E$14+1,1))-AVERAGE(OFFSET($H$3,0,0,'Données projet'!$E$14+1,1))</f>
        <v>419.35339339286082</v>
      </c>
      <c r="DU31" s="59">
        <f t="shared" si="44"/>
        <v>359.03308141414709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7.1234699262011354</v>
      </c>
      <c r="EB31" s="21">
        <f>EXP(-LN(2)/25)*EB30+(1-EXP(-LN(2)/25))/(LN(2)/25)*Calculateur!DW31*Calculateur!DY31*VLOOKUP('Données projet'!$B$14,Paramètres!$A$1:$I$89,3,0)*0.475*44/12</f>
        <v>10.773329818880912</v>
      </c>
      <c r="EC31" s="21">
        <f>EXP(-LN(2)/2)*EC30+(1-EXP(-LN(2)/2))/(LN(2)/2)*DW31*DZ31*VLOOKUP('Données projet'!$B$14,Paramètres!$A$1:$I$89,3,0)*0.475*44/12</f>
        <v>3.7602181942978765</v>
      </c>
      <c r="ED31" s="22">
        <f t="shared" si="18"/>
        <v>21.657017939379926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40.6</v>
      </c>
      <c r="EJ31" s="12">
        <f>IF('Données projet'!$A$192&gt;35,EJ30+EI31-ER30,IF(A31&lt;'Données projet'!$A$192,$EG$205^A31,IF(A31='Données projet'!$A$192,'Données projet'!$B$192,EJ30+EI31-ER30)))</f>
        <v>347.80000000000007</v>
      </c>
      <c r="EK31" s="17">
        <f>EJ31*VLOOKUP('Données projet'!$B$15,Paramètres!$A$1:$I$89,3,0)*VLOOKUP('Données projet'!$B$15,Paramètres!$A$1:$I$89,5,0)</f>
        <v>153.72760000000005</v>
      </c>
      <c r="EL31" s="13">
        <f t="shared" si="45"/>
        <v>39.424482096999981</v>
      </c>
      <c r="EM31" s="20">
        <f t="shared" si="19"/>
        <v>336.40654298560838</v>
      </c>
      <c r="EN31" s="59">
        <f t="shared" si="20"/>
        <v>571.13801240759244</v>
      </c>
      <c r="EO31" s="59">
        <f ca="1">AVERAGE(OFFSET($EN$3,0,0,'Données projet'!$E$15+1,1))-AVERAGE(OFFSET($H$3,0,0,'Données projet'!$E$15+1,1))</f>
        <v>561.50881628354409</v>
      </c>
      <c r="EP31" s="59">
        <f t="shared" si="46"/>
        <v>468.67708352238458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13.140256010262448</v>
      </c>
      <c r="EW31" s="21">
        <f>EXP(-LN(2)/25)*EW30+(1-EXP(-LN(2)/25))/(LN(2)/25)*Calculateur!ER31*Calculateur!ET31*VLOOKUP('Données projet'!$B$15,Paramètres!$A$1:$I$89,3,0)*0.475*44/12</f>
        <v>23.170802537889223</v>
      </c>
      <c r="EX31" s="21">
        <f>EXP(-LN(2)/2)*EX30+(1-EXP(-LN(2)/2))/(LN(2)/2)*ER31*EU31*VLOOKUP('Données projet'!$B$15,Paramètres!$A$1:$I$89,3,0)*0.475*44/12</f>
        <v>5.9546854505497642</v>
      </c>
      <c r="EY31" s="22">
        <f t="shared" si="21"/>
        <v>42.265743998701438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</v>
      </c>
      <c r="N32" s="13">
        <f>IF('Données projet'!$A$36&gt;35,N31+M32-V31,IF(A32&lt;'Données projet'!$A$36,$K$205^A32,IF(A32='Données projet'!$A$36,'Données projet'!$B$36,N31+M32-V31)))</f>
        <v>117.39999999999998</v>
      </c>
      <c r="O32" s="13">
        <f>N32*VLOOKUP('Données projet'!$B$9,Paramètres!$A$1:$I$89,3,0)*VLOOKUP('Données projet'!$B$9,Paramètres!$A$1:$I$89,5,0)</f>
        <v>106.22351999999998</v>
      </c>
      <c r="P32" s="13">
        <f t="shared" si="33"/>
        <v>28.439415446966855</v>
      </c>
      <c r="Q32" s="20">
        <f t="shared" si="2"/>
        <v>234.5379459034672</v>
      </c>
      <c r="R32" s="59">
        <f t="shared" si="0"/>
        <v>471.46584322624301</v>
      </c>
      <c r="S32" s="59">
        <f ca="1">AVERAGE(OFFSET($R$3,0,0,'Données projet'!$E$9+1,1))-AVERAGE(OFFSET($H$3,0,0,'Données projet'!$E$9+1,1))</f>
        <v>484.04602944257209</v>
      </c>
      <c r="T32" s="59">
        <f t="shared" si="34"/>
        <v>297.32483725004124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5.4</v>
      </c>
      <c r="AI32" s="13">
        <f>IF('Données projet'!$A$62&gt;35,AI31+AH32-AQ31,IF(A32&lt;'Données projet'!$A$62,$AF$205^A32,IF(A32='Données projet'!$A$62,'Données projet'!$B$62,AI31+AH32-AQ31)))</f>
        <v>91.600000000000023</v>
      </c>
      <c r="AJ32" s="13">
        <f>AI32*VLOOKUP('Données projet'!$B$10,Paramètres!$A$1:$I$89,3,0)*VLOOKUP('Données projet'!$B$10,Paramètres!$A$1:$I$89,5,0)</f>
        <v>104.31408000000002</v>
      </c>
      <c r="AK32" s="13">
        <f t="shared" si="35"/>
        <v>27.987227606206147</v>
      </c>
      <c r="AL32" s="20">
        <f t="shared" si="4"/>
        <v>230.42477741414237</v>
      </c>
      <c r="AM32" s="59">
        <f t="shared" si="5"/>
        <v>467.35267473691817</v>
      </c>
      <c r="AN32" s="59">
        <f ca="1">AVERAGE(OFFSET($AM$3,0,0,'Données projet'!$E$10+1,1))-AVERAGE(OFFSET($H$3,0,0,'Données projet'!$E$10+1,1))</f>
        <v>493.74122500490859</v>
      </c>
      <c r="AO32" s="59">
        <f t="shared" si="36"/>
        <v>299.43985151679692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121.60512000000003</v>
      </c>
      <c r="BF32" s="13">
        <f t="shared" si="37"/>
        <v>32.049077176455789</v>
      </c>
      <c r="BG32" s="20">
        <f t="shared" si="7"/>
        <v>267.61439341566057</v>
      </c>
      <c r="BH32" s="59">
        <f t="shared" si="8"/>
        <v>504.54229073843641</v>
      </c>
      <c r="BI32" s="59">
        <f ca="1">AVERAGE(OFFSET($BH$3,0,0,'Données projet'!$E$11+1,1))-AVERAGE(OFFSET($H$3,0,0,'Données projet'!$E$11+1,1))</f>
        <v>364.64276939439014</v>
      </c>
      <c r="BJ32" s="59">
        <f t="shared" si="38"/>
        <v>341.7578598026638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24</v>
      </c>
      <c r="BY32" s="12">
        <f>IF('Données projet'!$A$114&gt;35,BY31+BX32-CG31,IF(A32&lt;'Données projet'!$A$114,$BV$205^A32,IF(A32='Données projet'!$A$114,'Données projet'!$B$114,BY31+BX32-CG31)))</f>
        <v>287.00000000000011</v>
      </c>
      <c r="BZ32" s="13">
        <f>BY32*VLOOKUP('Données projet'!$B$12,Paramètres!$A$1:$I$89,3,0)*VLOOKUP('Données projet'!$B$12,Paramètres!$A$1:$I$89,5,0)</f>
        <v>171.62600000000009</v>
      </c>
      <c r="CA32" s="13">
        <f t="shared" si="39"/>
        <v>43.453991492329642</v>
      </c>
      <c r="CB32" s="20">
        <f t="shared" si="10"/>
        <v>374.5976518491409</v>
      </c>
      <c r="CC32" s="59">
        <f t="shared" si="11"/>
        <v>611.52554917191674</v>
      </c>
      <c r="CD32" s="59">
        <f ca="1">AVERAGE(OFFSET($CC$3,0,0,'Données projet'!$E$12+1,1))-AVERAGE(OFFSET($H$3,0,0,'Données projet'!$E$12+1,1))</f>
        <v>435.81281313761326</v>
      </c>
      <c r="CE32" s="59">
        <f t="shared" si="40"/>
        <v>460.93390058676493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10.754169277142848</v>
      </c>
      <c r="CL32" s="21">
        <f>EXP(-LN(2)/25)*CL31+(1-EXP(-LN(2)/25))/(LN(2)/25)*Calculateur!CG32*Calculateur!CI32*VLOOKUP('Données projet'!$B$12,Paramètres!$A$1:$I$89,3,0)*0.475*44/12</f>
        <v>19.484536801578347</v>
      </c>
      <c r="CM32" s="21">
        <f>EXP(-LN(2)/2)*CM31+(1-EXP(-LN(2)/2))/(LN(2)/2)*CG32*CJ32*VLOOKUP('Données projet'!$B$12,Paramètres!$A$1:$I$89,3,0)*0.475*44/12</f>
        <v>3.9915345412203416</v>
      </c>
      <c r="CN32" s="22">
        <f t="shared" si="12"/>
        <v>34.230240619941533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</v>
      </c>
      <c r="CT32" s="12">
        <f>IF('Données projet'!$A$140&gt;35,CT31+CS32-DB31,IF(A32&lt;'Données projet'!$A$140,$CQ$205^A32,IF(A32='Données projet'!$A$140,'Données projet'!$B$140,CT31+CS32-DB31)))</f>
        <v>199</v>
      </c>
      <c r="CU32" s="17">
        <f>CT32*VLOOKUP('Données projet'!$B$13,Paramètres!$A$1:$I$89,3,0)*VLOOKUP('Données projet'!$B$13,Paramètres!$A$1:$I$89,5,0)</f>
        <v>93.132000000000005</v>
      </c>
      <c r="CV32" s="13">
        <f t="shared" si="41"/>
        <v>25.319077548810455</v>
      </c>
      <c r="CW32" s="20">
        <f t="shared" si="13"/>
        <v>206.30229339751153</v>
      </c>
      <c r="CX32" s="59">
        <f t="shared" si="14"/>
        <v>443.2301907202874</v>
      </c>
      <c r="CY32" s="59">
        <f ca="1">AVERAGE(OFFSET($CX$3,0,0,'Données projet'!$E$13+1,1))-AVERAGE(OFFSET($H$3,0,0,'Données projet'!$E$13+1,1))</f>
        <v>379.16472924112111</v>
      </c>
      <c r="CZ32" s="59">
        <f t="shared" si="42"/>
        <v>273.18950868898253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5.936093880209083</v>
      </c>
      <c r="DH32" s="21">
        <f>EXP(-LN(2)/2)*DH31+(1-EXP(-LN(2)/2))/(LN(2)/2)*DB32*DE32*VLOOKUP('Données projet'!$B$13,Paramètres!$A$1:$I$89,3,0)*0.475*44/12</f>
        <v>0.4121535829344935</v>
      </c>
      <c r="DI32" s="22">
        <f t="shared" si="15"/>
        <v>6.3482474631435766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28.6</v>
      </c>
      <c r="DO32" s="12">
        <f>IF('Données projet'!$A$166&gt;35,DO31+DN32-DW31,IF(A32&lt;'Données projet'!$A$166,$DL$205^A32,IF(A32='Données projet'!$A$166,'Données projet'!$B$166,DO31+DN32-DW31)))</f>
        <v>314.40000000000015</v>
      </c>
      <c r="DP32" s="17">
        <f>DO32*VLOOKUP('Données projet'!$B$14,Paramètres!$A$1:$I$89,3,0)*VLOOKUP('Données projet'!$B$14,Paramètres!$A$1:$I$89,5,0)</f>
        <v>126.70320000000005</v>
      </c>
      <c r="DQ32" s="13">
        <f t="shared" si="43"/>
        <v>33.233430522173144</v>
      </c>
      <c r="DR32" s="20">
        <f t="shared" si="16"/>
        <v>278.55629815945161</v>
      </c>
      <c r="DS32" s="59">
        <f t="shared" si="17"/>
        <v>515.48419548222751</v>
      </c>
      <c r="DT32" s="59">
        <f ca="1">AVERAGE(OFFSET($DS$3,0,0,'Données projet'!$E$14+1,1))-AVERAGE(OFFSET($H$3,0,0,'Données projet'!$E$14+1,1))</f>
        <v>419.35339339286082</v>
      </c>
      <c r="DU32" s="59">
        <f t="shared" si="44"/>
        <v>359.03308141414709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6.9837830258359643</v>
      </c>
      <c r="EB32" s="21">
        <f>EXP(-LN(2)/25)*EB31+(1-EXP(-LN(2)/25))/(LN(2)/25)*Calculateur!DW32*Calculateur!DY32*VLOOKUP('Données projet'!$B$14,Paramètres!$A$1:$I$89,3,0)*0.475*44/12</f>
        <v>10.478732548438821</v>
      </c>
      <c r="EC32" s="21">
        <f>EXP(-LN(2)/2)*EC31+(1-EXP(-LN(2)/2))/(LN(2)/2)*DW32*DZ32*VLOOKUP('Données projet'!$B$14,Paramètres!$A$1:$I$89,3,0)*0.475*44/12</f>
        <v>2.6588757839290635</v>
      </c>
      <c r="ED32" s="22">
        <f t="shared" si="18"/>
        <v>20.121391358203848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40.6</v>
      </c>
      <c r="EJ32" s="12">
        <f>IF('Données projet'!$A$192&gt;35,EJ31+EI32-ER31,IF(A32&lt;'Données projet'!$A$192,$EG$205^A32,IF(A32='Données projet'!$A$192,'Données projet'!$B$192,EJ31+EI32-ER31)))</f>
        <v>388.40000000000009</v>
      </c>
      <c r="EK32" s="17">
        <f>EJ32*VLOOKUP('Données projet'!$B$15,Paramètres!$A$1:$I$89,3,0)*VLOOKUP('Données projet'!$B$15,Paramètres!$A$1:$I$89,5,0)</f>
        <v>171.67280000000005</v>
      </c>
      <c r="EL32" s="13">
        <f t="shared" si="45"/>
        <v>43.464461361691704</v>
      </c>
      <c r="EM32" s="20">
        <f t="shared" si="19"/>
        <v>374.69739687161314</v>
      </c>
      <c r="EN32" s="59">
        <f t="shared" si="20"/>
        <v>611.62529419438897</v>
      </c>
      <c r="EO32" s="59">
        <f ca="1">AVERAGE(OFFSET($EN$3,0,0,'Données projet'!$E$15+1,1))-AVERAGE(OFFSET($H$3,0,0,'Données projet'!$E$15+1,1))</f>
        <v>561.50881628354409</v>
      </c>
      <c r="EP32" s="59">
        <f t="shared" si="46"/>
        <v>468.67708352238458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12.882583604665975</v>
      </c>
      <c r="EW32" s="21">
        <f>EXP(-LN(2)/25)*EW31+(1-EXP(-LN(2)/25))/(LN(2)/25)*Calculateur!ER32*Calculateur!ET32*VLOOKUP('Données projet'!$B$15,Paramètres!$A$1:$I$89,3,0)*0.475*44/12</f>
        <v>22.537195723991093</v>
      </c>
      <c r="EX32" s="21">
        <f>EXP(-LN(2)/2)*EX31+(1-EXP(-LN(2)/2))/(LN(2)/2)*ER32*EU32*VLOOKUP('Données projet'!$B$15,Paramètres!$A$1:$I$89,3,0)*0.475*44/12</f>
        <v>4.2105984619166108</v>
      </c>
      <c r="EY32" s="22">
        <f t="shared" si="21"/>
        <v>39.630377790573682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3.6</v>
      </c>
      <c r="M33" s="12">
        <f t="array" ref="M33">INDEX(L:L,MIN(IF(ISNUMBER(L33:L229),ROW(L33:L229),"")))</f>
        <v>3.6</v>
      </c>
      <c r="N33" s="13">
        <f>IF('Données projet'!$A$36&gt;35,N32+M33-V32,IF(A33&lt;'Données projet'!$A$36,$K$205^A33,IF(A33='Données projet'!$A$36,'Données projet'!$B$36,N32+M33-V32)))</f>
        <v>120.99999999999997</v>
      </c>
      <c r="O33" s="13">
        <f>N33*VLOOKUP('Données projet'!$B$9,Paramètres!$A$1:$I$89,3,0)*VLOOKUP('Données projet'!$B$9,Paramètres!$A$1:$I$89,5,0)</f>
        <v>109.48079999999997</v>
      </c>
      <c r="P33" s="13">
        <f t="shared" si="33"/>
        <v>29.208623339903898</v>
      </c>
      <c r="Q33" s="20">
        <f t="shared" si="2"/>
        <v>241.55074565033257</v>
      </c>
      <c r="R33" s="59">
        <f t="shared" si="0"/>
        <v>480.65817058337456</v>
      </c>
      <c r="S33" s="59">
        <f ca="1">AVERAGE(OFFSET($R$3,0,0,'Données projet'!$E$9+1,1))-AVERAGE(OFFSET($H$3,0,0,'Données projet'!$E$9+1,1))</f>
        <v>484.04602944257209</v>
      </c>
      <c r="T33" s="59">
        <f t="shared" si="34"/>
        <v>297.32483725004124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5.4</v>
      </c>
      <c r="AH33" s="12">
        <f t="array" ref="AH33">INDEX(AG:AG,MIN(IF(ISNUMBER(AG33:AG229),ROW(AG33:AG229),"")))</f>
        <v>5.4</v>
      </c>
      <c r="AI33" s="13">
        <f>IF('Données projet'!$A$62&gt;35,AI32+AH33-AQ32,IF(A33&lt;'Données projet'!$A$62,$AF$205^A33,IF(A33='Données projet'!$A$62,'Données projet'!$B$62,AI32+AH33-AQ32)))</f>
        <v>97.000000000000028</v>
      </c>
      <c r="AJ33" s="13">
        <f>AI33*VLOOKUP('Données projet'!$B$10,Paramètres!$A$1:$I$89,3,0)*VLOOKUP('Données projet'!$B$10,Paramètres!$A$1:$I$89,5,0)</f>
        <v>110.46360000000003</v>
      </c>
      <c r="AK33" s="13">
        <f t="shared" si="35"/>
        <v>29.440185598328203</v>
      </c>
      <c r="AL33" s="20">
        <f t="shared" si="4"/>
        <v>243.66575991708831</v>
      </c>
      <c r="AM33" s="59">
        <f t="shared" si="5"/>
        <v>482.77318485013029</v>
      </c>
      <c r="AN33" s="59">
        <f ca="1">AVERAGE(OFFSET($AM$3,0,0,'Données projet'!$E$10+1,1))-AVERAGE(OFFSET($H$3,0,0,'Données projet'!$E$10+1,1))</f>
        <v>493.74122500490859</v>
      </c>
      <c r="AO33" s="59">
        <f t="shared" si="36"/>
        <v>299.43985151679692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130.16640000000004</v>
      </c>
      <c r="BF33" s="13">
        <f t="shared" si="37"/>
        <v>34.034806623706302</v>
      </c>
      <c r="BG33" s="20">
        <f t="shared" si="7"/>
        <v>285.98376820295522</v>
      </c>
      <c r="BH33" s="59">
        <f t="shared" si="8"/>
        <v>525.09119313599717</v>
      </c>
      <c r="BI33" s="59">
        <f ca="1">AVERAGE(OFFSET($BH$3,0,0,'Données projet'!$E$11+1,1))-AVERAGE(OFFSET($H$3,0,0,'Données projet'!$E$11+1,1))</f>
        <v>364.64276939439014</v>
      </c>
      <c r="BJ33" s="59">
        <f t="shared" si="38"/>
        <v>341.7578598026638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8.6000000000000007E-2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2.2424457805062863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2.2424457805062863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311</v>
      </c>
      <c r="BW33" s="12">
        <f>VLOOKUP(A33,'Données projet'!$A$113:$I$133,9,0)</f>
        <v>24</v>
      </c>
      <c r="BX33" s="12">
        <f t="array" ref="BX33">INDEX(BW:BW,MIN(IF(ISNUMBER(BW33:BW229),ROW(BW33:BW229),"")))</f>
        <v>24</v>
      </c>
      <c r="BY33" s="12">
        <f>IF('Données projet'!$A$114&gt;35,BY32+BX33-CG32,IF(A33&lt;'Données projet'!$A$114,$BV$205^A33,IF(A33='Données projet'!$A$114,'Données projet'!$B$114,BY32+BX33-CG32)))</f>
        <v>311.00000000000011</v>
      </c>
      <c r="BZ33" s="13">
        <f>BY33*VLOOKUP('Données projet'!$B$12,Paramètres!$A$1:$I$89,3,0)*VLOOKUP('Données projet'!$B$12,Paramètres!$A$1:$I$89,5,0)</f>
        <v>185.97800000000009</v>
      </c>
      <c r="CA33" s="13">
        <f t="shared" si="39"/>
        <v>46.649641523668613</v>
      </c>
      <c r="CB33" s="20">
        <f t="shared" si="10"/>
        <v>405.15980898705629</v>
      </c>
      <c r="CC33" s="59">
        <f t="shared" si="11"/>
        <v>644.26723392009831</v>
      </c>
      <c r="CD33" s="59">
        <f ca="1">AVERAGE(OFFSET($CC$3,0,0,'Données projet'!$E$12+1,1))-AVERAGE(OFFSET($H$3,0,0,'Données projet'!$E$12+1,1))</f>
        <v>435.81281313761326</v>
      </c>
      <c r="CE33" s="59">
        <f t="shared" si="40"/>
        <v>460.93390058676493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63</v>
      </c>
      <c r="CH33" s="16">
        <f>IF(ISNA(VLOOKUP(A33,'Données projet'!$A$113:$I$133,5,0)),0%,VLOOKUP(A33,'Données projet'!$A$113:$I$133,5,0)*VLOOKUP('Données projet'!$B$12,Paramètres!$A$1:$I$89,7,0))</f>
        <v>0.18000000000000002</v>
      </c>
      <c r="CI33" s="16">
        <f>IF(ISNA(VLOOKUP(A33,'Données projet'!$A$113:$I$133,6,0)),0%,VLOOKUP(A33,'Données projet'!$A$113:$I$133,6,0)*VLOOKUP('Données projet'!$B$12,Paramètres!$A$1:$I$89,7,0))</f>
        <v>0.15300000000000002</v>
      </c>
      <c r="CJ33" s="16">
        <f>IF(ISNA(VLOOKUP(A33,'Données projet'!$A$113:$I$133,7,0)),0%,VLOOKUP(A33,'Données projet'!$A$113:$I$133,7,0))</f>
        <v>0.26</v>
      </c>
      <c r="CK33" s="21">
        <f>EXP(-LN(2)/35)*CK32+(1-EXP(-LN(2)/35))/(LN(2)/35)*CG33*CH33*VLOOKUP('Données projet'!$B$12,Paramètres!$A$1:$I$89,3,0)*0.475*44/12</f>
        <v>19.539144649974915</v>
      </c>
      <c r="CL33" s="21">
        <f>EXP(-LN(2)/25)*CL32+(1-EXP(-LN(2)/25))/(LN(2)/25)*Calculateur!CG33*Calculateur!CI33*VLOOKUP('Données projet'!$B$12,Paramètres!$A$1:$I$89,3,0)*0.475*44/12</f>
        <v>26.568103377323688</v>
      </c>
      <c r="CM33" s="21">
        <f>EXP(-LN(2)/2)*CM32+(1-EXP(-LN(2)/2))/(LN(2)/2)*CG33*CJ33*VLOOKUP('Données projet'!$B$12,Paramètres!$A$1:$I$89,3,0)*0.475*44/12</f>
        <v>13.912928231460379</v>
      </c>
      <c r="CN33" s="22">
        <f t="shared" si="12"/>
        <v>60.02017625875898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210</v>
      </c>
      <c r="CR33" s="12">
        <f>VLOOKUP(A33,'Données projet'!$A$139:$I$159,9,0)</f>
        <v>11</v>
      </c>
      <c r="CS33" s="12">
        <f t="array" ref="CS33">INDEX(CR:CR,MIN(IF(ISNUMBER(CR33:CR229),ROW(CR33:CR229),"")))</f>
        <v>11</v>
      </c>
      <c r="CT33" s="12">
        <f>IF('Données projet'!$A$140&gt;35,CT32+CS33-DB32,IF(A33&lt;'Données projet'!$A$140,$CQ$205^A33,IF(A33='Données projet'!$A$140,'Données projet'!$B$140,CT32+CS33-DB32)))</f>
        <v>210</v>
      </c>
      <c r="CU33" s="17">
        <f>CT33*VLOOKUP('Données projet'!$B$13,Paramètres!$A$1:$I$89,3,0)*VLOOKUP('Données projet'!$B$13,Paramètres!$A$1:$I$89,5,0)</f>
        <v>98.28</v>
      </c>
      <c r="CV33" s="13">
        <f t="shared" si="41"/>
        <v>26.551818424463473</v>
      </c>
      <c r="CW33" s="20">
        <f t="shared" si="13"/>
        <v>217.41541708927389</v>
      </c>
      <c r="CX33" s="59">
        <f t="shared" si="14"/>
        <v>456.5228420223159</v>
      </c>
      <c r="CY33" s="59">
        <f ca="1">AVERAGE(OFFSET($CX$3,0,0,'Données projet'!$E$13+1,1))-AVERAGE(OFFSET($H$3,0,0,'Données projet'!$E$13+1,1))</f>
        <v>379.16472924112111</v>
      </c>
      <c r="CZ33" s="59">
        <f t="shared" si="42"/>
        <v>273.18950868898253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50</v>
      </c>
      <c r="DC33" s="16">
        <f>IF(ISNA(VLOOKUP(A33,'Données projet'!$A$139:$I$159,5,0)),0%,VLOOKUP(A33,'Données projet'!$A$139:$I$159,5,0)*VLOOKUP('Données projet'!$B$13,Paramètres!$A$1:$I$89,7,0))</f>
        <v>0.11000000000000001</v>
      </c>
      <c r="DD33" s="16">
        <f>IF(ISNA(VLOOKUP(A33,'Données projet'!$A$139:$I$159,6,0)),0%,VLOOKUP(A33,'Données projet'!$A$139:$I$159,6,0)*VLOOKUP('Données projet'!$B$13,Paramètres!$A$1:$I$89,7,0))</f>
        <v>0.30800000000000005</v>
      </c>
      <c r="DE33" s="16">
        <f>IF(ISNA(VLOOKUP(A33,'Données projet'!$A$139:$I$159,7,0)),0%,VLOOKUP(A33,'Données projet'!$A$139:$I$159,7,0))</f>
        <v>0.35</v>
      </c>
      <c r="DF33" s="21">
        <f>EXP(-LN(2)/35)*DF32+(1-EXP(-LN(2)/35))/(LN(2)/35)*DB33*DC33*VLOOKUP('Données projet'!$B$13,Paramètres!$A$1:$I$89,3,0)*0.475*44/12</f>
        <v>3.4145769083013771</v>
      </c>
      <c r="DG33" s="21">
        <f>EXP(-LN(2)/25)*DG32+(1-EXP(-LN(2)/25))/(LN(2)/25)*Calculateur!DB33*Calculateur!DD33*VLOOKUP('Données projet'!$B$13,Paramètres!$A$1:$I$89,3,0)*0.475*44/12</f>
        <v>15.296941851170409</v>
      </c>
      <c r="DH33" s="21">
        <f>EXP(-LN(2)/2)*DH32+(1-EXP(-LN(2)/2))/(LN(2)/2)*DB33*DE33*VLOOKUP('Données projet'!$B$13,Paramètres!$A$1:$I$89,3,0)*0.475*44/12</f>
        <v>9.5644191101250673</v>
      </c>
      <c r="DI33" s="22">
        <f t="shared" si="15"/>
        <v>28.275937869596852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343</v>
      </c>
      <c r="DM33" s="12">
        <f>VLOOKUP(A33,'Données projet'!$A$165:$I$185,9,0)</f>
        <v>28.6</v>
      </c>
      <c r="DN33" s="12">
        <f t="array" ref="DN33">INDEX(DM:DM,MIN(IF(ISNUMBER(DM33:DM229),ROW(DM33:DM229),"")))</f>
        <v>28.6</v>
      </c>
      <c r="DO33" s="12">
        <f>IF('Données projet'!$A$166&gt;35,DO32+DN33-DW32,IF(A33&lt;'Données projet'!$A$166,$DL$205^A33,IF(A33='Données projet'!$A$166,'Données projet'!$B$166,DO32+DN33-DW32)))</f>
        <v>343.00000000000017</v>
      </c>
      <c r="DP33" s="17">
        <f>DO33*VLOOKUP('Données projet'!$B$14,Paramètres!$A$1:$I$89,3,0)*VLOOKUP('Données projet'!$B$14,Paramètres!$A$1:$I$89,5,0)</f>
        <v>138.22900000000007</v>
      </c>
      <c r="DQ33" s="13">
        <f t="shared" si="43"/>
        <v>35.890994151830675</v>
      </c>
      <c r="DR33" s="20">
        <f t="shared" si="16"/>
        <v>303.25898981443851</v>
      </c>
      <c r="DS33" s="59">
        <f t="shared" si="17"/>
        <v>542.36641474748046</v>
      </c>
      <c r="DT33" s="59">
        <f ca="1">AVERAGE(OFFSET($DS$3,0,0,'Données projet'!$E$14+1,1))-AVERAGE(OFFSET($H$3,0,0,'Données projet'!$E$14+1,1))</f>
        <v>419.35339339286082</v>
      </c>
      <c r="DU33" s="59">
        <f t="shared" si="44"/>
        <v>359.03308141414709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0.22000000000000003</v>
      </c>
      <c r="DY33" s="16">
        <f>IF(ISNA(VLOOKUP(A33,'Données projet'!$A$165:$I$185,6,0)),0%,VLOOKUP(A33,'Données projet'!$A$165:$I$185,6,0)*VLOOKUP('Données projet'!$B$14,Paramètres!$A$1:$I$89,7,0))</f>
        <v>0.18700000000000003</v>
      </c>
      <c r="DZ33" s="16">
        <f>IF(ISNA(VLOOKUP(A33,'Données projet'!$A$165:$I$185,7,0)),0%,VLOOKUP(A33,'Données projet'!$A$165:$I$185,7,0))</f>
        <v>0.26</v>
      </c>
      <c r="EA33" s="21">
        <f>EXP(-LN(2)/35)*EA32+(1-EXP(-LN(2)/35))/(LN(2)/35)*DW33*DX33*VLOOKUP('Données projet'!$B$14,Paramètres!$A$1:$I$89,3,0)*0.475*44/12</f>
        <v>15.079759623735233</v>
      </c>
      <c r="EB33" s="21">
        <f>EXP(-LN(2)/25)*EB32+(1-EXP(-LN(2)/25))/(LN(2)/25)*Calculateur!DW33*Calculateur!DY33*VLOOKUP('Données projet'!$B$14,Paramètres!$A$1:$I$89,3,0)*0.475*44/12</f>
        <v>17.162622994652253</v>
      </c>
      <c r="EC33" s="21">
        <f>EXP(-LN(2)/2)*EC32+(1-EXP(-LN(2)/2))/(LN(2)/2)*DW33*DZ33*VLOOKUP('Données projet'!$B$14,Paramètres!$A$1:$I$89,3,0)*0.475*44/12</f>
        <v>10.184580106586555</v>
      </c>
      <c r="ED33" s="22">
        <f t="shared" si="18"/>
        <v>42.426962724974047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429</v>
      </c>
      <c r="EH33" s="12">
        <f>VLOOKUP(A33,'Données projet'!$A$191:$I$211,9,0)</f>
        <v>40.6</v>
      </c>
      <c r="EI33" s="12">
        <f t="array" ref="EI33">INDEX(EH:EH,MIN(IF(ISNUMBER(EH33:EH229),ROW(EH33:EH229),"")))</f>
        <v>40.6</v>
      </c>
      <c r="EJ33" s="12">
        <f>IF('Données projet'!$A$192&gt;35,EJ32+EI33-ER32,IF(A33&lt;'Données projet'!$A$192,$EG$205^A33,IF(A33='Données projet'!$A$192,'Données projet'!$B$192,EJ32+EI33-ER32)))</f>
        <v>429.00000000000011</v>
      </c>
      <c r="EK33" s="17">
        <f>EJ33*VLOOKUP('Données projet'!$B$15,Paramètres!$A$1:$I$89,3,0)*VLOOKUP('Données projet'!$B$15,Paramètres!$A$1:$I$89,5,0)</f>
        <v>189.61800000000005</v>
      </c>
      <c r="EL33" s="13">
        <f t="shared" si="45"/>
        <v>47.4554881852685</v>
      </c>
      <c r="EM33" s="20">
        <f t="shared" si="19"/>
        <v>412.90299192267599</v>
      </c>
      <c r="EN33" s="59">
        <f t="shared" si="20"/>
        <v>652.01041685571795</v>
      </c>
      <c r="EO33" s="59">
        <f ca="1">AVERAGE(OFFSET($EN$3,0,0,'Données projet'!$E$15+1,1))-AVERAGE(OFFSET($H$3,0,0,'Données projet'!$E$15+1,1))</f>
        <v>561.50881628354409</v>
      </c>
      <c r="EP33" s="59">
        <f t="shared" si="46"/>
        <v>468.67708352238458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91</v>
      </c>
      <c r="ES33" s="16">
        <f>IF(ISNA(VLOOKUP(A33,'Données projet'!$A$191:$I$211,5,0)),0%,VLOOKUP(A33,'Données projet'!$A$191:$I$211,5,0)*VLOOKUP('Données projet'!$B$15,Paramètres!$A$1:$I$89,7,0))</f>
        <v>0.22000000000000003</v>
      </c>
      <c r="ET33" s="16">
        <f>IF(ISNA(VLOOKUP(A33,'Données projet'!$A$191:$I$211,6,0)),0%,VLOOKUP(A33,'Données projet'!$A$191:$I$211,6,0)*VLOOKUP('Données projet'!$B$15,Paramètres!$A$1:$I$89,7,0))</f>
        <v>0.18700000000000003</v>
      </c>
      <c r="EU33" s="16">
        <f>IF(ISNA(VLOOKUP(A33,'Données projet'!$A$191:$I$211,7,0)),0%,VLOOKUP(A33,'Données projet'!$A$191:$I$211,7,0))</f>
        <v>0.26</v>
      </c>
      <c r="EV33" s="21">
        <f>EXP(-LN(2)/35)*EV32+(1-EXP(-LN(2)/35))/(LN(2)/35)*ER33*ES33*VLOOKUP('Données projet'!$B$15,Paramètres!$A$1:$I$89,3,0)*0.475*44/12</f>
        <v>24.368520613650226</v>
      </c>
      <c r="EW33" s="21">
        <f>EXP(-LN(2)/25)*EW32+(1-EXP(-LN(2)/25))/(LN(2)/25)*Calculateur!ER33*Calculateur!ET33*VLOOKUP('Données projet'!$B$15,Paramètres!$A$1:$I$89,3,0)*0.475*44/12</f>
        <v>31.859401750613021</v>
      </c>
      <c r="EX33" s="21">
        <f>EXP(-LN(2)/2)*EX32+(1-EXP(-LN(2)/2))/(LN(2)/2)*ER33*EU33*VLOOKUP('Données projet'!$B$15,Paramètres!$A$1:$I$89,3,0)*0.475*44/12</f>
        <v>14.817911067763356</v>
      </c>
      <c r="EY33" s="22">
        <f t="shared" si="21"/>
        <v>71.045833432026612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103.79999999999998</v>
      </c>
      <c r="O34" s="13">
        <f>N34*VLOOKUP('Données projet'!$B$9,Paramètres!$A$1:$I$89,3,0)*VLOOKUP('Données projet'!$B$9,Paramètres!$A$1:$I$89,5,0)</f>
        <v>93.918239999999983</v>
      </c>
      <c r="P34" s="13">
        <f t="shared" si="33"/>
        <v>25.507853654185997</v>
      </c>
      <c r="Q34" s="20">
        <f t="shared" si="2"/>
        <v>208.00044644770722</v>
      </c>
      <c r="R34" s="59">
        <f t="shared" si="0"/>
        <v>448.04856966052478</v>
      </c>
      <c r="S34" s="59">
        <f ca="1">AVERAGE(OFFSET($R$3,0,0,'Données projet'!$E$9+1,1))-AVERAGE(OFFSET($H$3,0,0,'Données projet'!$E$9+1,1))</f>
        <v>484.04602944257209</v>
      </c>
      <c r="T34" s="59">
        <f t="shared" si="34"/>
        <v>297.32483725004124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84.000000000000028</v>
      </c>
      <c r="AJ34" s="13">
        <f>AI34*VLOOKUP('Données projet'!$B$10,Paramètres!$A$1:$I$89,3,0)*VLOOKUP('Données projet'!$B$10,Paramètres!$A$1:$I$89,5,0)</f>
        <v>95.659200000000041</v>
      </c>
      <c r="AK34" s="13">
        <f t="shared" si="35"/>
        <v>25.925206023387474</v>
      </c>
      <c r="AL34" s="20">
        <f t="shared" si="4"/>
        <v>211.7595071573999</v>
      </c>
      <c r="AM34" s="59">
        <f t="shared" si="5"/>
        <v>451.80763037021745</v>
      </c>
      <c r="AN34" s="59">
        <f ca="1">AVERAGE(OFFSET($AM$3,0,0,'Données projet'!$E$10+1,1))-AVERAGE(OFFSET($H$3,0,0,'Données projet'!$E$10+1,1))</f>
        <v>493.74122500490859</v>
      </c>
      <c r="AO34" s="59">
        <f t="shared" si="36"/>
        <v>299.43985151679692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114.61632000000004</v>
      </c>
      <c r="BF34" s="13">
        <f t="shared" si="37"/>
        <v>30.416009647934409</v>
      </c>
      <c r="BG34" s="20">
        <f t="shared" si="7"/>
        <v>252.59797413681915</v>
      </c>
      <c r="BH34" s="59">
        <f t="shared" si="8"/>
        <v>492.6460973496367</v>
      </c>
      <c r="BI34" s="59">
        <f ca="1">AVERAGE(OFFSET($BH$3,0,0,'Données projet'!$E$11+1,1))-AVERAGE(OFFSET($H$3,0,0,'Données projet'!$E$11+1,1))</f>
        <v>364.64276939439014</v>
      </c>
      <c r="BJ34" s="59">
        <f t="shared" si="38"/>
        <v>341.7578598026638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2.1984727865074292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2.1984727865074292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24.2</v>
      </c>
      <c r="BY34" s="12">
        <f>IF('Données projet'!$A$114&gt;35,BY33+BX34-CG33,IF(A34&lt;'Données projet'!$A$114,$BV$205^A34,IF(A34='Données projet'!$A$114,'Données projet'!$B$114,BY33+BX34-CG33)))</f>
        <v>272.2000000000001</v>
      </c>
      <c r="BZ34" s="13">
        <f>BY34*VLOOKUP('Données projet'!$B$12,Paramètres!$A$1:$I$89,3,0)*VLOOKUP('Données projet'!$B$12,Paramètres!$A$1:$I$89,5,0)</f>
        <v>162.77560000000005</v>
      </c>
      <c r="CA34" s="13">
        <f t="shared" si="39"/>
        <v>41.467931707956311</v>
      </c>
      <c r="CB34" s="20">
        <f t="shared" si="10"/>
        <v>355.72415105802401</v>
      </c>
      <c r="CC34" s="59">
        <f t="shared" si="11"/>
        <v>595.77227427084154</v>
      </c>
      <c r="CD34" s="59">
        <f ca="1">AVERAGE(OFFSET($CC$3,0,0,'Données projet'!$E$12+1,1))-AVERAGE(OFFSET($H$3,0,0,'Données projet'!$E$12+1,1))</f>
        <v>435.81281313761326</v>
      </c>
      <c r="CE34" s="59">
        <f t="shared" si="40"/>
        <v>460.93390058676493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19.155993941090369</v>
      </c>
      <c r="CL34" s="21">
        <f>EXP(-LN(2)/25)*CL33+(1-EXP(-LN(2)/25))/(LN(2)/25)*Calculateur!CG34*Calculateur!CI34*VLOOKUP('Données projet'!$B$12,Paramètres!$A$1:$I$89,3,0)*0.475*44/12</f>
        <v>25.841597193314936</v>
      </c>
      <c r="CM34" s="21">
        <f>EXP(-LN(2)/2)*CM33+(1-EXP(-LN(2)/2))/(LN(2)/2)*CG34*CJ34*VLOOKUP('Données projet'!$B$12,Paramètres!$A$1:$I$89,3,0)*0.475*44/12</f>
        <v>9.837925898627395</v>
      </c>
      <c r="CN34" s="22">
        <f t="shared" si="12"/>
        <v>54.835517033032701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</v>
      </c>
      <c r="CT34" s="12">
        <f>IF('Données projet'!$A$140&gt;35,CT33+CS34-DB33,IF(A34&lt;'Données projet'!$A$140,$CQ$205^A34,IF(A34='Données projet'!$A$140,'Données projet'!$B$140,CT33+CS34-DB33)))</f>
        <v>174</v>
      </c>
      <c r="CU34" s="17">
        <f>CT34*VLOOKUP('Données projet'!$B$13,Paramètres!$A$1:$I$89,3,0)*VLOOKUP('Données projet'!$B$13,Paramètres!$A$1:$I$89,5,0)</f>
        <v>81.432000000000002</v>
      </c>
      <c r="CV34" s="13">
        <f t="shared" si="41"/>
        <v>22.486953220240881</v>
      </c>
      <c r="CW34" s="20">
        <f t="shared" si="13"/>
        <v>180.99217685858619</v>
      </c>
      <c r="CX34" s="59">
        <f t="shared" si="14"/>
        <v>421.04030007140375</v>
      </c>
      <c r="CY34" s="59">
        <f ca="1">AVERAGE(OFFSET($CX$3,0,0,'Données projet'!$E$13+1,1))-AVERAGE(OFFSET($H$3,0,0,'Données projet'!$E$13+1,1))</f>
        <v>379.16472924112111</v>
      </c>
      <c r="CZ34" s="59">
        <f t="shared" si="42"/>
        <v>273.18950868898253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3.3476191378158529</v>
      </c>
      <c r="DG34" s="21">
        <f>EXP(-LN(2)/25)*DG33+(1-EXP(-LN(2)/25))/(LN(2)/25)*Calculateur!DB34*Calculateur!DD34*VLOOKUP('Données projet'!$B$13,Paramètres!$A$1:$I$89,3,0)*0.475*44/12</f>
        <v>14.878646171818945</v>
      </c>
      <c r="DH34" s="21">
        <f>EXP(-LN(2)/2)*DH33+(1-EXP(-LN(2)/2))/(LN(2)/2)*DB34*DE34*VLOOKUP('Données projet'!$B$13,Paramètres!$A$1:$I$89,3,0)*0.475*44/12</f>
        <v>6.7630656108796403</v>
      </c>
      <c r="DI34" s="22">
        <f t="shared" si="15"/>
        <v>24.989330920514437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29</v>
      </c>
      <c r="DO34" s="12">
        <f>IF('Données projet'!$A$166&gt;35,DO33+DN34-DW33,IF(A34&lt;'Données projet'!$A$166,$DL$205^A34,IF(A34='Données projet'!$A$166,'Données projet'!$B$166,DO33+DN34-DW33)))</f>
        <v>302.00000000000017</v>
      </c>
      <c r="DP34" s="17">
        <f>DO34*VLOOKUP('Données projet'!$B$14,Paramètres!$A$1:$I$89,3,0)*VLOOKUP('Données projet'!$B$14,Paramètres!$A$1:$I$89,5,0)</f>
        <v>121.70600000000006</v>
      </c>
      <c r="DQ34" s="13">
        <f t="shared" si="43"/>
        <v>32.072568283661589</v>
      </c>
      <c r="DR34" s="20">
        <f t="shared" si="16"/>
        <v>267.83100642737736</v>
      </c>
      <c r="DS34" s="59">
        <f t="shared" si="17"/>
        <v>507.87912964019495</v>
      </c>
      <c r="DT34" s="59">
        <f ca="1">AVERAGE(OFFSET($DS$3,0,0,'Données projet'!$E$14+1,1))-AVERAGE(OFFSET($H$3,0,0,'Données projet'!$E$14+1,1))</f>
        <v>419.35339339286082</v>
      </c>
      <c r="DU34" s="59">
        <f t="shared" si="44"/>
        <v>359.03308141414709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14.784054735258954</v>
      </c>
      <c r="EB34" s="21">
        <f>EXP(-LN(2)/25)*EB33+(1-EXP(-LN(2)/25))/(LN(2)/25)*Calculateur!DW34*Calculateur!DY34*VLOOKUP('Données projet'!$B$14,Paramètres!$A$1:$I$89,3,0)*0.475*44/12</f>
        <v>16.693310166320369</v>
      </c>
      <c r="EC34" s="21">
        <f>EXP(-LN(2)/2)*EC33+(1-EXP(-LN(2)/2))/(LN(2)/2)*DW34*DZ34*VLOOKUP('Données projet'!$B$14,Paramètres!$A$1:$I$89,3,0)*0.475*44/12</f>
        <v>7.2015856569049648</v>
      </c>
      <c r="ED34" s="22">
        <f t="shared" si="18"/>
        <v>38.678950558484289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39.6</v>
      </c>
      <c r="EJ34" s="12">
        <f>IF('Données projet'!$A$192&gt;35,EJ33+EI34-ER33,IF(A34&lt;'Données projet'!$A$192,$EG$205^A34,IF(A34='Données projet'!$A$192,'Données projet'!$B$192,EJ33+EI34-ER33)))</f>
        <v>377.60000000000014</v>
      </c>
      <c r="EK34" s="17">
        <f>EJ34*VLOOKUP('Données projet'!$B$15,Paramètres!$A$1:$I$89,3,0)*VLOOKUP('Données projet'!$B$15,Paramètres!$A$1:$I$89,5,0)</f>
        <v>166.89920000000006</v>
      </c>
      <c r="EL34" s="13">
        <f t="shared" si="45"/>
        <v>42.394805248900767</v>
      </c>
      <c r="EM34" s="20">
        <f t="shared" si="19"/>
        <v>364.52039247516888</v>
      </c>
      <c r="EN34" s="59">
        <f t="shared" si="20"/>
        <v>604.56851568798641</v>
      </c>
      <c r="EO34" s="59">
        <f ca="1">AVERAGE(OFFSET($EN$3,0,0,'Données projet'!$E$15+1,1))-AVERAGE(OFFSET($H$3,0,0,'Données projet'!$E$15+1,1))</f>
        <v>561.50881628354409</v>
      </c>
      <c r="EP34" s="59">
        <f t="shared" si="46"/>
        <v>468.67708352238458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23.890668787746488</v>
      </c>
      <c r="EW34" s="21">
        <f>EXP(-LN(2)/25)*EW33+(1-EXP(-LN(2)/25))/(LN(2)/25)*Calculateur!ER34*Calculateur!ET34*VLOOKUP('Données projet'!$B$15,Paramètres!$A$1:$I$89,3,0)*0.475*44/12</f>
        <v>30.988204734329386</v>
      </c>
      <c r="EX34" s="21">
        <f>EXP(-LN(2)/2)*EX33+(1-EXP(-LN(2)/2))/(LN(2)/2)*ER34*EU34*VLOOKUP('Données projet'!$B$15,Paramètres!$A$1:$I$89,3,0)*0.475*44/12</f>
        <v>10.477845399034665</v>
      </c>
      <c r="EY34" s="22">
        <f t="shared" si="21"/>
        <v>65.356718921110541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114.59999999999998</v>
      </c>
      <c r="O35" s="13">
        <f>N35*VLOOKUP('Données projet'!$B$9,Paramètres!$A$1:$I$89,3,0)*VLOOKUP('Données projet'!$B$9,Paramètres!$A$1:$I$89,5,0)</f>
        <v>103.69007999999998</v>
      </c>
      <c r="P35" s="13">
        <f t="shared" si="33"/>
        <v>27.83924565319537</v>
      </c>
      <c r="Q35" s="20">
        <f t="shared" ref="Q35:Q66" si="53">(O35+P35)*0.475*44/12</f>
        <v>229.08024217931521</v>
      </c>
      <c r="R35" s="59">
        <f t="shared" si="0"/>
        <v>470.05274465984053</v>
      </c>
      <c r="S35" s="59">
        <f ca="1">AVERAGE(OFFSET($R$3,0,0,'Données projet'!$E$9+1,1))-AVERAGE(OFFSET($H$3,0,0,'Données projet'!$E$9+1,1))</f>
        <v>484.04602944257209</v>
      </c>
      <c r="T35" s="59">
        <f t="shared" si="34"/>
        <v>297.32483725004124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92.000000000000028</v>
      </c>
      <c r="AJ35" s="13">
        <f>AI35*VLOOKUP('Données projet'!$B$10,Paramètres!$A$1:$I$89,3,0)*VLOOKUP('Données projet'!$B$10,Paramètres!$A$1:$I$89,5,0)</f>
        <v>104.76960000000004</v>
      </c>
      <c r="AK35" s="13">
        <f t="shared" si="35"/>
        <v>28.095189350897627</v>
      </c>
      <c r="AL35" s="20">
        <f t="shared" si="4"/>
        <v>231.40617478614675</v>
      </c>
      <c r="AM35" s="59">
        <f t="shared" si="5"/>
        <v>472.37867726667207</v>
      </c>
      <c r="AN35" s="59">
        <f ca="1">AVERAGE(OFFSET($AM$3,0,0,'Données projet'!$E$10+1,1))-AVERAGE(OFFSET($H$3,0,0,'Données projet'!$E$10+1,1))</f>
        <v>493.74122500490859</v>
      </c>
      <c r="AO35" s="59">
        <f t="shared" si="36"/>
        <v>299.43985151679692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122.65344000000002</v>
      </c>
      <c r="BF35" s="13">
        <f t="shared" si="37"/>
        <v>32.293080640759037</v>
      </c>
      <c r="BG35" s="20">
        <f t="shared" si="7"/>
        <v>269.8651901159887</v>
      </c>
      <c r="BH35" s="59">
        <f t="shared" si="8"/>
        <v>510.83769259651399</v>
      </c>
      <c r="BI35" s="59">
        <f ca="1">AVERAGE(OFFSET($BH$3,0,0,'Données projet'!$E$11+1,1))-AVERAGE(OFFSET($H$3,0,0,'Données projet'!$E$11+1,1))</f>
        <v>364.64276939439014</v>
      </c>
      <c r="BJ35" s="59">
        <f t="shared" si="38"/>
        <v>341.7578598026638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2.1553620761000118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2.1553620761000118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24.2</v>
      </c>
      <c r="BY35" s="12">
        <f>IF('Données projet'!$A$114&gt;35,BY34+BX35-CG34,IF(A35&lt;'Données projet'!$A$114,$BV$205^A35,IF(A35='Données projet'!$A$114,'Données projet'!$B$114,BY34+BX35-CG34)))</f>
        <v>296.40000000000009</v>
      </c>
      <c r="BZ35" s="13">
        <f>BY35*VLOOKUP('Données projet'!$B$12,Paramètres!$A$1:$I$89,3,0)*VLOOKUP('Données projet'!$B$12,Paramètres!$A$1:$I$89,5,0)</f>
        <v>177.24720000000008</v>
      </c>
      <c r="CA35" s="13">
        <f t="shared" si="39"/>
        <v>44.709190633994517</v>
      </c>
      <c r="CB35" s="20">
        <f t="shared" si="10"/>
        <v>386.57404702087388</v>
      </c>
      <c r="CC35" s="59">
        <f t="shared" si="11"/>
        <v>627.54654950139923</v>
      </c>
      <c r="CD35" s="59">
        <f ca="1">AVERAGE(OFFSET($CC$3,0,0,'Données projet'!$E$12+1,1))-AVERAGE(OFFSET($H$3,0,0,'Données projet'!$E$12+1,1))</f>
        <v>435.81281313761326</v>
      </c>
      <c r="CE35" s="59">
        <f t="shared" si="40"/>
        <v>460.93390058676493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18.780356583908191</v>
      </c>
      <c r="CL35" s="21">
        <f>EXP(-LN(2)/25)*CL34+(1-EXP(-LN(2)/25))/(LN(2)/25)*Calculateur!CG35*Calculateur!CI35*VLOOKUP('Données projet'!$B$12,Paramètres!$A$1:$I$89,3,0)*0.475*44/12</f>
        <v>25.134957359113205</v>
      </c>
      <c r="CM35" s="21">
        <f>EXP(-LN(2)/2)*CM34+(1-EXP(-LN(2)/2))/(LN(2)/2)*CG35*CJ35*VLOOKUP('Données projet'!$B$12,Paramètres!$A$1:$I$89,3,0)*0.475*44/12</f>
        <v>6.9564641157301912</v>
      </c>
      <c r="CN35" s="22">
        <f t="shared" si="12"/>
        <v>50.871778058751588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</v>
      </c>
      <c r="CT35" s="12">
        <f>IF('Données projet'!$A$140&gt;35,CT34+CS35-DB34,IF(A35&lt;'Données projet'!$A$140,$CQ$205^A35,IF(A35='Données projet'!$A$140,'Données projet'!$B$140,CT34+CS35-DB34)))</f>
        <v>188</v>
      </c>
      <c r="CU35" s="17">
        <f>CT35*VLOOKUP('Données projet'!$B$13,Paramètres!$A$1:$I$89,3,0)*VLOOKUP('Données projet'!$B$13,Paramètres!$A$1:$I$89,5,0)</f>
        <v>87.983999999999995</v>
      </c>
      <c r="CV35" s="13">
        <f t="shared" si="41"/>
        <v>24.078375128721785</v>
      </c>
      <c r="CW35" s="20">
        <f t="shared" si="13"/>
        <v>195.17530334919044</v>
      </c>
      <c r="CX35" s="59">
        <f t="shared" si="14"/>
        <v>436.14780582971576</v>
      </c>
      <c r="CY35" s="59">
        <f ca="1">AVERAGE(OFFSET($CX$3,0,0,'Données projet'!$E$13+1,1))-AVERAGE(OFFSET($H$3,0,0,'Données projet'!$E$13+1,1))</f>
        <v>379.16472924112111</v>
      </c>
      <c r="CZ35" s="59">
        <f t="shared" si="42"/>
        <v>273.18950868898253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3.2819743683693425</v>
      </c>
      <c r="DG35" s="21">
        <f>EXP(-LN(2)/25)*DG34+(1-EXP(-LN(2)/25))/(LN(2)/25)*Calculateur!DB35*Calculateur!DD35*VLOOKUP('Données projet'!$B$13,Paramètres!$A$1:$I$89,3,0)*0.475*44/12</f>
        <v>14.471788809816559</v>
      </c>
      <c r="DH35" s="21">
        <f>EXP(-LN(2)/2)*DH34+(1-EXP(-LN(2)/2))/(LN(2)/2)*DB35*DE35*VLOOKUP('Données projet'!$B$13,Paramètres!$A$1:$I$89,3,0)*0.475*44/12</f>
        <v>4.7822095550625345</v>
      </c>
      <c r="DI35" s="22">
        <f t="shared" si="15"/>
        <v>22.535972733248435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29</v>
      </c>
      <c r="DO35" s="12">
        <f>IF('Données projet'!$A$166&gt;35,DO34+DN35-DW34,IF(A35&lt;'Données projet'!$A$166,$DL$205^A35,IF(A35='Données projet'!$A$166,'Données projet'!$B$166,DO34+DN35-DW34)))</f>
        <v>331.00000000000017</v>
      </c>
      <c r="DP35" s="17">
        <f>DO35*VLOOKUP('Données projet'!$B$14,Paramètres!$A$1:$I$89,3,0)*VLOOKUP('Données projet'!$B$14,Paramètres!$A$1:$I$89,5,0)</f>
        <v>133.39300000000009</v>
      </c>
      <c r="DQ35" s="13">
        <f t="shared" si="43"/>
        <v>34.779202475381204</v>
      </c>
      <c r="DR35" s="20">
        <f t="shared" si="16"/>
        <v>292.89991931128901</v>
      </c>
      <c r="DS35" s="59">
        <f t="shared" si="17"/>
        <v>533.8724217918143</v>
      </c>
      <c r="DT35" s="59">
        <f ca="1">AVERAGE(OFFSET($DS$3,0,0,'Données projet'!$E$14+1,1))-AVERAGE(OFFSET($H$3,0,0,'Données projet'!$E$14+1,1))</f>
        <v>419.35339339286082</v>
      </c>
      <c r="DU35" s="59">
        <f t="shared" si="44"/>
        <v>359.03308141414709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14.494148439283521</v>
      </c>
      <c r="EB35" s="21">
        <f>EXP(-LN(2)/25)*EB34+(1-EXP(-LN(2)/25))/(LN(2)/25)*Calculateur!DW35*Calculateur!DY35*VLOOKUP('Données projet'!$B$14,Paramètres!$A$1:$I$89,3,0)*0.475*44/12</f>
        <v>16.236830721959311</v>
      </c>
      <c r="EC35" s="21">
        <f>EXP(-LN(2)/2)*EC34+(1-EXP(-LN(2)/2))/(LN(2)/2)*DW35*DZ35*VLOOKUP('Données projet'!$B$14,Paramètres!$A$1:$I$89,3,0)*0.475*44/12</f>
        <v>5.0922900532932784</v>
      </c>
      <c r="ED35" s="22">
        <f t="shared" si="18"/>
        <v>35.823269214536111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39.6</v>
      </c>
      <c r="EJ35" s="12">
        <f>IF('Données projet'!$A$192&gt;35,EJ34+EI35-ER34,IF(A35&lt;'Données projet'!$A$192,$EG$205^A35,IF(A35='Données projet'!$A$192,'Données projet'!$B$192,EJ34+EI35-ER34)))</f>
        <v>417.20000000000016</v>
      </c>
      <c r="EK35" s="17">
        <f>EJ35*VLOOKUP('Données projet'!$B$15,Paramètres!$A$1:$I$89,3,0)*VLOOKUP('Données projet'!$B$15,Paramètres!$A$1:$I$89,5,0)</f>
        <v>184.40240000000009</v>
      </c>
      <c r="EL35" s="13">
        <f t="shared" si="45"/>
        <v>46.300257389718269</v>
      </c>
      <c r="EM35" s="20">
        <f t="shared" si="19"/>
        <v>401.80712828709278</v>
      </c>
      <c r="EN35" s="59">
        <f t="shared" si="20"/>
        <v>642.77963076761807</v>
      </c>
      <c r="EO35" s="59">
        <f ca="1">AVERAGE(OFFSET($EN$3,0,0,'Données projet'!$E$15+1,1))-AVERAGE(OFFSET($H$3,0,0,'Données projet'!$E$15+1,1))</f>
        <v>561.50881628354409</v>
      </c>
      <c r="EP35" s="59">
        <f t="shared" si="46"/>
        <v>468.67708352238458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23.422187344687888</v>
      </c>
      <c r="EW35" s="21">
        <f>EXP(-LN(2)/25)*EW34+(1-EXP(-LN(2)/25))/(LN(2)/25)*Calculateur!ER35*Calculateur!ET35*VLOOKUP('Données projet'!$B$15,Paramètres!$A$1:$I$89,3,0)*0.475*44/12</f>
        <v>30.140830646270288</v>
      </c>
      <c r="EX35" s="21">
        <f>EXP(-LN(2)/2)*EX34+(1-EXP(-LN(2)/2))/(LN(2)/2)*ER35*EU35*VLOOKUP('Données projet'!$B$15,Paramètres!$A$1:$I$89,3,0)*0.475*44/12</f>
        <v>7.408955533881679</v>
      </c>
      <c r="EY35" s="22">
        <f t="shared" si="21"/>
        <v>60.971973524839854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125.39999999999998</v>
      </c>
      <c r="O36" s="13">
        <f>N36*VLOOKUP('Données projet'!$B$9,Paramètres!$A$1:$I$89,3,0)*VLOOKUP('Données projet'!$B$9,Paramètres!$A$1:$I$89,5,0)</f>
        <v>113.46191999999998</v>
      </c>
      <c r="P36" s="13">
        <f t="shared" si="33"/>
        <v>30.145163126535493</v>
      </c>
      <c r="Q36" s="20">
        <f t="shared" si="53"/>
        <v>250.11566977871595</v>
      </c>
      <c r="R36" s="59">
        <f t="shared" si="0"/>
        <v>491.99651561325669</v>
      </c>
      <c r="S36" s="59">
        <f ca="1">AVERAGE(OFFSET($R$3,0,0,'Données projet'!$E$9+1,1))-AVERAGE(OFFSET($H$3,0,0,'Données projet'!$E$9+1,1))</f>
        <v>484.04602944257209</v>
      </c>
      <c r="T36" s="59">
        <f t="shared" si="34"/>
        <v>297.32483725004124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100.00000000000003</v>
      </c>
      <c r="AJ36" s="13">
        <f>AI36*VLOOKUP('Données projet'!$B$10,Paramètres!$A$1:$I$89,3,0)*VLOOKUP('Données projet'!$B$10,Paramètres!$A$1:$I$89,5,0)</f>
        <v>113.88000000000002</v>
      </c>
      <c r="AK36" s="13">
        <f t="shared" si="35"/>
        <v>30.243290368229957</v>
      </c>
      <c r="AL36" s="20">
        <f t="shared" si="4"/>
        <v>251.0147307246672</v>
      </c>
      <c r="AM36" s="59">
        <f t="shared" si="5"/>
        <v>492.89557655920794</v>
      </c>
      <c r="AN36" s="59">
        <f ca="1">AVERAGE(OFFSET($AM$3,0,0,'Données projet'!$E$10+1,1))-AVERAGE(OFFSET($H$3,0,0,'Données projet'!$E$10+1,1))</f>
        <v>493.74122500490859</v>
      </c>
      <c r="AO36" s="59">
        <f t="shared" si="36"/>
        <v>299.43985151679692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130.69056000000003</v>
      </c>
      <c r="BF36" s="13">
        <f t="shared" si="37"/>
        <v>34.155878238422723</v>
      </c>
      <c r="BG36" s="20">
        <f t="shared" si="7"/>
        <v>287.10754659858628</v>
      </c>
      <c r="BH36" s="59">
        <f t="shared" si="8"/>
        <v>528.98839243312705</v>
      </c>
      <c r="BI36" s="59">
        <f ca="1">AVERAGE(OFFSET($BH$3,0,0,'Données projet'!$E$11+1,1))-AVERAGE(OFFSET($H$3,0,0,'Données projet'!$E$11+1,1))</f>
        <v>364.64276939439014</v>
      </c>
      <c r="BJ36" s="59">
        <f t="shared" si="38"/>
        <v>341.7578598026638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2.1130967404287468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2.1130967404287468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24.2</v>
      </c>
      <c r="BY36" s="12">
        <f>IF('Données projet'!$A$114&gt;35,BY35+BX36-CG35,IF(A36&lt;'Données projet'!$A$114,$BV$205^A36,IF(A36='Données projet'!$A$114,'Données projet'!$B$114,BY35+BX36-CG35)))</f>
        <v>320.60000000000008</v>
      </c>
      <c r="BZ36" s="13">
        <f>BY36*VLOOKUP('Données projet'!$B$12,Paramètres!$A$1:$I$89,3,0)*VLOOKUP('Données projet'!$B$12,Paramètres!$A$1:$I$89,5,0)</f>
        <v>191.71880000000007</v>
      </c>
      <c r="CA36" s="13">
        <f t="shared" si="39"/>
        <v>47.919755728134994</v>
      </c>
      <c r="CB36" s="20">
        <f t="shared" si="10"/>
        <v>417.37048455983518</v>
      </c>
      <c r="CC36" s="59">
        <f t="shared" si="11"/>
        <v>659.25133039437594</v>
      </c>
      <c r="CD36" s="59">
        <f ca="1">AVERAGE(OFFSET($CC$3,0,0,'Données projet'!$E$12+1,1))-AVERAGE(OFFSET($H$3,0,0,'Données projet'!$E$12+1,1))</f>
        <v>435.81281313761326</v>
      </c>
      <c r="CE36" s="59">
        <f t="shared" si="40"/>
        <v>460.93390058676493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18.412085246184191</v>
      </c>
      <c r="CL36" s="21">
        <f>EXP(-LN(2)/25)*CL35+(1-EXP(-LN(2)/25))/(LN(2)/25)*Calculateur!CG36*Calculateur!CI36*VLOOKUP('Données projet'!$B$12,Paramètres!$A$1:$I$89,3,0)*0.475*44/12</f>
        <v>24.447640628338295</v>
      </c>
      <c r="CM36" s="21">
        <f>EXP(-LN(2)/2)*CM35+(1-EXP(-LN(2)/2))/(LN(2)/2)*CG36*CJ36*VLOOKUP('Données projet'!$B$12,Paramètres!$A$1:$I$89,3,0)*0.475*44/12</f>
        <v>4.9189629493136984</v>
      </c>
      <c r="CN36" s="22">
        <f t="shared" si="12"/>
        <v>47.778688823836177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</v>
      </c>
      <c r="CT36" s="12">
        <f>IF('Données projet'!$A$140&gt;35,CT35+CS36-DB35,IF(A36&lt;'Données projet'!$A$140,$CQ$205^A36,IF(A36='Données projet'!$A$140,'Données projet'!$B$140,CT35+CS36-DB35)))</f>
        <v>202</v>
      </c>
      <c r="CU36" s="17">
        <f>CT36*VLOOKUP('Données projet'!$B$13,Paramètres!$A$1:$I$89,3,0)*VLOOKUP('Données projet'!$B$13,Paramètres!$A$1:$I$89,5,0)</f>
        <v>94.536000000000001</v>
      </c>
      <c r="CV36" s="13">
        <f t="shared" si="41"/>
        <v>25.656048664271697</v>
      </c>
      <c r="CW36" s="20">
        <f t="shared" si="13"/>
        <v>209.33448475693987</v>
      </c>
      <c r="CX36" s="59">
        <f t="shared" si="14"/>
        <v>451.21533059148061</v>
      </c>
      <c r="CY36" s="59">
        <f ca="1">AVERAGE(OFFSET($CX$3,0,0,'Données projet'!$E$13+1,1))-AVERAGE(OFFSET($H$3,0,0,'Données projet'!$E$13+1,1))</f>
        <v>379.16472924112111</v>
      </c>
      <c r="CZ36" s="59">
        <f t="shared" si="42"/>
        <v>273.18950868898253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3.2176168528123226</v>
      </c>
      <c r="DG36" s="21">
        <f>EXP(-LN(2)/25)*DG35+(1-EXP(-LN(2)/25))/(LN(2)/25)*Calculateur!DB36*Calculateur!DD36*VLOOKUP('Données projet'!$B$13,Paramètres!$A$1:$I$89,3,0)*0.475*44/12</f>
        <v>14.076056983773828</v>
      </c>
      <c r="DH36" s="21">
        <f>EXP(-LN(2)/2)*DH35+(1-EXP(-LN(2)/2))/(LN(2)/2)*DB36*DE36*VLOOKUP('Données projet'!$B$13,Paramètres!$A$1:$I$89,3,0)*0.475*44/12</f>
        <v>3.3815328054398206</v>
      </c>
      <c r="DI36" s="22">
        <f t="shared" si="15"/>
        <v>20.675206642025973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29</v>
      </c>
      <c r="DO36" s="12">
        <f>IF('Données projet'!$A$166&gt;35,DO35+DN36-DW35,IF(A36&lt;'Données projet'!$A$166,$DL$205^A36,IF(A36='Données projet'!$A$166,'Données projet'!$B$166,DO35+DN36-DW35)))</f>
        <v>360.00000000000017</v>
      </c>
      <c r="DP36" s="17">
        <f>DO36*VLOOKUP('Données projet'!$B$14,Paramètres!$A$1:$I$89,3,0)*VLOOKUP('Données projet'!$B$14,Paramètres!$A$1:$I$89,5,0)</f>
        <v>145.08000000000007</v>
      </c>
      <c r="DQ36" s="13">
        <f t="shared" si="43"/>
        <v>37.458337067673021</v>
      </c>
      <c r="DR36" s="20">
        <f t="shared" si="16"/>
        <v>317.92093705953062</v>
      </c>
      <c r="DS36" s="59">
        <f t="shared" si="17"/>
        <v>559.80178289407138</v>
      </c>
      <c r="DT36" s="59">
        <f ca="1">AVERAGE(OFFSET($DS$3,0,0,'Données projet'!$E$14+1,1))-AVERAGE(OFFSET($H$3,0,0,'Données projet'!$E$14+1,1))</f>
        <v>419.35339339286082</v>
      </c>
      <c r="DU36" s="59">
        <f t="shared" si="44"/>
        <v>359.03308141414709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14.209927028946787</v>
      </c>
      <c r="EB36" s="21">
        <f>EXP(-LN(2)/25)*EB35+(1-EXP(-LN(2)/25))/(LN(2)/25)*Calculateur!DW36*Calculateur!DY36*VLOOKUP('Données projet'!$B$14,Paramètres!$A$1:$I$89,3,0)*0.475*44/12</f>
        <v>15.792833732009516</v>
      </c>
      <c r="EC36" s="21">
        <f>EXP(-LN(2)/2)*EC35+(1-EXP(-LN(2)/2))/(LN(2)/2)*DW36*DZ36*VLOOKUP('Données projet'!$B$14,Paramètres!$A$1:$I$89,3,0)*0.475*44/12</f>
        <v>3.6007928284524828</v>
      </c>
      <c r="ED36" s="22">
        <f t="shared" si="18"/>
        <v>33.603553589408783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39.6</v>
      </c>
      <c r="EJ36" s="12">
        <f>IF('Données projet'!$A$192&gt;35,EJ35+EI36-ER35,IF(A36&lt;'Données projet'!$A$192,$EG$205^A36,IF(A36='Données projet'!$A$192,'Données projet'!$B$192,EJ35+EI36-ER35)))</f>
        <v>456.80000000000018</v>
      </c>
      <c r="EK36" s="17">
        <f>EJ36*VLOOKUP('Données projet'!$B$15,Paramètres!$A$1:$I$89,3,0)*VLOOKUP('Données projet'!$B$15,Paramètres!$A$1:$I$89,5,0)</f>
        <v>201.90560000000011</v>
      </c>
      <c r="EL36" s="13">
        <f t="shared" si="45"/>
        <v>50.162729514680564</v>
      </c>
      <c r="EM36" s="20">
        <f t="shared" si="19"/>
        <v>439.01900723806881</v>
      </c>
      <c r="EN36" s="59">
        <f t="shared" si="20"/>
        <v>680.89985307260952</v>
      </c>
      <c r="EO36" s="59">
        <f ca="1">AVERAGE(OFFSET($EN$3,0,0,'Données projet'!$E$15+1,1))-AVERAGE(OFFSET($H$3,0,0,'Données projet'!$E$15+1,1))</f>
        <v>561.50881628354409</v>
      </c>
      <c r="EP36" s="59">
        <f t="shared" si="46"/>
        <v>468.67708352238458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22.962892536982203</v>
      </c>
      <c r="EW36" s="21">
        <f>EXP(-LN(2)/25)*EW35+(1-EXP(-LN(2)/25))/(LN(2)/25)*Calculateur!ER36*Calculateur!ET36*VLOOKUP('Données projet'!$B$15,Paramètres!$A$1:$I$89,3,0)*0.475*44/12</f>
        <v>29.316628047210632</v>
      </c>
      <c r="EX36" s="21">
        <f>EXP(-LN(2)/2)*EX35+(1-EXP(-LN(2)/2))/(LN(2)/2)*ER36*EU36*VLOOKUP('Données projet'!$B$15,Paramètres!$A$1:$I$89,3,0)*0.475*44/12</f>
        <v>5.2389226995173335</v>
      </c>
      <c r="EY36" s="22">
        <f t="shared" si="21"/>
        <v>57.51844328371017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136.19999999999999</v>
      </c>
      <c r="O37" s="13">
        <f>N37*VLOOKUP('Données projet'!$B$9,Paramètres!$A$1:$I$89,3,0)*VLOOKUP('Données projet'!$B$9,Paramètres!$A$1:$I$89,5,0)</f>
        <v>123.23375999999998</v>
      </c>
      <c r="P37" s="13">
        <f t="shared" si="33"/>
        <v>32.428049504876462</v>
      </c>
      <c r="Q37" s="20">
        <f t="shared" si="53"/>
        <v>271.11098488765975</v>
      </c>
      <c r="R37" s="59">
        <f t="shared" si="0"/>
        <v>513.88441634977539</v>
      </c>
      <c r="S37" s="59">
        <f ca="1">AVERAGE(OFFSET($R$3,0,0,'Données projet'!$E$9+1,1))-AVERAGE(OFFSET($H$3,0,0,'Données projet'!$E$9+1,1))</f>
        <v>484.04602944257209</v>
      </c>
      <c r="T37" s="59">
        <f t="shared" si="34"/>
        <v>297.32483725004124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108.00000000000003</v>
      </c>
      <c r="AJ37" s="13">
        <f>AI37*VLOOKUP('Données projet'!$B$10,Paramètres!$A$1:$I$89,3,0)*VLOOKUP('Données projet'!$B$10,Paramètres!$A$1:$I$89,5,0)</f>
        <v>122.99040000000004</v>
      </c>
      <c r="AK37" s="13">
        <f t="shared" si="35"/>
        <v>32.371458685761077</v>
      </c>
      <c r="AL37" s="20">
        <f t="shared" si="4"/>
        <v>270.58857054436726</v>
      </c>
      <c r="AM37" s="59">
        <f t="shared" si="5"/>
        <v>513.36200200648284</v>
      </c>
      <c r="AN37" s="59">
        <f ca="1">AVERAGE(OFFSET($AM$3,0,0,'Données projet'!$E$10+1,1))-AVERAGE(OFFSET($H$3,0,0,'Données projet'!$E$10+1,1))</f>
        <v>493.74122500490859</v>
      </c>
      <c r="AO37" s="59">
        <f t="shared" si="36"/>
        <v>299.43985151679692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138.72767999999999</v>
      </c>
      <c r="BF37" s="13">
        <f t="shared" si="37"/>
        <v>36.005380160492741</v>
      </c>
      <c r="BG37" s="20">
        <f t="shared" si="7"/>
        <v>304.32674644619152</v>
      </c>
      <c r="BH37" s="59">
        <f t="shared" si="8"/>
        <v>547.10017790830716</v>
      </c>
      <c r="BI37" s="59">
        <f ca="1">AVERAGE(OFFSET($BH$3,0,0,'Données projet'!$E$11+1,1))-AVERAGE(OFFSET($H$3,0,0,'Données projet'!$E$11+1,1))</f>
        <v>364.64276939439014</v>
      </c>
      <c r="BJ37" s="59">
        <f t="shared" si="38"/>
        <v>341.7578598026638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2.0716602022106865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2.0716602022106865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24.2</v>
      </c>
      <c r="BY37" s="12">
        <f>IF('Données projet'!$A$114&gt;35,BY36+BX37-CG36,IF(A37&lt;'Données projet'!$A$114,$BV$205^A37,IF(A37='Données projet'!$A$114,'Données projet'!$B$114,BY36+BX37-CG36)))</f>
        <v>344.80000000000007</v>
      </c>
      <c r="BZ37" s="13">
        <f>BY37*VLOOKUP('Données projet'!$B$12,Paramètres!$A$1:$I$89,3,0)*VLOOKUP('Données projet'!$B$12,Paramètres!$A$1:$I$89,5,0)</f>
        <v>206.19040000000004</v>
      </c>
      <c r="CA37" s="13">
        <f t="shared" si="39"/>
        <v>51.102207309460546</v>
      </c>
      <c r="CB37" s="20">
        <f t="shared" si="10"/>
        <v>448.11795773064387</v>
      </c>
      <c r="CC37" s="59">
        <f t="shared" si="11"/>
        <v>690.89138919275945</v>
      </c>
      <c r="CD37" s="59">
        <f ca="1">AVERAGE(OFFSET($CC$3,0,0,'Données projet'!$E$12+1,1))-AVERAGE(OFFSET($H$3,0,0,'Données projet'!$E$12+1,1))</f>
        <v>435.81281313761326</v>
      </c>
      <c r="CE37" s="59">
        <f t="shared" si="40"/>
        <v>460.93390058676493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18.051035484769624</v>
      </c>
      <c r="CL37" s="21">
        <f>EXP(-LN(2)/25)*CL36+(1-EXP(-LN(2)/25))/(LN(2)/25)*Calculateur!CG37*Calculateur!CI37*VLOOKUP('Données projet'!$B$12,Paramètres!$A$1:$I$89,3,0)*0.475*44/12</f>
        <v>23.779118609710839</v>
      </c>
      <c r="CM37" s="21">
        <f>EXP(-LN(2)/2)*CM36+(1-EXP(-LN(2)/2))/(LN(2)/2)*CG37*CJ37*VLOOKUP('Données projet'!$B$12,Paramètres!$A$1:$I$89,3,0)*0.475*44/12</f>
        <v>3.478232057865096</v>
      </c>
      <c r="CN37" s="22">
        <f t="shared" si="12"/>
        <v>45.308386152345562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</v>
      </c>
      <c r="CT37" s="12">
        <f>IF('Données projet'!$A$140&gt;35,CT36+CS37-DB36,IF(A37&lt;'Données projet'!$A$140,$CQ$205^A37,IF(A37='Données projet'!$A$140,'Données projet'!$B$140,CT36+CS37-DB36)))</f>
        <v>216</v>
      </c>
      <c r="CU37" s="17">
        <f>CT37*VLOOKUP('Données projet'!$B$13,Paramètres!$A$1:$I$89,3,0)*VLOOKUP('Données projet'!$B$13,Paramètres!$A$1:$I$89,5,0)</f>
        <v>101.08799999999999</v>
      </c>
      <c r="CV37" s="13">
        <f t="shared" si="41"/>
        <v>27.221035075711939</v>
      </c>
      <c r="CW37" s="20">
        <f t="shared" si="13"/>
        <v>223.47156942353161</v>
      </c>
      <c r="CX37" s="59">
        <f t="shared" si="14"/>
        <v>466.24500088564719</v>
      </c>
      <c r="CY37" s="59">
        <f ca="1">AVERAGE(OFFSET($CX$3,0,0,'Données projet'!$E$13+1,1))-AVERAGE(OFFSET($H$3,0,0,'Données projet'!$E$13+1,1))</f>
        <v>379.16472924112111</v>
      </c>
      <c r="CZ37" s="59">
        <f t="shared" si="42"/>
        <v>273.18950868898253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3.154521348881167</v>
      </c>
      <c r="DG37" s="21">
        <f>EXP(-LN(2)/25)*DG36+(1-EXP(-LN(2)/25))/(LN(2)/25)*Calculateur!DB37*Calculateur!DD37*VLOOKUP('Données projet'!$B$13,Paramètres!$A$1:$I$89,3,0)*0.475*44/12</f>
        <v>13.691146465324866</v>
      </c>
      <c r="DH37" s="21">
        <f>EXP(-LN(2)/2)*DH36+(1-EXP(-LN(2)/2))/(LN(2)/2)*DB37*DE37*VLOOKUP('Données projet'!$B$13,Paramètres!$A$1:$I$89,3,0)*0.475*44/12</f>
        <v>2.3911047775312677</v>
      </c>
      <c r="DI37" s="22">
        <f t="shared" si="15"/>
        <v>19.236772591737303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29</v>
      </c>
      <c r="DO37" s="12">
        <f>IF('Données projet'!$A$166&gt;35,DO36+DN37-DW36,IF(A37&lt;'Données projet'!$A$166,$DL$205^A37,IF(A37='Données projet'!$A$166,'Données projet'!$B$166,DO36+DN37-DW36)))</f>
        <v>389.00000000000017</v>
      </c>
      <c r="DP37" s="17">
        <f>DO37*VLOOKUP('Données projet'!$B$14,Paramètres!$A$1:$I$89,3,0)*VLOOKUP('Données projet'!$B$14,Paramètres!$A$1:$I$89,5,0)</f>
        <v>156.76700000000005</v>
      </c>
      <c r="DQ37" s="13">
        <f t="shared" si="43"/>
        <v>40.112439157917848</v>
      </c>
      <c r="DR37" s="20">
        <f t="shared" si="16"/>
        <v>342.8983565333736</v>
      </c>
      <c r="DS37" s="59">
        <f t="shared" si="17"/>
        <v>585.67178799548924</v>
      </c>
      <c r="DT37" s="59">
        <f ca="1">AVERAGE(OFFSET($DS$3,0,0,'Données projet'!$E$14+1,1))-AVERAGE(OFFSET($H$3,0,0,'Données projet'!$E$14+1,1))</f>
        <v>419.35339339286082</v>
      </c>
      <c r="DU37" s="59">
        <f t="shared" si="44"/>
        <v>359.03308141414709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13.931279027108813</v>
      </c>
      <c r="EB37" s="21">
        <f>EXP(-LN(2)/25)*EB36+(1-EXP(-LN(2)/25))/(LN(2)/25)*Calculateur!DW37*Calculateur!DY37*VLOOKUP('Données projet'!$B$14,Paramètres!$A$1:$I$89,3,0)*0.475*44/12</f>
        <v>15.360977863098684</v>
      </c>
      <c r="EC37" s="21">
        <f>EXP(-LN(2)/2)*EC36+(1-EXP(-LN(2)/2))/(LN(2)/2)*DW37*DZ37*VLOOKUP('Données projet'!$B$14,Paramètres!$A$1:$I$89,3,0)*0.475*44/12</f>
        <v>2.5461450266466397</v>
      </c>
      <c r="ED37" s="22">
        <f t="shared" si="18"/>
        <v>31.838401916854139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39.6</v>
      </c>
      <c r="EJ37" s="12">
        <f>IF('Données projet'!$A$192&gt;35,EJ36+EI37-ER36,IF(A37&lt;'Données projet'!$A$192,$EG$205^A37,IF(A37='Données projet'!$A$192,'Données projet'!$B$192,EJ36+EI37-ER36)))</f>
        <v>496.4000000000002</v>
      </c>
      <c r="EK37" s="17">
        <f>EJ37*VLOOKUP('Données projet'!$B$15,Paramètres!$A$1:$I$89,3,0)*VLOOKUP('Données projet'!$B$15,Paramètres!$A$1:$I$89,5,0)</f>
        <v>219.40880000000013</v>
      </c>
      <c r="EL37" s="13">
        <f t="shared" si="45"/>
        <v>53.986371205044335</v>
      </c>
      <c r="EM37" s="20">
        <f t="shared" si="19"/>
        <v>476.1632565154523</v>
      </c>
      <c r="EN37" s="59">
        <f t="shared" si="20"/>
        <v>718.93668797756789</v>
      </c>
      <c r="EO37" s="59">
        <f ca="1">AVERAGE(OFFSET($EN$3,0,0,'Données projet'!$E$15+1,1))-AVERAGE(OFFSET($H$3,0,0,'Données projet'!$E$15+1,1))</f>
        <v>561.50881628354409</v>
      </c>
      <c r="EP37" s="59">
        <f t="shared" si="46"/>
        <v>468.67708352238458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22.512604220313452</v>
      </c>
      <c r="EW37" s="21">
        <f>EXP(-LN(2)/25)*EW36+(1-EXP(-LN(2)/25))/(LN(2)/25)*Calculateur!ER37*Calculateur!ET37*VLOOKUP('Données projet'!$B$15,Paramètres!$A$1:$I$89,3,0)*0.475*44/12</f>
        <v>28.514963311565193</v>
      </c>
      <c r="EX37" s="21">
        <f>EXP(-LN(2)/2)*EX36+(1-EXP(-LN(2)/2))/(LN(2)/2)*ER37*EU37*VLOOKUP('Données projet'!$B$15,Paramètres!$A$1:$I$89,3,0)*0.475*44/12</f>
        <v>3.7044777669408404</v>
      </c>
      <c r="EY37" s="22">
        <f t="shared" si="21"/>
        <v>54.732045298819486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</v>
      </c>
      <c r="O38" s="13">
        <f>N38*VLOOKUP('Données projet'!$B$9,Paramètres!$A$1:$I$89,3,0)*VLOOKUP('Données projet'!$B$9,Paramètres!$A$1:$I$89,5,0)</f>
        <v>133.00559999999999</v>
      </c>
      <c r="P38" s="13">
        <f t="shared" si="33"/>
        <v>34.689938673073549</v>
      </c>
      <c r="Q38" s="20">
        <f t="shared" si="53"/>
        <v>292.06972985560304</v>
      </c>
      <c r="R38" s="59">
        <f t="shared" si="0"/>
        <v>535.72026258017752</v>
      </c>
      <c r="S38" s="59">
        <f ca="1">AVERAGE(OFFSET($R$3,0,0,'Données projet'!$E$9+1,1))-AVERAGE(OFFSET($H$3,0,0,'Données projet'!$E$9+1,1))</f>
        <v>484.04602944257209</v>
      </c>
      <c r="T38" s="59">
        <f t="shared" si="34"/>
        <v>297.32483725004124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116.00000000000003</v>
      </c>
      <c r="AJ38" s="13">
        <f>AI38*VLOOKUP('Données projet'!$B$10,Paramètres!$A$1:$I$89,3,0)*VLOOKUP('Données projet'!$B$10,Paramètres!$A$1:$I$89,5,0)</f>
        <v>132.10080000000005</v>
      </c>
      <c r="AK38" s="13">
        <f t="shared" si="35"/>
        <v>34.48133869793115</v>
      </c>
      <c r="AL38" s="20">
        <f t="shared" si="4"/>
        <v>290.13055823223016</v>
      </c>
      <c r="AM38" s="59">
        <f t="shared" si="5"/>
        <v>533.78109095680463</v>
      </c>
      <c r="AN38" s="59">
        <f ca="1">AVERAGE(OFFSET($AM$3,0,0,'Données projet'!$E$10+1,1))-AVERAGE(OFFSET($H$3,0,0,'Données projet'!$E$10+1,1))</f>
        <v>493.74122500490859</v>
      </c>
      <c r="AO38" s="59">
        <f t="shared" si="36"/>
        <v>299.43985151679692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146.76480000000001</v>
      </c>
      <c r="BF38" s="13">
        <f t="shared" si="37"/>
        <v>37.842444439956665</v>
      </c>
      <c r="BG38" s="20">
        <f t="shared" si="7"/>
        <v>321.52428406625785</v>
      </c>
      <c r="BH38" s="59">
        <f t="shared" si="8"/>
        <v>565.17481679083232</v>
      </c>
      <c r="BI38" s="59">
        <f ca="1">AVERAGE(OFFSET($BH$3,0,0,'Données projet'!$E$11+1,1))-AVERAGE(OFFSET($H$3,0,0,'Données projet'!$E$11+1,1))</f>
        <v>364.64276939439014</v>
      </c>
      <c r="BJ38" s="59">
        <f t="shared" si="38"/>
        <v>341.7578598026638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8.6000000000000007E-2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4.2734819897395759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4.2734819897395759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369</v>
      </c>
      <c r="BW38" s="12">
        <f>VLOOKUP(A38,'Données projet'!$A$113:$I$133,9,0)</f>
        <v>24.2</v>
      </c>
      <c r="BX38" s="12">
        <f t="array" ref="BX38">INDEX(BW:BW,MIN(IF(ISNUMBER(BW38:BW234),ROW(BW38:BW234),"")))</f>
        <v>24.2</v>
      </c>
      <c r="BY38" s="12">
        <f>IF('Données projet'!$A$114&gt;35,BY37+BX38-CG37,IF(A38&lt;'Données projet'!$A$114,$BV$205^A38,IF(A38='Données projet'!$A$114,'Données projet'!$B$114,BY37+BX38-CG37)))</f>
        <v>369.00000000000006</v>
      </c>
      <c r="BZ38" s="13">
        <f>BY38*VLOOKUP('Données projet'!$B$12,Paramètres!$A$1:$I$89,3,0)*VLOOKUP('Données projet'!$B$12,Paramètres!$A$1:$I$89,5,0)</f>
        <v>220.66200000000006</v>
      </c>
      <c r="CA38" s="13">
        <f t="shared" si="39"/>
        <v>54.258742979955002</v>
      </c>
      <c r="CB38" s="20">
        <f t="shared" si="10"/>
        <v>478.82029402342181</v>
      </c>
      <c r="CC38" s="59">
        <f t="shared" si="11"/>
        <v>722.47082674799628</v>
      </c>
      <c r="CD38" s="59">
        <f ca="1">AVERAGE(OFFSET($CC$3,0,0,'Données projet'!$E$12+1,1))-AVERAGE(OFFSET($H$3,0,0,'Données projet'!$E$12+1,1))</f>
        <v>435.81281313761326</v>
      </c>
      <c r="CE38" s="59">
        <f t="shared" si="40"/>
        <v>460.93390058676493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63</v>
      </c>
      <c r="CH38" s="16">
        <f>IF(ISNA(VLOOKUP(A38,'Données projet'!$A$113:$I$133,5,0)),0%,VLOOKUP(A38,'Données projet'!$A$113:$I$133,5,0)*VLOOKUP('Données projet'!$B$12,Paramètres!$A$1:$I$89,7,0))</f>
        <v>0.18000000000000002</v>
      </c>
      <c r="CI38" s="16">
        <f>IF(ISNA(VLOOKUP(A38,'Données projet'!$A$113:$I$133,6,0)),0%,VLOOKUP(A38,'Données projet'!$A$113:$I$133,6,0)*VLOOKUP('Données projet'!$B$12,Paramètres!$A$1:$I$89,7,0))</f>
        <v>0.15300000000000002</v>
      </c>
      <c r="CJ38" s="16">
        <f>IF(ISNA(VLOOKUP(A38,'Données projet'!$A$113:$I$133,7,0)),0%,VLOOKUP(A38,'Données projet'!$A$113:$I$133,7,0))</f>
        <v>0.26</v>
      </c>
      <c r="CK38" s="21">
        <f>EXP(-LN(2)/35)*CK37+(1-EXP(-LN(2)/35))/(LN(2)/35)*CG38*CH38*VLOOKUP('Données projet'!$B$12,Paramètres!$A$1:$I$89,3,0)*0.475*44/12</f>
        <v>26.692923761919047</v>
      </c>
      <c r="CL38" s="21">
        <f>EXP(-LN(2)/25)*CL37+(1-EXP(-LN(2)/25))/(LN(2)/25)*Calculateur!CG38*Calculateur!CI38*VLOOKUP('Données projet'!$B$12,Paramètres!$A$1:$I$89,3,0)*0.475*44/12</f>
        <v>30.745249620070556</v>
      </c>
      <c r="CM38" s="21">
        <f>EXP(-LN(2)/2)*CM37+(1-EXP(-LN(2)/2))/(LN(2)/2)*CG38*CJ38*VLOOKUP('Données projet'!$B$12,Paramètres!$A$1:$I$89,3,0)*0.475*44/12</f>
        <v>13.54996856467999</v>
      </c>
      <c r="CN38" s="22">
        <f t="shared" si="12"/>
        <v>70.988141946669586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14</v>
      </c>
      <c r="CT38" s="12">
        <f>IF('Données projet'!$A$140&gt;35,CT37+CS38-DB37,IF(A38&lt;'Données projet'!$A$140,$CQ$205^A38,IF(A38='Données projet'!$A$140,'Données projet'!$B$140,CT37+CS38-DB37)))</f>
        <v>230</v>
      </c>
      <c r="CU38" s="17">
        <f>CT38*VLOOKUP('Données projet'!$B$13,Paramètres!$A$1:$I$89,3,0)*VLOOKUP('Données projet'!$B$13,Paramètres!$A$1:$I$89,5,0)</f>
        <v>107.64</v>
      </c>
      <c r="CV38" s="13">
        <f t="shared" si="41"/>
        <v>28.774250263353583</v>
      </c>
      <c r="CW38" s="20">
        <f t="shared" si="13"/>
        <v>237.58815254200749</v>
      </c>
      <c r="CX38" s="59">
        <f t="shared" si="14"/>
        <v>481.23868526658202</v>
      </c>
      <c r="CY38" s="59">
        <f ca="1">AVERAGE(OFFSET($CX$3,0,0,'Données projet'!$E$13+1,1))-AVERAGE(OFFSET($H$3,0,0,'Données projet'!$E$13+1,1))</f>
        <v>379.16472924112111</v>
      </c>
      <c r="CZ38" s="59">
        <f t="shared" si="42"/>
        <v>273.18950868898253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3.0926631092976442</v>
      </c>
      <c r="DG38" s="21">
        <f>EXP(-LN(2)/25)*DG37+(1-EXP(-LN(2)/25))/(LN(2)/25)*Calculateur!DB38*Calculateur!DD38*VLOOKUP('Données projet'!$B$13,Paramètres!$A$1:$I$89,3,0)*0.475*44/12</f>
        <v>13.316761345244457</v>
      </c>
      <c r="DH38" s="21">
        <f>EXP(-LN(2)/2)*DH37+(1-EXP(-LN(2)/2))/(LN(2)/2)*DB38*DE38*VLOOKUP('Données projet'!$B$13,Paramètres!$A$1:$I$89,3,0)*0.475*44/12</f>
        <v>1.6907664027199105</v>
      </c>
      <c r="DI38" s="22">
        <f t="shared" si="15"/>
        <v>18.10019085726201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418</v>
      </c>
      <c r="DM38" s="12">
        <f>VLOOKUP(A38,'Données projet'!$A$165:$I$185,9,0)</f>
        <v>29</v>
      </c>
      <c r="DN38" s="12">
        <f t="array" ref="DN38">INDEX(DM:DM,MIN(IF(ISNUMBER(DM38:DM234),ROW(DM38:DM234),"")))</f>
        <v>29</v>
      </c>
      <c r="DO38" s="12">
        <f>IF('Données projet'!$A$166&gt;35,DO37+DN38-DW37,IF(A38&lt;'Données projet'!$A$166,$DL$205^A38,IF(A38='Données projet'!$A$166,'Données projet'!$B$166,DO37+DN38-DW37)))</f>
        <v>418.00000000000017</v>
      </c>
      <c r="DP38" s="17">
        <f>DO38*VLOOKUP('Données projet'!$B$14,Paramètres!$A$1:$I$89,3,0)*VLOOKUP('Données projet'!$B$14,Paramètres!$A$1:$I$89,5,0)</f>
        <v>168.45400000000006</v>
      </c>
      <c r="DQ38" s="13">
        <f t="shared" si="43"/>
        <v>42.743587127049565</v>
      </c>
      <c r="DR38" s="20">
        <f t="shared" si="16"/>
        <v>367.83579757961144</v>
      </c>
      <c r="DS38" s="59">
        <f t="shared" si="17"/>
        <v>611.48633030418591</v>
      </c>
      <c r="DT38" s="59">
        <f ca="1">AVERAGE(OFFSET($DS$3,0,0,'Données projet'!$E$14+1,1))-AVERAGE(OFFSET($H$3,0,0,'Données projet'!$E$14+1,1))</f>
        <v>419.35339339286082</v>
      </c>
      <c r="DU38" s="59">
        <f t="shared" si="44"/>
        <v>359.03308141414709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70</v>
      </c>
      <c r="DX38" s="16">
        <f>IF(ISNA(VLOOKUP(A38,'Données projet'!$A$165:$I$185,5,0)),0%,VLOOKUP(A38,'Données projet'!$A$165:$I$185,5,0)*VLOOKUP('Données projet'!$B$14,Paramètres!$A$1:$I$89,7,0))</f>
        <v>0.22000000000000003</v>
      </c>
      <c r="DY38" s="16">
        <f>IF(ISNA(VLOOKUP(A38,'Données projet'!$A$165:$I$185,6,0)),0%,VLOOKUP(A38,'Données projet'!$A$165:$I$185,6,0)*VLOOKUP('Données projet'!$B$14,Paramètres!$A$1:$I$89,7,0))</f>
        <v>0.18700000000000003</v>
      </c>
      <c r="DZ38" s="16">
        <f>IF(ISNA(VLOOKUP(A38,'Données projet'!$A$165:$I$185,7,0)),0%,VLOOKUP(A38,'Données projet'!$A$165:$I$185,7,0))</f>
        <v>0.26</v>
      </c>
      <c r="EA38" s="21">
        <f>EXP(-LN(2)/35)*EA37+(1-EXP(-LN(2)/35))/(LN(2)/35)*DW38*DX38*VLOOKUP('Données projet'!$B$14,Paramètres!$A$1:$I$89,3,0)*0.475*44/12</f>
        <v>21.891019465977259</v>
      </c>
      <c r="EB38" s="21">
        <f>EXP(-LN(2)/25)*EB37+(1-EXP(-LN(2)/25))/(LN(2)/25)*Calculateur!DW38*Calculateur!DY38*VLOOKUP('Données projet'!$B$14,Paramètres!$A$1:$I$89,3,0)*0.475*44/12</f>
        <v>21.911363054436617</v>
      </c>
      <c r="EC38" s="21">
        <f>EXP(-LN(2)/2)*EC37+(1-EXP(-LN(2)/2))/(LN(2)/2)*DW38*DZ38*VLOOKUP('Données projet'!$B$14,Paramètres!$A$1:$I$89,3,0)*0.475*44/12</f>
        <v>10.104867423663858</v>
      </c>
      <c r="ED38" s="22">
        <f t="shared" si="18"/>
        <v>53.907249944077734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536</v>
      </c>
      <c r="EH38" s="12">
        <f>VLOOKUP(A38,'Données projet'!$A$191:$I$211,9,0)</f>
        <v>39.6</v>
      </c>
      <c r="EI38" s="12">
        <f t="array" ref="EI38">INDEX(EH:EH,MIN(IF(ISNUMBER(EH38:EH234),ROW(EH38:EH234),"")))</f>
        <v>39.6</v>
      </c>
      <c r="EJ38" s="12">
        <f>IF('Données projet'!$A$192&gt;35,EJ37+EI38-ER37,IF(A38&lt;'Données projet'!$A$192,$EG$205^A38,IF(A38='Données projet'!$A$192,'Données projet'!$B$192,EJ37+EI38-ER37)))</f>
        <v>536.00000000000023</v>
      </c>
      <c r="EK38" s="17">
        <f>EJ38*VLOOKUP('Données projet'!$B$15,Paramètres!$A$1:$I$89,3,0)*VLOOKUP('Données projet'!$B$15,Paramètres!$A$1:$I$89,5,0)</f>
        <v>236.91200000000012</v>
      </c>
      <c r="EL38" s="13">
        <f t="shared" si="45"/>
        <v>57.774632312805593</v>
      </c>
      <c r="EM38" s="20">
        <f t="shared" si="19"/>
        <v>513.24588461146993</v>
      </c>
      <c r="EN38" s="59">
        <f t="shared" si="20"/>
        <v>756.89641733604446</v>
      </c>
      <c r="EO38" s="59">
        <f ca="1">AVERAGE(OFFSET($EN$3,0,0,'Données projet'!$E$15+1,1))-AVERAGE(OFFSET($H$3,0,0,'Données projet'!$E$15+1,1))</f>
        <v>561.50881628354409</v>
      </c>
      <c r="EP38" s="59">
        <f t="shared" si="46"/>
        <v>468.67708352238458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91</v>
      </c>
      <c r="ES38" s="16">
        <f>IF(ISNA(VLOOKUP(A38,'Données projet'!$A$191:$I$211,5,0)),0%,VLOOKUP(A38,'Données projet'!$A$191:$I$211,5,0)*VLOOKUP('Données projet'!$B$15,Paramètres!$A$1:$I$89,7,0))</f>
        <v>0.22000000000000003</v>
      </c>
      <c r="ET38" s="16">
        <f>IF(ISNA(VLOOKUP(A38,'Données projet'!$A$191:$I$211,6,0)),0%,VLOOKUP(A38,'Données projet'!$A$191:$I$211,6,0)*VLOOKUP('Données projet'!$B$15,Paramètres!$A$1:$I$89,7,0))</f>
        <v>0.18700000000000003</v>
      </c>
      <c r="EU38" s="16">
        <f>IF(ISNA(VLOOKUP(A38,'Données projet'!$A$191:$I$211,7,0)),0%,VLOOKUP(A38,'Données projet'!$A$191:$I$211,7,0))</f>
        <v>0.26</v>
      </c>
      <c r="EV38" s="21">
        <f>EXP(-LN(2)/35)*EV37+(1-EXP(-LN(2)/35))/(LN(2)/35)*ER38*ES38*VLOOKUP('Données projet'!$B$15,Paramètres!$A$1:$I$89,3,0)*0.475*44/12</f>
        <v>33.809702398757452</v>
      </c>
      <c r="EW38" s="21">
        <f>EXP(-LN(2)/25)*EW37+(1-EXP(-LN(2)/25))/(LN(2)/25)*Calculateur!ER38*Calculateur!ET38*VLOOKUP('Données projet'!$B$15,Paramètres!$A$1:$I$89,3,0)*0.475*44/12</f>
        <v>37.673706969147773</v>
      </c>
      <c r="EX38" s="21">
        <f>EXP(-LN(2)/2)*EX37+(1-EXP(-LN(2)/2))/(LN(2)/2)*ER38*EU38*VLOOKUP('Données projet'!$B$15,Paramètres!$A$1:$I$89,3,0)*0.475*44/12</f>
        <v>14.460029692247142</v>
      </c>
      <c r="EY38" s="22">
        <f t="shared" si="21"/>
        <v>85.943439060152372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130.19999999999999</v>
      </c>
      <c r="O39" s="13">
        <f>N39*VLOOKUP('Données projet'!$B$9,Paramètres!$A$1:$I$89,3,0)*VLOOKUP('Données projet'!$B$9,Paramètres!$A$1:$I$89,5,0)</f>
        <v>117.80495999999999</v>
      </c>
      <c r="P39" s="13">
        <f t="shared" si="33"/>
        <v>31.162493487829593</v>
      </c>
      <c r="Q39" s="20">
        <f t="shared" si="53"/>
        <v>259.45164815796983</v>
      </c>
      <c r="R39" s="59">
        <f t="shared" si="0"/>
        <v>503.96406639900425</v>
      </c>
      <c r="S39" s="59">
        <f ca="1">AVERAGE(OFFSET($R$3,0,0,'Données projet'!$E$9+1,1))-AVERAGE(OFFSET($H$3,0,0,'Données projet'!$E$9+1,1))</f>
        <v>484.04602944257209</v>
      </c>
      <c r="T39" s="59">
        <f t="shared" si="34"/>
        <v>297.32483725004124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103.40000000000003</v>
      </c>
      <c r="AJ39" s="13">
        <f>AI39*VLOOKUP('Données projet'!$B$10,Paramètres!$A$1:$I$89,3,0)*VLOOKUP('Données projet'!$B$10,Paramètres!$A$1:$I$89,5,0)</f>
        <v>117.75192000000004</v>
      </c>
      <c r="AK39" s="13">
        <f t="shared" si="35"/>
        <v>31.150095841896462</v>
      </c>
      <c r="AL39" s="20">
        <f t="shared" si="4"/>
        <v>259.33767759130313</v>
      </c>
      <c r="AM39" s="59">
        <f t="shared" si="5"/>
        <v>503.85009583233756</v>
      </c>
      <c r="AN39" s="59">
        <f ca="1">AVERAGE(OFFSET($AM$3,0,0,'Données projet'!$E$10+1,1))-AVERAGE(OFFSET($H$3,0,0,'Données projet'!$E$10+1,1))</f>
        <v>493.74122500490859</v>
      </c>
      <c r="AO39" s="59">
        <f t="shared" si="36"/>
        <v>299.43985151679692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130.86528000000001</v>
      </c>
      <c r="BF39" s="13">
        <f t="shared" si="37"/>
        <v>34.19622287336729</v>
      </c>
      <c r="BG39" s="20">
        <f t="shared" si="7"/>
        <v>287.48211750444801</v>
      </c>
      <c r="BH39" s="59">
        <f t="shared" si="8"/>
        <v>531.99453574548238</v>
      </c>
      <c r="BI39" s="59">
        <f ca="1">AVERAGE(OFFSET($BH$3,0,0,'Données projet'!$E$11+1,1))-AVERAGE(OFFSET($H$3,0,0,'Données projet'!$E$11+1,1))</f>
        <v>364.64276939439014</v>
      </c>
      <c r="BJ39" s="59">
        <f t="shared" si="38"/>
        <v>341.7578598026638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4.1896816144874194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4.1896816144874194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23.6</v>
      </c>
      <c r="BY39" s="12">
        <f>IF('Données projet'!$A$114&gt;35,BY38+BX39-CG38,IF(A39&lt;'Données projet'!$A$114,$BV$205^A39,IF(A39='Données projet'!$A$114,'Données projet'!$B$114,BY38+BX39-CG38)))</f>
        <v>329.60000000000008</v>
      </c>
      <c r="BZ39" s="13">
        <f>BY39*VLOOKUP('Données projet'!$B$12,Paramètres!$A$1:$I$89,3,0)*VLOOKUP('Données projet'!$B$12,Paramètres!$A$1:$I$89,5,0)</f>
        <v>197.10080000000005</v>
      </c>
      <c r="CA39" s="13">
        <f t="shared" si="39"/>
        <v>49.10647084525754</v>
      </c>
      <c r="CB39" s="20">
        <f t="shared" si="10"/>
        <v>428.81099672215697</v>
      </c>
      <c r="CC39" s="59">
        <f t="shared" si="11"/>
        <v>673.32341496319145</v>
      </c>
      <c r="CD39" s="59">
        <f ca="1">AVERAGE(OFFSET($CC$3,0,0,'Données projet'!$E$12+1,1))-AVERAGE(OFFSET($H$3,0,0,'Données projet'!$E$12+1,1))</f>
        <v>435.81281313761326</v>
      </c>
      <c r="CE39" s="59">
        <f t="shared" si="40"/>
        <v>460.93390058676493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26.169491808023686</v>
      </c>
      <c r="CL39" s="21">
        <f>EXP(-LN(2)/25)*CL38+(1-EXP(-LN(2)/25))/(LN(2)/25)*Calculateur!CG39*Calculateur!CI39*VLOOKUP('Données projet'!$B$12,Paramètres!$A$1:$I$89,3,0)*0.475*44/12</f>
        <v>29.904519152387319</v>
      </c>
      <c r="CM39" s="21">
        <f>EXP(-LN(2)/2)*CM38+(1-EXP(-LN(2)/2))/(LN(2)/2)*CG39*CJ39*VLOOKUP('Données projet'!$B$12,Paramètres!$A$1:$I$89,3,0)*0.475*44/12</f>
        <v>9.5812746569497715</v>
      </c>
      <c r="CN39" s="22">
        <f t="shared" si="12"/>
        <v>65.655285617360775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14</v>
      </c>
      <c r="CT39" s="12">
        <f>IF('Données projet'!$A$140&gt;35,CT38+CS39-DB38,IF(A39&lt;'Données projet'!$A$140,$CQ$205^A39,IF(A39='Données projet'!$A$140,'Données projet'!$B$140,CT38+CS39-DB38)))</f>
        <v>244</v>
      </c>
      <c r="CU39" s="17">
        <f>CT39*VLOOKUP('Données projet'!$B$13,Paramètres!$A$1:$I$89,3,0)*VLOOKUP('Données projet'!$B$13,Paramètres!$A$1:$I$89,5,0)</f>
        <v>114.19200000000001</v>
      </c>
      <c r="CV39" s="13">
        <f t="shared" si="41"/>
        <v>30.316492326242802</v>
      </c>
      <c r="CW39" s="20">
        <f t="shared" si="13"/>
        <v>251.68562413487288</v>
      </c>
      <c r="CX39" s="59">
        <f t="shared" si="14"/>
        <v>496.19804237590733</v>
      </c>
      <c r="CY39" s="59">
        <f ca="1">AVERAGE(OFFSET($CX$3,0,0,'Données projet'!$E$13+1,1))-AVERAGE(OFFSET($H$3,0,0,'Données projet'!$E$13+1,1))</f>
        <v>379.16472924112111</v>
      </c>
      <c r="CZ39" s="59">
        <f t="shared" si="42"/>
        <v>273.18950868898253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3.0320178720625535</v>
      </c>
      <c r="DG39" s="21">
        <f>EXP(-LN(2)/25)*DG38+(1-EXP(-LN(2)/25))/(LN(2)/25)*Calculateur!DB39*Calculateur!DD39*VLOOKUP('Données projet'!$B$13,Paramètres!$A$1:$I$89,3,0)*0.475*44/12</f>
        <v>12.952613805960704</v>
      </c>
      <c r="DH39" s="21">
        <f>EXP(-LN(2)/2)*DH38+(1-EXP(-LN(2)/2))/(LN(2)/2)*DB39*DE39*VLOOKUP('Données projet'!$B$13,Paramètres!$A$1:$I$89,3,0)*0.475*44/12</f>
        <v>1.1955523887656339</v>
      </c>
      <c r="DI39" s="22">
        <f t="shared" si="15"/>
        <v>17.18018406678889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27.8</v>
      </c>
      <c r="DO39" s="12">
        <f>IF('Données projet'!$A$166&gt;35,DO38+DN39-DW38,IF(A39&lt;'Données projet'!$A$166,$DL$205^A39,IF(A39='Données projet'!$A$166,'Données projet'!$B$166,DO38+DN39-DW38)))</f>
        <v>375.80000000000018</v>
      </c>
      <c r="DP39" s="17">
        <f>DO39*VLOOKUP('Données projet'!$B$14,Paramètres!$A$1:$I$89,3,0)*VLOOKUP('Données projet'!$B$14,Paramètres!$A$1:$I$89,5,0)</f>
        <v>151.44740000000007</v>
      </c>
      <c r="DQ39" s="13">
        <f t="shared" si="43"/>
        <v>38.90732840217283</v>
      </c>
      <c r="DR39" s="20">
        <f t="shared" si="16"/>
        <v>331.53448530045108</v>
      </c>
      <c r="DS39" s="59">
        <f t="shared" si="17"/>
        <v>576.04690354148556</v>
      </c>
      <c r="DT39" s="59">
        <f ca="1">AVERAGE(OFFSET($DS$3,0,0,'Données projet'!$E$14+1,1))-AVERAGE(OFFSET($H$3,0,0,'Données projet'!$E$14+1,1))</f>
        <v>419.35339339286082</v>
      </c>
      <c r="DU39" s="59">
        <f t="shared" si="44"/>
        <v>359.03308141414709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21.461749926452899</v>
      </c>
      <c r="EB39" s="21">
        <f>EXP(-LN(2)/25)*EB38+(1-EXP(-LN(2)/25))/(LN(2)/25)*Calculateur!DW39*Calculateur!DY39*VLOOKUP('Données projet'!$B$14,Paramètres!$A$1:$I$89,3,0)*0.475*44/12</f>
        <v>21.312195679444542</v>
      </c>
      <c r="EC39" s="21">
        <f>EXP(-LN(2)/2)*EC38+(1-EXP(-LN(2)/2))/(LN(2)/2)*DW39*DZ39*VLOOKUP('Données projet'!$B$14,Paramètres!$A$1:$I$89,3,0)*0.475*44/12</f>
        <v>7.1452202782637526</v>
      </c>
      <c r="ED39" s="22">
        <f t="shared" si="18"/>
        <v>49.919165884161188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36.4</v>
      </c>
      <c r="EJ39" s="12">
        <f>IF('Données projet'!$A$192&gt;35,EJ38+EI39-ER38,IF(A39&lt;'Données projet'!$A$192,$EG$205^A39,IF(A39='Données projet'!$A$192,'Données projet'!$B$192,EJ38+EI39-ER38)))</f>
        <v>481.4000000000002</v>
      </c>
      <c r="EK39" s="17">
        <f>EJ39*VLOOKUP('Données projet'!$B$15,Paramètres!$A$1:$I$89,3,0)*VLOOKUP('Données projet'!$B$15,Paramètres!$A$1:$I$89,5,0)</f>
        <v>212.7788000000001</v>
      </c>
      <c r="EL39" s="13">
        <f t="shared" si="45"/>
        <v>52.54235805001602</v>
      </c>
      <c r="EM39" s="20">
        <f t="shared" si="19"/>
        <v>462.10101693711141</v>
      </c>
      <c r="EN39" s="59">
        <f t="shared" si="20"/>
        <v>706.61343517814589</v>
      </c>
      <c r="EO39" s="59">
        <f ca="1">AVERAGE(OFFSET($EN$3,0,0,'Données projet'!$E$15+1,1))-AVERAGE(OFFSET($H$3,0,0,'Données projet'!$E$15+1,1))</f>
        <v>561.50881628354409</v>
      </c>
      <c r="EP39" s="59">
        <f t="shared" si="46"/>
        <v>468.67708352238458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33.146714756600041</v>
      </c>
      <c r="EW39" s="21">
        <f>EXP(-LN(2)/25)*EW38+(1-EXP(-LN(2)/25))/(LN(2)/25)*Calculateur!ER39*Calculateur!ET39*VLOOKUP('Données projet'!$B$15,Paramètres!$A$1:$I$89,3,0)*0.475*44/12</f>
        <v>36.643517470902282</v>
      </c>
      <c r="EX39" s="21">
        <f>EXP(-LN(2)/2)*EX38+(1-EXP(-LN(2)/2))/(LN(2)/2)*ER39*EU39*VLOOKUP('Données projet'!$B$15,Paramètres!$A$1:$I$89,3,0)*0.475*44/12</f>
        <v>10.22478505154678</v>
      </c>
      <c r="EY39" s="22">
        <f t="shared" si="21"/>
        <v>80.01501727904909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141.39999999999998</v>
      </c>
      <c r="O40" s="13">
        <f>N40*VLOOKUP('Données projet'!$B$9,Paramètres!$A$1:$I$89,3,0)*VLOOKUP('Données projet'!$B$9,Paramètres!$A$1:$I$89,5,0)</f>
        <v>127.93871999999999</v>
      </c>
      <c r="P40" s="13">
        <f t="shared" si="33"/>
        <v>33.519615889545641</v>
      </c>
      <c r="Q40" s="20">
        <f t="shared" si="53"/>
        <v>281.2066016742919</v>
      </c>
      <c r="R40" s="59">
        <f t="shared" si="0"/>
        <v>526.56595364496297</v>
      </c>
      <c r="S40" s="59">
        <f ca="1">AVERAGE(OFFSET($R$3,0,0,'Données projet'!$E$9+1,1))-AVERAGE(OFFSET($H$3,0,0,'Données projet'!$E$9+1,1))</f>
        <v>484.04602944257209</v>
      </c>
      <c r="T40" s="59">
        <f t="shared" si="34"/>
        <v>297.32483725004124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111.80000000000004</v>
      </c>
      <c r="AJ40" s="13">
        <f>AI40*VLOOKUP('Données projet'!$B$10,Paramètres!$A$1:$I$89,3,0)*VLOOKUP('Données projet'!$B$10,Paramètres!$A$1:$I$89,5,0)</f>
        <v>127.31784000000006</v>
      </c>
      <c r="AK40" s="13">
        <f t="shared" si="35"/>
        <v>33.375840922385144</v>
      </c>
      <c r="AL40" s="20">
        <f t="shared" si="4"/>
        <v>279.87482760648749</v>
      </c>
      <c r="AM40" s="59">
        <f t="shared" si="5"/>
        <v>525.23417957715856</v>
      </c>
      <c r="AN40" s="59">
        <f ca="1">AVERAGE(OFFSET($AM$3,0,0,'Données projet'!$E$10+1,1))-AVERAGE(OFFSET($H$3,0,0,'Données projet'!$E$10+1,1))</f>
        <v>493.74122500490859</v>
      </c>
      <c r="AO40" s="59">
        <f t="shared" si="36"/>
        <v>299.43985151679692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138.55296000000001</v>
      </c>
      <c r="BF40" s="13">
        <f t="shared" si="37"/>
        <v>35.965308766301796</v>
      </c>
      <c r="BG40" s="20">
        <f t="shared" si="7"/>
        <v>303.95265143464229</v>
      </c>
      <c r="BH40" s="59">
        <f t="shared" si="8"/>
        <v>549.31200340531336</v>
      </c>
      <c r="BI40" s="59">
        <f ca="1">AVERAGE(OFFSET($BH$3,0,0,'Données projet'!$E$11+1,1))-AVERAGE(OFFSET($H$3,0,0,'Données projet'!$E$11+1,1))</f>
        <v>364.64276939439014</v>
      </c>
      <c r="BJ40" s="59">
        <f t="shared" si="38"/>
        <v>341.7578598026638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4.1075245134807759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4.1075245134807759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23.6</v>
      </c>
      <c r="BY40" s="12">
        <f>IF('Données projet'!$A$114&gt;35,BY39+BX40-CG39,IF(A40&lt;'Données projet'!$A$114,$BV$205^A40,IF(A40='Données projet'!$A$114,'Données projet'!$B$114,BY39+BX40-CG39)))</f>
        <v>353.2000000000001</v>
      </c>
      <c r="BZ40" s="13">
        <f>BY40*VLOOKUP('Données projet'!$B$12,Paramètres!$A$1:$I$89,3,0)*VLOOKUP('Données projet'!$B$12,Paramètres!$A$1:$I$89,5,0)</f>
        <v>211.2136000000001</v>
      </c>
      <c r="CA40" s="13">
        <f t="shared" si="39"/>
        <v>52.20069882503806</v>
      </c>
      <c r="CB40" s="20">
        <f t="shared" si="10"/>
        <v>458.77990378694136</v>
      </c>
      <c r="CC40" s="59">
        <f t="shared" si="11"/>
        <v>704.13925575761243</v>
      </c>
      <c r="CD40" s="59">
        <f ca="1">AVERAGE(OFFSET($CC$3,0,0,'Données projet'!$E$12+1,1))-AVERAGE(OFFSET($H$3,0,0,'Données projet'!$E$12+1,1))</f>
        <v>435.81281313761326</v>
      </c>
      <c r="CE40" s="59">
        <f t="shared" si="40"/>
        <v>460.93390058676493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25.656324035482246</v>
      </c>
      <c r="CL40" s="21">
        <f>EXP(-LN(2)/25)*CL39+(1-EXP(-LN(2)/25))/(LN(2)/25)*Calculateur!CG40*Calculateur!CI40*VLOOKUP('Données projet'!$B$12,Paramètres!$A$1:$I$89,3,0)*0.475*44/12</f>
        <v>29.086778503554974</v>
      </c>
      <c r="CM40" s="21">
        <f>EXP(-LN(2)/2)*CM39+(1-EXP(-LN(2)/2))/(LN(2)/2)*CG40*CJ40*VLOOKUP('Données projet'!$B$12,Paramètres!$A$1:$I$89,3,0)*0.475*44/12</f>
        <v>6.7749842823399957</v>
      </c>
      <c r="CN40" s="22">
        <f t="shared" si="12"/>
        <v>61.518086821377217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</v>
      </c>
      <c r="CT40" s="12">
        <f>IF('Données projet'!$A$140&gt;35,CT39+CS40-DB39,IF(A40&lt;'Données projet'!$A$140,$CQ$205^A40,IF(A40='Données projet'!$A$140,'Données projet'!$B$140,CT39+CS40-DB39)))</f>
        <v>258</v>
      </c>
      <c r="CU40" s="17">
        <f>CT40*VLOOKUP('Données projet'!$B$13,Paramètres!$A$1:$I$89,3,0)*VLOOKUP('Données projet'!$B$13,Paramètres!$A$1:$I$89,5,0)</f>
        <v>120.744</v>
      </c>
      <c r="CV40" s="13">
        <f t="shared" si="41"/>
        <v>31.848462605207807</v>
      </c>
      <c r="CW40" s="20">
        <f t="shared" si="13"/>
        <v>265.76520570407024</v>
      </c>
      <c r="CX40" s="59">
        <f t="shared" si="14"/>
        <v>511.12455767474137</v>
      </c>
      <c r="CY40" s="59">
        <f ca="1">AVERAGE(OFFSET($CX$3,0,0,'Données projet'!$E$13+1,1))-AVERAGE(OFFSET($H$3,0,0,'Données projet'!$E$13+1,1))</f>
        <v>379.16472924112111</v>
      </c>
      <c r="CZ40" s="59">
        <f t="shared" si="42"/>
        <v>273.18950868898253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2.9725618509397007</v>
      </c>
      <c r="DG40" s="21">
        <f>EXP(-LN(2)/25)*DG39+(1-EXP(-LN(2)/25))/(LN(2)/25)*Calculateur!DB40*Calculateur!DD40*VLOOKUP('Données projet'!$B$13,Paramètres!$A$1:$I$89,3,0)*0.475*44/12</f>
        <v>12.598423900288353</v>
      </c>
      <c r="DH40" s="21">
        <f>EXP(-LN(2)/2)*DH39+(1-EXP(-LN(2)/2))/(LN(2)/2)*DB40*DE40*VLOOKUP('Données projet'!$B$13,Paramètres!$A$1:$I$89,3,0)*0.475*44/12</f>
        <v>0.84538320135995526</v>
      </c>
      <c r="DI40" s="22">
        <f t="shared" si="15"/>
        <v>16.416368952588009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27.8</v>
      </c>
      <c r="DO40" s="12">
        <f>IF('Données projet'!$A$166&gt;35,DO39+DN40-DW39,IF(A40&lt;'Données projet'!$A$166,$DL$205^A40,IF(A40='Données projet'!$A$166,'Données projet'!$B$166,DO39+DN40-DW39)))</f>
        <v>403.60000000000019</v>
      </c>
      <c r="DP40" s="17">
        <f>DO40*VLOOKUP('Données projet'!$B$14,Paramètres!$A$1:$I$89,3,0)*VLOOKUP('Données projet'!$B$14,Paramètres!$A$1:$I$89,5,0)</f>
        <v>162.65080000000009</v>
      </c>
      <c r="DQ40" s="13">
        <f t="shared" si="43"/>
        <v>41.439837761751669</v>
      </c>
      <c r="DR40" s="20">
        <f t="shared" si="16"/>
        <v>355.45786076838431</v>
      </c>
      <c r="DS40" s="59">
        <f t="shared" si="17"/>
        <v>600.81721273905544</v>
      </c>
      <c r="DT40" s="59">
        <f ca="1">AVERAGE(OFFSET($DS$3,0,0,'Données projet'!$E$14+1,1))-AVERAGE(OFFSET($H$3,0,0,'Données projet'!$E$14+1,1))</f>
        <v>419.35339339286082</v>
      </c>
      <c r="DU40" s="59">
        <f t="shared" si="44"/>
        <v>359.03308141414709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21.040898100770047</v>
      </c>
      <c r="EB40" s="21">
        <f>EXP(-LN(2)/25)*EB39+(1-EXP(-LN(2)/25))/(LN(2)/25)*Calculateur!DW40*Calculateur!DY40*VLOOKUP('Données projet'!$B$14,Paramètres!$A$1:$I$89,3,0)*0.475*44/12</f>
        <v>20.729412567830469</v>
      </c>
      <c r="EC40" s="21">
        <f>EXP(-LN(2)/2)*EC39+(1-EXP(-LN(2)/2))/(LN(2)/2)*DW40*DZ40*VLOOKUP('Données projet'!$B$14,Paramètres!$A$1:$I$89,3,0)*0.475*44/12</f>
        <v>5.05243371183193</v>
      </c>
      <c r="ED40" s="22">
        <f t="shared" si="18"/>
        <v>46.822744380432447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36.4</v>
      </c>
      <c r="EJ40" s="12">
        <f>IF('Données projet'!$A$192&gt;35,EJ39+EI40-ER39,IF(A40&lt;'Données projet'!$A$192,$EG$205^A40,IF(A40='Données projet'!$A$192,'Données projet'!$B$192,EJ39+EI40-ER39)))</f>
        <v>517.80000000000018</v>
      </c>
      <c r="EK40" s="17">
        <f>EJ40*VLOOKUP('Données projet'!$B$15,Paramètres!$A$1:$I$89,3,0)*VLOOKUP('Données projet'!$B$15,Paramètres!$A$1:$I$89,5,0)</f>
        <v>228.8676000000001</v>
      </c>
      <c r="EL40" s="13">
        <f t="shared" si="45"/>
        <v>56.037759885456843</v>
      </c>
      <c r="EM40" s="20">
        <f t="shared" si="19"/>
        <v>496.21016846717083</v>
      </c>
      <c r="EN40" s="59">
        <f t="shared" si="20"/>
        <v>741.5695204378419</v>
      </c>
      <c r="EO40" s="59">
        <f ca="1">AVERAGE(OFFSET($EN$3,0,0,'Données projet'!$E$15+1,1))-AVERAGE(OFFSET($H$3,0,0,'Données projet'!$E$15+1,1))</f>
        <v>561.50881628354409</v>
      </c>
      <c r="EP40" s="59">
        <f t="shared" si="46"/>
        <v>468.67708352238458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32.496727897722806</v>
      </c>
      <c r="EW40" s="21">
        <f>EXP(-LN(2)/25)*EW39+(1-EXP(-LN(2)/25))/(LN(2)/25)*Calculateur!ER40*Calculateur!ET40*VLOOKUP('Données projet'!$B$15,Paramètres!$A$1:$I$89,3,0)*0.475*44/12</f>
        <v>35.641498558661624</v>
      </c>
      <c r="EX40" s="21">
        <f>EXP(-LN(2)/2)*EX39+(1-EXP(-LN(2)/2))/(LN(2)/2)*ER40*EU40*VLOOKUP('Données projet'!$B$15,Paramètres!$A$1:$I$89,3,0)*0.475*44/12</f>
        <v>7.2300148461235718</v>
      </c>
      <c r="EY40" s="22">
        <f t="shared" si="21"/>
        <v>75.368241302507997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152.59999999999997</v>
      </c>
      <c r="O41" s="13">
        <f>N41*VLOOKUP('Données projet'!$B$9,Paramètres!$A$1:$I$89,3,0)*VLOOKUP('Données projet'!$B$9,Paramètres!$A$1:$I$89,5,0)</f>
        <v>138.07247999999996</v>
      </c>
      <c r="P41" s="13">
        <f t="shared" si="33"/>
        <v>35.855082076777961</v>
      </c>
      <c r="Q41" s="20">
        <f t="shared" si="53"/>
        <v>302.92383728372153</v>
      </c>
      <c r="R41" s="59">
        <f t="shared" si="0"/>
        <v>549.11543057728022</v>
      </c>
      <c r="S41" s="59">
        <f ca="1">AVERAGE(OFFSET($R$3,0,0,'Données projet'!$E$9+1,1))-AVERAGE(OFFSET($H$3,0,0,'Données projet'!$E$9+1,1))</f>
        <v>484.04602944257209</v>
      </c>
      <c r="T41" s="59">
        <f t="shared" si="34"/>
        <v>297.32483725004124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120.20000000000005</v>
      </c>
      <c r="AJ41" s="13">
        <f>AI41*VLOOKUP('Données projet'!$B$10,Paramètres!$A$1:$I$89,3,0)*VLOOKUP('Données projet'!$B$10,Paramètres!$A$1:$I$89,5,0)</f>
        <v>136.88376000000005</v>
      </c>
      <c r="AK41" s="13">
        <f t="shared" si="35"/>
        <v>35.58218610296499</v>
      </c>
      <c r="AL41" s="20">
        <f t="shared" si="4"/>
        <v>300.37818946266407</v>
      </c>
      <c r="AM41" s="59">
        <f t="shared" si="5"/>
        <v>546.56978275622282</v>
      </c>
      <c r="AN41" s="59">
        <f ca="1">AVERAGE(OFFSET($AM$3,0,0,'Données projet'!$E$10+1,1))-AVERAGE(OFFSET($H$3,0,0,'Données projet'!$E$10+1,1))</f>
        <v>493.74122500490859</v>
      </c>
      <c r="AO41" s="59">
        <f t="shared" si="36"/>
        <v>299.43985151679692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146.24064000000001</v>
      </c>
      <c r="BF41" s="13">
        <f t="shared" si="37"/>
        <v>37.722999642090628</v>
      </c>
      <c r="BG41" s="20">
        <f t="shared" si="7"/>
        <v>320.40333904330788</v>
      </c>
      <c r="BH41" s="59">
        <f t="shared" si="8"/>
        <v>566.59493233686658</v>
      </c>
      <c r="BI41" s="59">
        <f ca="1">AVERAGE(OFFSET($BH$3,0,0,'Données projet'!$E$11+1,1))-AVERAGE(OFFSET($H$3,0,0,'Données projet'!$E$11+1,1))</f>
        <v>364.64276939439014</v>
      </c>
      <c r="BJ41" s="59">
        <f t="shared" si="38"/>
        <v>341.7578598026638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4.0269784631139887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4.0269784631139887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23.6</v>
      </c>
      <c r="BY41" s="12">
        <f>IF('Données projet'!$A$114&gt;35,BY40+BX41-CG40,IF(A41&lt;'Données projet'!$A$114,$BV$205^A41,IF(A41='Données projet'!$A$114,'Données projet'!$B$114,BY40+BX41-CG40)))</f>
        <v>376.80000000000013</v>
      </c>
      <c r="BZ41" s="13">
        <f>BY41*VLOOKUP('Données projet'!$B$12,Paramètres!$A$1:$I$89,3,0)*VLOOKUP('Données projet'!$B$12,Paramètres!$A$1:$I$89,5,0)</f>
        <v>225.32640000000009</v>
      </c>
      <c r="CA41" s="13">
        <f t="shared" si="39"/>
        <v>55.270935716234675</v>
      </c>
      <c r="CB41" s="20">
        <f t="shared" si="10"/>
        <v>488.70702637244216</v>
      </c>
      <c r="CC41" s="59">
        <f t="shared" si="11"/>
        <v>734.89861966600085</v>
      </c>
      <c r="CD41" s="59">
        <f ca="1">AVERAGE(OFFSET($CC$3,0,0,'Données projet'!$E$12+1,1))-AVERAGE(OFFSET($H$3,0,0,'Données projet'!$E$12+1,1))</f>
        <v>435.81281313761326</v>
      </c>
      <c r="CE41" s="59">
        <f t="shared" si="40"/>
        <v>460.93390058676493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25.153219169958909</v>
      </c>
      <c r="CL41" s="21">
        <f>EXP(-LN(2)/25)*CL40+(1-EXP(-LN(2)/25))/(LN(2)/25)*Calculateur!CG41*Calculateur!CI41*VLOOKUP('Données projet'!$B$12,Paramètres!$A$1:$I$89,3,0)*0.475*44/12</f>
        <v>28.291399015768061</v>
      </c>
      <c r="CM41" s="21">
        <f>EXP(-LN(2)/2)*CM40+(1-EXP(-LN(2)/2))/(LN(2)/2)*CG41*CJ41*VLOOKUP('Données projet'!$B$12,Paramètres!$A$1:$I$89,3,0)*0.475*44/12</f>
        <v>4.7906373284748867</v>
      </c>
      <c r="CN41" s="22">
        <f t="shared" si="12"/>
        <v>58.235255514201853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</v>
      </c>
      <c r="CT41" s="12">
        <f>IF('Données projet'!$A$140&gt;35,CT40+CS41-DB40,IF(A41&lt;'Données projet'!$A$140,$CQ$205^A41,IF(A41='Données projet'!$A$140,'Données projet'!$B$140,CT40+CS41-DB40)))</f>
        <v>272</v>
      </c>
      <c r="CU41" s="17">
        <f>CT41*VLOOKUP('Données projet'!$B$13,Paramètres!$A$1:$I$89,3,0)*VLOOKUP('Données projet'!$B$13,Paramètres!$A$1:$I$89,5,0)</f>
        <v>127.29600000000001</v>
      </c>
      <c r="CV41" s="13">
        <f t="shared" si="41"/>
        <v>33.370782027774453</v>
      </c>
      <c r="CW41" s="20">
        <f t="shared" si="13"/>
        <v>279.82797869837384</v>
      </c>
      <c r="CX41" s="59">
        <f t="shared" si="14"/>
        <v>526.01957199193259</v>
      </c>
      <c r="CY41" s="59">
        <f ca="1">AVERAGE(OFFSET($CX$3,0,0,'Données projet'!$E$13+1,1))-AVERAGE(OFFSET($H$3,0,0,'Données projet'!$E$13+1,1))</f>
        <v>379.16472924112111</v>
      </c>
      <c r="CZ41" s="59">
        <f t="shared" si="42"/>
        <v>273.18950868898253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2.9142717261264752</v>
      </c>
      <c r="DG41" s="21">
        <f>EXP(-LN(2)/25)*DG40+(1-EXP(-LN(2)/25))/(LN(2)/25)*Calculateur!DB41*Calculateur!DD41*VLOOKUP('Données projet'!$B$13,Paramètres!$A$1:$I$89,3,0)*0.475*44/12</f>
        <v>12.253919336212649</v>
      </c>
      <c r="DH41" s="21">
        <f>EXP(-LN(2)/2)*DH40+(1-EXP(-LN(2)/2))/(LN(2)/2)*DB41*DE41*VLOOKUP('Données projet'!$B$13,Paramètres!$A$1:$I$89,3,0)*0.475*44/12</f>
        <v>0.59777619438281693</v>
      </c>
      <c r="DI41" s="22">
        <f t="shared" si="15"/>
        <v>15.765967256721941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27.8</v>
      </c>
      <c r="DO41" s="12">
        <f>IF('Données projet'!$A$166&gt;35,DO40+DN41-DW40,IF(A41&lt;'Données projet'!$A$166,$DL$205^A41,IF(A41='Données projet'!$A$166,'Données projet'!$B$166,DO40+DN41-DW40)))</f>
        <v>431.4000000000002</v>
      </c>
      <c r="DP41" s="17">
        <f>DO41*VLOOKUP('Données projet'!$B$14,Paramètres!$A$1:$I$89,3,0)*VLOOKUP('Données projet'!$B$14,Paramètres!$A$1:$I$89,5,0)</f>
        <v>173.85420000000011</v>
      </c>
      <c r="DQ41" s="13">
        <f t="shared" si="43"/>
        <v>43.952106662721832</v>
      </c>
      <c r="DR41" s="20">
        <f t="shared" si="16"/>
        <v>379.3459841042407</v>
      </c>
      <c r="DS41" s="59">
        <f t="shared" si="17"/>
        <v>625.5375773977994</v>
      </c>
      <c r="DT41" s="59">
        <f ca="1">AVERAGE(OFFSET($DS$3,0,0,'Données projet'!$E$14+1,1))-AVERAGE(OFFSET($H$3,0,0,'Données projet'!$E$14+1,1))</f>
        <v>419.35339339286082</v>
      </c>
      <c r="DU41" s="59">
        <f t="shared" si="44"/>
        <v>359.03308141414709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20.628298922694565</v>
      </c>
      <c r="EB41" s="21">
        <f>EXP(-LN(2)/25)*EB40+(1-EXP(-LN(2)/25))/(LN(2)/25)*Calculateur!DW41*Calculateur!DY41*VLOOKUP('Données projet'!$B$14,Paramètres!$A$1:$I$89,3,0)*0.475*44/12</f>
        <v>20.162565691050716</v>
      </c>
      <c r="EC41" s="21">
        <f>EXP(-LN(2)/2)*EC40+(1-EXP(-LN(2)/2))/(LN(2)/2)*DW41*DZ41*VLOOKUP('Données projet'!$B$14,Paramètres!$A$1:$I$89,3,0)*0.475*44/12</f>
        <v>3.5726101391318767</v>
      </c>
      <c r="ED41" s="22">
        <f t="shared" si="18"/>
        <v>44.36347475287716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36.4</v>
      </c>
      <c r="EJ41" s="12">
        <f>IF('Données projet'!$A$192&gt;35,EJ40+EI41-ER40,IF(A41&lt;'Données projet'!$A$192,$EG$205^A41,IF(A41='Données projet'!$A$192,'Données projet'!$B$192,EJ40+EI41-ER40)))</f>
        <v>554.20000000000016</v>
      </c>
      <c r="EK41" s="17">
        <f>EJ41*VLOOKUP('Données projet'!$B$15,Paramètres!$A$1:$I$89,3,0)*VLOOKUP('Données projet'!$B$15,Paramètres!$A$1:$I$89,5,0)</f>
        <v>244.95640000000009</v>
      </c>
      <c r="EL41" s="13">
        <f t="shared" si="45"/>
        <v>59.504652103546341</v>
      </c>
      <c r="EM41" s="20">
        <f t="shared" si="19"/>
        <v>530.26966574700998</v>
      </c>
      <c r="EN41" s="59">
        <f t="shared" si="20"/>
        <v>776.46125904056873</v>
      </c>
      <c r="EO41" s="59">
        <f ca="1">AVERAGE(OFFSET($EN$3,0,0,'Données projet'!$E$15+1,1))-AVERAGE(OFFSET($H$3,0,0,'Données projet'!$E$15+1,1))</f>
        <v>561.50881628354409</v>
      </c>
      <c r="EP41" s="59">
        <f t="shared" si="46"/>
        <v>468.67708352238458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31.859486884695315</v>
      </c>
      <c r="EW41" s="21">
        <f>EXP(-LN(2)/25)*EW40+(1-EXP(-LN(2)/25))/(LN(2)/25)*Calculateur!ER41*Calculateur!ET41*VLOOKUP('Données projet'!$B$15,Paramètres!$A$1:$I$89,3,0)*0.475*44/12</f>
        <v>34.666879906270076</v>
      </c>
      <c r="EX41" s="21">
        <f>EXP(-LN(2)/2)*EX40+(1-EXP(-LN(2)/2))/(LN(2)/2)*ER41*EU41*VLOOKUP('Données projet'!$B$15,Paramètres!$A$1:$I$89,3,0)*0.475*44/12</f>
        <v>5.1123925257733909</v>
      </c>
      <c r="EY41" s="22">
        <f t="shared" si="21"/>
        <v>71.638759316738785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163.79999999999995</v>
      </c>
      <c r="O42" s="13">
        <f>N42*VLOOKUP('Données projet'!$B$9,Paramètres!$A$1:$I$89,3,0)*VLOOKUP('Données projet'!$B$9,Paramètres!$A$1:$I$89,5,0)</f>
        <v>148.20623999999995</v>
      </c>
      <c r="P42" s="13">
        <f t="shared" si="33"/>
        <v>38.170662245893794</v>
      </c>
      <c r="Q42" s="20">
        <f t="shared" si="53"/>
        <v>324.60643807826494</v>
      </c>
      <c r="R42" s="59">
        <f t="shared" si="0"/>
        <v>571.61583516837209</v>
      </c>
      <c r="S42" s="59">
        <f ca="1">AVERAGE(OFFSET($R$3,0,0,'Données projet'!$E$9+1,1))-AVERAGE(OFFSET($H$3,0,0,'Données projet'!$E$9+1,1))</f>
        <v>484.04602944257209</v>
      </c>
      <c r="T42" s="59">
        <f t="shared" si="34"/>
        <v>297.32483725004124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128.60000000000005</v>
      </c>
      <c r="AJ42" s="13">
        <f>AI42*VLOOKUP('Données projet'!$B$10,Paramètres!$A$1:$I$89,3,0)*VLOOKUP('Données projet'!$B$10,Paramètres!$A$1:$I$89,5,0)</f>
        <v>146.44968000000006</v>
      </c>
      <c r="AK42" s="13">
        <f t="shared" si="35"/>
        <v>37.770641329147324</v>
      </c>
      <c r="AL42" s="20">
        <f t="shared" si="4"/>
        <v>320.85039298159836</v>
      </c>
      <c r="AM42" s="59">
        <f t="shared" si="5"/>
        <v>567.85979007170545</v>
      </c>
      <c r="AN42" s="59">
        <f ca="1">AVERAGE(OFFSET($AM$3,0,0,'Données projet'!$E$10+1,1))-AVERAGE(OFFSET($H$3,0,0,'Données projet'!$E$10+1,1))</f>
        <v>493.74122500490859</v>
      </c>
      <c r="AO42" s="59">
        <f t="shared" si="36"/>
        <v>299.43985151679692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153.92832000000004</v>
      </c>
      <c r="BF42" s="13">
        <f t="shared" si="37"/>
        <v>39.469962836517794</v>
      </c>
      <c r="BG42" s="20">
        <f t="shared" si="7"/>
        <v>336.83534260693523</v>
      </c>
      <c r="BH42" s="59">
        <f t="shared" si="8"/>
        <v>583.84473969704231</v>
      </c>
      <c r="BI42" s="59">
        <f ca="1">AVERAGE(OFFSET($BH$3,0,0,'Données projet'!$E$11+1,1))-AVERAGE(OFFSET($H$3,0,0,'Données projet'!$E$11+1,1))</f>
        <v>364.64276939439014</v>
      </c>
      <c r="BJ42" s="59">
        <f t="shared" si="38"/>
        <v>341.7578598026638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3.948011871666655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3.948011871666655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23.6</v>
      </c>
      <c r="BY42" s="12">
        <f>IF('Données projet'!$A$114&gt;35,BY41+BX42-CG41,IF(A42&lt;'Données projet'!$A$114,$BV$205^A42,IF(A42='Données projet'!$A$114,'Données projet'!$B$114,BY41+BX42-CG41)))</f>
        <v>400.40000000000015</v>
      </c>
      <c r="BZ42" s="13">
        <f>BY42*VLOOKUP('Données projet'!$B$12,Paramètres!$A$1:$I$89,3,0)*VLOOKUP('Données projet'!$B$12,Paramètres!$A$1:$I$89,5,0)</f>
        <v>239.43920000000011</v>
      </c>
      <c r="CA42" s="13">
        <f t="shared" si="39"/>
        <v>58.318855207171957</v>
      </c>
      <c r="CB42" s="20">
        <f t="shared" si="10"/>
        <v>518.59527948582468</v>
      </c>
      <c r="CC42" s="59">
        <f t="shared" si="11"/>
        <v>765.60467657593176</v>
      </c>
      <c r="CD42" s="59">
        <f ca="1">AVERAGE(OFFSET($CC$3,0,0,'Données projet'!$E$12+1,1))-AVERAGE(OFFSET($H$3,0,0,'Données projet'!$E$12+1,1))</f>
        <v>435.81281313761326</v>
      </c>
      <c r="CE42" s="59">
        <f t="shared" si="40"/>
        <v>460.93390058676493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24.659979883984818</v>
      </c>
      <c r="CL42" s="21">
        <f>EXP(-LN(2)/25)*CL41+(1-EXP(-LN(2)/25))/(LN(2)/25)*Calculateur!CG42*Calculateur!CI42*VLOOKUP('Données projet'!$B$12,Paramètres!$A$1:$I$89,3,0)*0.475*44/12</f>
        <v>27.517769221901869</v>
      </c>
      <c r="CM42" s="21">
        <f>EXP(-LN(2)/2)*CM41+(1-EXP(-LN(2)/2))/(LN(2)/2)*CG42*CJ42*VLOOKUP('Données projet'!$B$12,Paramètres!$A$1:$I$89,3,0)*0.475*44/12</f>
        <v>3.3874921411699983</v>
      </c>
      <c r="CN42" s="22">
        <f t="shared" si="12"/>
        <v>55.56524124705669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</v>
      </c>
      <c r="CT42" s="12">
        <f>IF('Données projet'!$A$140&gt;35,CT41+CS42-DB41,IF(A42&lt;'Données projet'!$A$140,$CQ$205^A42,IF(A42='Données projet'!$A$140,'Données projet'!$B$140,CT41+CS42-DB41)))</f>
        <v>286</v>
      </c>
      <c r="CU42" s="17">
        <f>CT42*VLOOKUP('Données projet'!$B$13,Paramètres!$A$1:$I$89,3,0)*VLOOKUP('Données projet'!$B$13,Paramètres!$A$1:$I$89,5,0)</f>
        <v>133.84799999999998</v>
      </c>
      <c r="CV42" s="13">
        <f t="shared" si="41"/>
        <v>34.884003992121656</v>
      </c>
      <c r="CW42" s="20">
        <f t="shared" si="13"/>
        <v>293.8749069529452</v>
      </c>
      <c r="CX42" s="59">
        <f t="shared" si="14"/>
        <v>540.88430404305234</v>
      </c>
      <c r="CY42" s="59">
        <f ca="1">AVERAGE(OFFSET($CX$3,0,0,'Données projet'!$E$13+1,1))-AVERAGE(OFFSET($H$3,0,0,'Données projet'!$E$13+1,1))</f>
        <v>379.16472924112111</v>
      </c>
      <c r="CZ42" s="59">
        <f t="shared" si="42"/>
        <v>273.18950868898253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2.8571246351073714</v>
      </c>
      <c r="DG42" s="21">
        <f>EXP(-LN(2)/25)*DG41+(1-EXP(-LN(2)/25))/(LN(2)/25)*Calculateur!DB42*Calculateur!DD42*VLOOKUP('Données projet'!$B$13,Paramètres!$A$1:$I$89,3,0)*0.475*44/12</f>
        <v>11.918835267558302</v>
      </c>
      <c r="DH42" s="21">
        <f>EXP(-LN(2)/2)*DH41+(1-EXP(-LN(2)/2))/(LN(2)/2)*DB42*DE42*VLOOKUP('Données projet'!$B$13,Paramètres!$A$1:$I$89,3,0)*0.475*44/12</f>
        <v>0.42269160067997763</v>
      </c>
      <c r="DI42" s="22">
        <f t="shared" si="15"/>
        <v>15.198651503345651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27.8</v>
      </c>
      <c r="DO42" s="12">
        <f>IF('Données projet'!$A$166&gt;35,DO41+DN42-DW41,IF(A42&lt;'Données projet'!$A$166,$DL$205^A42,IF(A42='Données projet'!$A$166,'Données projet'!$B$166,DO41+DN42-DW41)))</f>
        <v>459.20000000000022</v>
      </c>
      <c r="DP42" s="17">
        <f>DO42*VLOOKUP('Données projet'!$B$14,Paramètres!$A$1:$I$89,3,0)*VLOOKUP('Données projet'!$B$14,Paramètres!$A$1:$I$89,5,0)</f>
        <v>185.05760000000009</v>
      </c>
      <c r="DQ42" s="13">
        <f t="shared" si="43"/>
        <v>46.445587878276164</v>
      </c>
      <c r="DR42" s="20">
        <f t="shared" si="16"/>
        <v>403.20138555466451</v>
      </c>
      <c r="DS42" s="59">
        <f t="shared" si="17"/>
        <v>650.2107826447716</v>
      </c>
      <c r="DT42" s="59">
        <f ca="1">AVERAGE(OFFSET($DS$3,0,0,'Données projet'!$E$14+1,1))-AVERAGE(OFFSET($H$3,0,0,'Données projet'!$E$14+1,1))</f>
        <v>419.35339339286082</v>
      </c>
      <c r="DU42" s="59">
        <f t="shared" si="44"/>
        <v>359.03308141414709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20.223790562840495</v>
      </c>
      <c r="EB42" s="21">
        <f>EXP(-LN(2)/25)*EB41+(1-EXP(-LN(2)/25))/(LN(2)/25)*Calculateur!DW42*Calculateur!DY42*VLOOKUP('Données projet'!$B$14,Paramètres!$A$1:$I$89,3,0)*0.475*44/12</f>
        <v>19.611219271925687</v>
      </c>
      <c r="EC42" s="21">
        <f>EXP(-LN(2)/2)*EC41+(1-EXP(-LN(2)/2))/(LN(2)/2)*DW42*DZ42*VLOOKUP('Données projet'!$B$14,Paramètres!$A$1:$I$89,3,0)*0.475*44/12</f>
        <v>2.5262168559159655</v>
      </c>
      <c r="ED42" s="22">
        <f t="shared" si="18"/>
        <v>42.361226690682145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36.4</v>
      </c>
      <c r="EJ42" s="12">
        <f>IF('Données projet'!$A$192&gt;35,EJ41+EI42-ER41,IF(A42&lt;'Données projet'!$A$192,$EG$205^A42,IF(A42='Données projet'!$A$192,'Données projet'!$B$192,EJ41+EI42-ER41)))</f>
        <v>590.60000000000014</v>
      </c>
      <c r="EK42" s="17">
        <f>EJ42*VLOOKUP('Données projet'!$B$15,Paramètres!$A$1:$I$89,3,0)*VLOOKUP('Données projet'!$B$15,Paramètres!$A$1:$I$89,5,0)</f>
        <v>261.04520000000008</v>
      </c>
      <c r="EL42" s="13">
        <f t="shared" si="45"/>
        <v>62.945120310618208</v>
      </c>
      <c r="EM42" s="20">
        <f t="shared" si="19"/>
        <v>564.28314120766015</v>
      </c>
      <c r="EN42" s="59">
        <f t="shared" si="20"/>
        <v>811.29253829776724</v>
      </c>
      <c r="EO42" s="59">
        <f ca="1">AVERAGE(OFFSET($EN$3,0,0,'Données projet'!$E$15+1,1))-AVERAGE(OFFSET($H$3,0,0,'Données projet'!$E$15+1,1))</f>
        <v>561.50881628354409</v>
      </c>
      <c r="EP42" s="59">
        <f t="shared" si="46"/>
        <v>468.67708352238458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31.234741779254652</v>
      </c>
      <c r="EW42" s="21">
        <f>EXP(-LN(2)/25)*EW41+(1-EXP(-LN(2)/25))/(LN(2)/25)*Calculateur!ER42*Calculateur!ET42*VLOOKUP('Données projet'!$B$15,Paramètres!$A$1:$I$89,3,0)*0.475*44/12</f>
        <v>33.718912252181141</v>
      </c>
      <c r="EX42" s="21">
        <f>EXP(-LN(2)/2)*EX41+(1-EXP(-LN(2)/2))/(LN(2)/2)*ER42*EU42*VLOOKUP('Données projet'!$B$15,Paramètres!$A$1:$I$89,3,0)*0.475*44/12</f>
        <v>3.6150074230617864</v>
      </c>
      <c r="EY42" s="22">
        <f t="shared" si="21"/>
        <v>68.568661454497573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174.99999999999994</v>
      </c>
      <c r="O43" s="13">
        <f>N43*VLOOKUP('Données projet'!$B$9,Paramètres!$A$1:$I$89,3,0)*VLOOKUP('Données projet'!$B$9,Paramètres!$A$1:$I$89,5,0)</f>
        <v>158.33999999999995</v>
      </c>
      <c r="P43" s="13">
        <f t="shared" si="33"/>
        <v>40.467870812652784</v>
      </c>
      <c r="Q43" s="20">
        <f t="shared" si="53"/>
        <v>346.2570416653702</v>
      </c>
      <c r="R43" s="59">
        <f t="shared" si="0"/>
        <v>594.07005548449104</v>
      </c>
      <c r="S43" s="59">
        <f ca="1">AVERAGE(OFFSET($R$3,0,0,'Données projet'!$E$9+1,1))-AVERAGE(OFFSET($H$3,0,0,'Données projet'!$E$9+1,1))</f>
        <v>484.04602944257209</v>
      </c>
      <c r="T43" s="59">
        <f t="shared" si="34"/>
        <v>297.32483725004124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137.00000000000006</v>
      </c>
      <c r="AJ43" s="13">
        <f>AI43*VLOOKUP('Données projet'!$B$10,Paramètres!$A$1:$I$89,3,0)*VLOOKUP('Données projet'!$B$10,Paramètres!$A$1:$I$89,5,0)</f>
        <v>156.01560000000006</v>
      </c>
      <c r="AK43" s="13">
        <f t="shared" si="35"/>
        <v>39.942508135025747</v>
      </c>
      <c r="AL43" s="20">
        <f t="shared" si="4"/>
        <v>341.2937050018366</v>
      </c>
      <c r="AM43" s="59">
        <f t="shared" si="5"/>
        <v>589.10671882095744</v>
      </c>
      <c r="AN43" s="59">
        <f ca="1">AVERAGE(OFFSET($AM$3,0,0,'Données projet'!$E$10+1,1))-AVERAGE(OFFSET($H$3,0,0,'Données projet'!$E$10+1,1))</f>
        <v>493.74122500490859</v>
      </c>
      <c r="AO43" s="59">
        <f t="shared" si="36"/>
        <v>299.43985151679692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2.2735908607910953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2.2735908607910953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161.61600000000004</v>
      </c>
      <c r="BF43" s="13">
        <f t="shared" si="37"/>
        <v>41.20679526204917</v>
      </c>
      <c r="BG43" s="20">
        <f t="shared" si="7"/>
        <v>353.24970174806907</v>
      </c>
      <c r="BH43" s="59">
        <f t="shared" si="8"/>
        <v>601.06271556718991</v>
      </c>
      <c r="BI43" s="59">
        <f ca="1">AVERAGE(OFFSET($BH$3,0,0,'Données projet'!$E$11+1,1))-AVERAGE(OFFSET($H$3,0,0,'Données projet'!$E$11+1,1))</f>
        <v>364.64276939439014</v>
      </c>
      <c r="BJ43" s="59">
        <f t="shared" si="38"/>
        <v>341.7578598026638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0.129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7.234262437672168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7.234262437672168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424</v>
      </c>
      <c r="BW43" s="12">
        <f>VLOOKUP(A43,'Données projet'!$A$113:$I$133,9,0)</f>
        <v>23.6</v>
      </c>
      <c r="BX43" s="12">
        <f t="array" ref="BX43">INDEX(BW:BW,MIN(IF(ISNUMBER(BW43:BW239),ROW(BW43:BW239),"")))</f>
        <v>23.6</v>
      </c>
      <c r="BY43" s="12">
        <f>IF('Données projet'!$A$114&gt;35,BY42+BX43-CG42,IF(A43&lt;'Données projet'!$A$114,$BV$205^A43,IF(A43='Données projet'!$A$114,'Données projet'!$B$114,BY42+BX43-CG42)))</f>
        <v>424.00000000000017</v>
      </c>
      <c r="BZ43" s="13">
        <f>BY43*VLOOKUP('Données projet'!$B$12,Paramètres!$A$1:$I$89,3,0)*VLOOKUP('Données projet'!$B$12,Paramètres!$A$1:$I$89,5,0)</f>
        <v>253.55200000000011</v>
      </c>
      <c r="CA43" s="13">
        <f t="shared" si="39"/>
        <v>61.345922542613536</v>
      </c>
      <c r="CB43" s="20">
        <f t="shared" si="10"/>
        <v>548.447215095052</v>
      </c>
      <c r="CC43" s="59">
        <f t="shared" si="11"/>
        <v>796.26022891417279</v>
      </c>
      <c r="CD43" s="59">
        <f ca="1">AVERAGE(OFFSET($CC$3,0,0,'Données projet'!$E$12+1,1))-AVERAGE(OFFSET($H$3,0,0,'Données projet'!$E$12+1,1))</f>
        <v>435.81281313761326</v>
      </c>
      <c r="CE43" s="59">
        <f t="shared" si="40"/>
        <v>460.93390058676493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63</v>
      </c>
      <c r="CH43" s="16">
        <f>IF(ISNA(VLOOKUP(A43,'Données projet'!$A$113:$I$133,5,0)),0%,VLOOKUP(A43,'Données projet'!$A$113:$I$133,5,0)*VLOOKUP('Données projet'!$B$12,Paramètres!$A$1:$I$89,7,0))</f>
        <v>0.22500000000000001</v>
      </c>
      <c r="CI43" s="16">
        <f>IF(ISNA(VLOOKUP(A43,'Données projet'!$A$113:$I$133,6,0)),0%,VLOOKUP(A43,'Données projet'!$A$113:$I$133,6,0)*VLOOKUP('Données projet'!$B$12,Paramètres!$A$1:$I$89,7,0))</f>
        <v>0.12600000000000003</v>
      </c>
      <c r="CJ43" s="16">
        <f>IF(ISNA(VLOOKUP(A43,'Données projet'!$A$113:$I$133,7,0)),0%,VLOOKUP(A43,'Données projet'!$A$113:$I$133,7,0))</f>
        <v>0.22</v>
      </c>
      <c r="CK43" s="21">
        <f>EXP(-LN(2)/35)*CK42+(1-EXP(-LN(2)/35))/(LN(2)/35)*CG43*CH43*VLOOKUP('Données projet'!$B$12,Paramètres!$A$1:$I$89,3,0)*0.475*44/12</f>
        <v>35.421235310763997</v>
      </c>
      <c r="CL43" s="21">
        <f>EXP(-LN(2)/25)*CL42+(1-EXP(-LN(2)/25))/(LN(2)/25)*Calculateur!CG43*Calculateur!CI43*VLOOKUP('Données projet'!$B$12,Paramètres!$A$1:$I$89,3,0)*0.475*44/12</f>
        <v>33.037600941858528</v>
      </c>
      <c r="CM43" s="21">
        <f>EXP(-LN(2)/2)*CM42+(1-EXP(-LN(2)/2))/(LN(2)/2)*CG43*CJ43*VLOOKUP('Données projet'!$B$12,Paramètres!$A$1:$I$89,3,0)*0.475*44/12</f>
        <v>11.7795769711801</v>
      </c>
      <c r="CN43" s="22">
        <f t="shared" si="12"/>
        <v>80.238413223802624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300</v>
      </c>
      <c r="CR43" s="12">
        <f>VLOOKUP(A43,'Données projet'!$A$139:$I$159,9,0)</f>
        <v>14</v>
      </c>
      <c r="CS43" s="12">
        <f t="array" ref="CS43">INDEX(CR:CR,MIN(IF(ISNUMBER(CR43:CR239),ROW(CR43:CR239),"")))</f>
        <v>14</v>
      </c>
      <c r="CT43" s="12">
        <f>IF('Données projet'!$A$140&gt;35,CT42+CS43-DB42,IF(A43&lt;'Données projet'!$A$140,$CQ$205^A43,IF(A43='Données projet'!$A$140,'Données projet'!$B$140,CT42+CS43-DB42)))</f>
        <v>300</v>
      </c>
      <c r="CU43" s="17">
        <f>CT43*VLOOKUP('Données projet'!$B$13,Paramètres!$A$1:$I$89,3,0)*VLOOKUP('Données projet'!$B$13,Paramètres!$A$1:$I$89,5,0)</f>
        <v>140.4</v>
      </c>
      <c r="CV43" s="13">
        <f t="shared" si="41"/>
        <v>36.388624656711201</v>
      </c>
      <c r="CW43" s="20">
        <f t="shared" si="13"/>
        <v>307.90685461043864</v>
      </c>
      <c r="CX43" s="59">
        <f t="shared" si="14"/>
        <v>555.71986842955948</v>
      </c>
      <c r="CY43" s="59">
        <f ca="1">AVERAGE(OFFSET($CX$3,0,0,'Données projet'!$E$13+1,1))-AVERAGE(OFFSET($H$3,0,0,'Données projet'!$E$13+1,1))</f>
        <v>379.16472924112111</v>
      </c>
      <c r="CZ43" s="59">
        <f t="shared" si="42"/>
        <v>273.18950868898253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50</v>
      </c>
      <c r="DC43" s="16">
        <f>IF(ISNA(VLOOKUP(A43,'Données projet'!$A$139:$I$159,5,0)),0%,VLOOKUP(A43,'Données projet'!$A$139:$I$159,5,0)*VLOOKUP('Données projet'!$B$13,Paramètres!$A$1:$I$89,7,0))</f>
        <v>0.16500000000000001</v>
      </c>
      <c r="DD43" s="16">
        <f>IF(ISNA(VLOOKUP(A43,'Données projet'!$A$139:$I$159,6,0)),0%,VLOOKUP(A43,'Données projet'!$A$139:$I$159,6,0)*VLOOKUP('Données projet'!$B$13,Paramètres!$A$1:$I$89,7,0))</f>
        <v>0.21450000000000002</v>
      </c>
      <c r="DE43" s="16">
        <f>IF(ISNA(VLOOKUP(A43,'Données projet'!$A$139:$I$159,7,0)),0%,VLOOKUP(A43,'Données projet'!$A$139:$I$159,7,0))</f>
        <v>0.31</v>
      </c>
      <c r="DF43" s="21">
        <f>EXP(-LN(2)/35)*DF42+(1-EXP(-LN(2)/35))/(LN(2)/35)*DB43*DC43*VLOOKUP('Données projet'!$B$13,Paramètres!$A$1:$I$89,3,0)*0.475*44/12</f>
        <v>7.9229635261389344</v>
      </c>
      <c r="DG43" s="21">
        <f>EXP(-LN(2)/25)*DG42+(1-EXP(-LN(2)/25))/(LN(2)/25)*Calculateur!DB43*Calculateur!DD43*VLOOKUP('Données projet'!$B$13,Paramètres!$A$1:$I$89,3,0)*0.475*44/12</f>
        <v>18.225122305399918</v>
      </c>
      <c r="DH43" s="21">
        <f>EXP(-LN(2)/2)*DH42+(1-EXP(-LN(2)/2))/(LN(2)/2)*DB43*DE43*VLOOKUP('Données projet'!$B$13,Paramètres!$A$1:$I$89,3,0)*0.475*44/12</f>
        <v>8.5121011834483884</v>
      </c>
      <c r="DI43" s="22">
        <f t="shared" si="15"/>
        <v>34.660187014987237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487</v>
      </c>
      <c r="DM43" s="12">
        <f>VLOOKUP(A43,'Données projet'!$A$165:$I$185,9,0)</f>
        <v>27.8</v>
      </c>
      <c r="DN43" s="12">
        <f t="array" ref="DN43">INDEX(DM:DM,MIN(IF(ISNUMBER(DM43:DM239),ROW(DM43:DM239),"")))</f>
        <v>27.8</v>
      </c>
      <c r="DO43" s="12">
        <f>IF('Données projet'!$A$166&gt;35,DO42+DN43-DW42,IF(A43&lt;'Données projet'!$A$166,$DL$205^A43,IF(A43='Données projet'!$A$166,'Données projet'!$B$166,DO42+DN43-DW42)))</f>
        <v>487.00000000000023</v>
      </c>
      <c r="DP43" s="17">
        <f>DO43*VLOOKUP('Données projet'!$B$14,Paramètres!$A$1:$I$89,3,0)*VLOOKUP('Données projet'!$B$14,Paramètres!$A$1:$I$89,5,0)</f>
        <v>196.26100000000008</v>
      </c>
      <c r="DQ43" s="13">
        <f t="shared" si="43"/>
        <v>48.921548340754839</v>
      </c>
      <c r="DR43" s="20">
        <f t="shared" si="16"/>
        <v>427.02627169348148</v>
      </c>
      <c r="DS43" s="59">
        <f t="shared" si="17"/>
        <v>674.83928551260226</v>
      </c>
      <c r="DT43" s="59">
        <f ca="1">AVERAGE(OFFSET($DS$3,0,0,'Données projet'!$E$14+1,1))-AVERAGE(OFFSET($H$3,0,0,'Données projet'!$E$14+1,1))</f>
        <v>419.35339339286082</v>
      </c>
      <c r="DU43" s="59">
        <f t="shared" si="44"/>
        <v>359.03308141414709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0.27500000000000002</v>
      </c>
      <c r="DY43" s="16">
        <f>IF(ISNA(VLOOKUP(A43,'Données projet'!$A$165:$I$185,6,0)),0%,VLOOKUP(A43,'Données projet'!$A$165:$I$185,6,0)*VLOOKUP('Données projet'!$B$14,Paramètres!$A$1:$I$89,7,0))</f>
        <v>0.15400000000000003</v>
      </c>
      <c r="DZ43" s="16">
        <f>IF(ISNA(VLOOKUP(A43,'Données projet'!$A$165:$I$185,7,0)),0%,VLOOKUP(A43,'Données projet'!$A$165:$I$185,7,0))</f>
        <v>0.22</v>
      </c>
      <c r="EA43" s="21">
        <f>EXP(-LN(2)/35)*EA42+(1-EXP(-LN(2)/35))/(LN(2)/35)*DW43*DX43*VLOOKUP('Données projet'!$B$14,Paramètres!$A$1:$I$89,3,0)*0.475*44/12</f>
        <v>30.11836976938352</v>
      </c>
      <c r="EB43" s="21">
        <f>EXP(-LN(2)/25)*EB42+(1-EXP(-LN(2)/25))/(LN(2)/25)*Calculateur!DW43*Calculateur!DY43*VLOOKUP('Données projet'!$B$14,Paramètres!$A$1:$I$89,3,0)*0.475*44/12</f>
        <v>24.815305163934102</v>
      </c>
      <c r="EC43" s="21">
        <f>EXP(-LN(2)/2)*EC42+(1-EXP(-LN(2)/2))/(LN(2)/2)*DW43*DZ43*VLOOKUP('Données projet'!$B$14,Paramètres!$A$1:$I$89,3,0)*0.475*44/12</f>
        <v>8.8131651544746905</v>
      </c>
      <c r="ED43" s="22">
        <f t="shared" si="18"/>
        <v>63.746840087792307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627</v>
      </c>
      <c r="EH43" s="12">
        <f>VLOOKUP(A43,'Données projet'!$A$191:$I$211,9,0)</f>
        <v>36.4</v>
      </c>
      <c r="EI43" s="12">
        <f t="array" ref="EI43">INDEX(EH:EH,MIN(IF(ISNUMBER(EH43:EH239),ROW(EH43:EH239),"")))</f>
        <v>36.4</v>
      </c>
      <c r="EJ43" s="12">
        <f>IF('Données projet'!$A$192&gt;35,EJ42+EI43-ER42,IF(A43&lt;'Données projet'!$A$192,$EG$205^A43,IF(A43='Données projet'!$A$192,'Données projet'!$B$192,EJ42+EI43-ER42)))</f>
        <v>627.00000000000011</v>
      </c>
      <c r="EK43" s="17">
        <f>EJ43*VLOOKUP('Données projet'!$B$15,Paramètres!$A$1:$I$89,3,0)*VLOOKUP('Données projet'!$B$15,Paramètres!$A$1:$I$89,5,0)</f>
        <v>277.13400000000007</v>
      </c>
      <c r="EL43" s="13">
        <f t="shared" si="45"/>
        <v>66.360978503745613</v>
      </c>
      <c r="EM43" s="20">
        <f t="shared" si="19"/>
        <v>598.25375422735704</v>
      </c>
      <c r="EN43" s="59">
        <f t="shared" si="20"/>
        <v>846.06676804647782</v>
      </c>
      <c r="EO43" s="59">
        <f ca="1">AVERAGE(OFFSET($EN$3,0,0,'Données projet'!$E$15+1,1))-AVERAGE(OFFSET($H$3,0,0,'Données projet'!$E$15+1,1))</f>
        <v>561.50881628354409</v>
      </c>
      <c r="EP43" s="59">
        <f t="shared" si="46"/>
        <v>468.67708352238458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91</v>
      </c>
      <c r="ES43" s="16">
        <f>IF(ISNA(VLOOKUP(A43,'Données projet'!$A$191:$I$211,5,0)),0%,VLOOKUP(A43,'Données projet'!$A$191:$I$211,5,0)*VLOOKUP('Données projet'!$B$15,Paramètres!$A$1:$I$89,7,0))</f>
        <v>0.27500000000000002</v>
      </c>
      <c r="ET43" s="16">
        <f>IF(ISNA(VLOOKUP(A43,'Données projet'!$A$191:$I$211,6,0)),0%,VLOOKUP(A43,'Données projet'!$A$191:$I$211,6,0)*VLOOKUP('Données projet'!$B$15,Paramètres!$A$1:$I$89,7,0))</f>
        <v>0.15400000000000003</v>
      </c>
      <c r="EU43" s="16">
        <f>IF(ISNA(VLOOKUP(A43,'Données projet'!$A$191:$I$211,7,0)),0%,VLOOKUP(A43,'Données projet'!$A$191:$I$211,7,0))</f>
        <v>0.22</v>
      </c>
      <c r="EV43" s="21">
        <f>EXP(-LN(2)/35)*EV42+(1-EXP(-LN(2)/35))/(LN(2)/35)*ER43*ES43*VLOOKUP('Données projet'!$B$15,Paramètres!$A$1:$I$89,3,0)*0.475*44/12</f>
        <v>45.295443314114323</v>
      </c>
      <c r="EW43" s="21">
        <f>EXP(-LN(2)/25)*EW42+(1-EXP(-LN(2)/25))/(LN(2)/25)*Calculateur!ER43*Calculateur!ET43*VLOOKUP('Données projet'!$B$15,Paramètres!$A$1:$I$89,3,0)*0.475*44/12</f>
        <v>40.981503035458658</v>
      </c>
      <c r="EX43" s="21">
        <f>EXP(-LN(2)/2)*EX42+(1-EXP(-LN(2)/2))/(LN(2)/2)*ER43*EU43*VLOOKUP('Données projet'!$B$15,Paramètres!$A$1:$I$89,3,0)*0.475*44/12</f>
        <v>12.575138706530788</v>
      </c>
      <c r="EY43" s="22">
        <f t="shared" si="21"/>
        <v>98.852085056103775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158.39999999999995</v>
      </c>
      <c r="O44" s="13">
        <f>N44*VLOOKUP('Données projet'!$B$9,Paramètres!$A$1:$I$89,3,0)*VLOOKUP('Données projet'!$B$9,Paramètres!$A$1:$I$89,5,0)</f>
        <v>143.32031999999992</v>
      </c>
      <c r="P44" s="13">
        <f t="shared" si="33"/>
        <v>37.056603420232349</v>
      </c>
      <c r="Q44" s="20">
        <f t="shared" si="53"/>
        <v>314.15647495690456</v>
      </c>
      <c r="R44" s="59">
        <f t="shared" si="0"/>
        <v>562.7591645514085</v>
      </c>
      <c r="S44" s="59">
        <f ca="1">AVERAGE(OFFSET($R$3,0,0,'Données projet'!$E$9+1,1))-AVERAGE(OFFSET($H$3,0,0,'Données projet'!$E$9+1,1))</f>
        <v>484.04602944257209</v>
      </c>
      <c r="T44" s="59">
        <f t="shared" si="34"/>
        <v>297.32483725004124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124.40000000000006</v>
      </c>
      <c r="AJ44" s="13">
        <f>AI44*VLOOKUP('Données projet'!$B$10,Paramètres!$A$1:$I$89,3,0)*VLOOKUP('Données projet'!$B$10,Paramètres!$A$1:$I$89,5,0)</f>
        <v>141.66672000000005</v>
      </c>
      <c r="AK44" s="13">
        <f t="shared" si="35"/>
        <v>36.678564250226081</v>
      </c>
      <c r="AL44" s="20">
        <f t="shared" si="4"/>
        <v>310.61803673581051</v>
      </c>
      <c r="AM44" s="59">
        <f t="shared" si="5"/>
        <v>559.22072633031451</v>
      </c>
      <c r="AN44" s="59">
        <f ca="1">AVERAGE(OFFSET($AM$3,0,0,'Données projet'!$E$10+1,1))-AVERAGE(OFFSET($H$3,0,0,'Données projet'!$E$10+1,1))</f>
        <v>493.74122500490859</v>
      </c>
      <c r="AO44" s="59">
        <f t="shared" si="36"/>
        <v>299.43985151679692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2.2290071307644763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2.2290071307644763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145.01760000000004</v>
      </c>
      <c r="BF44" s="13">
        <f t="shared" si="37"/>
        <v>37.444100932065233</v>
      </c>
      <c r="BG44" s="20">
        <f t="shared" si="7"/>
        <v>317.78746245668032</v>
      </c>
      <c r="BH44" s="59">
        <f t="shared" si="8"/>
        <v>566.39015205118426</v>
      </c>
      <c r="BI44" s="59">
        <f ca="1">AVERAGE(OFFSET($BH$3,0,0,'Données projet'!$E$11+1,1))-AVERAGE(OFFSET($H$3,0,0,'Données projet'!$E$11+1,1))</f>
        <v>364.64276939439014</v>
      </c>
      <c r="BJ44" s="59">
        <f t="shared" si="38"/>
        <v>341.7578598026638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7.0924029637338091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7.0924029637338091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21.6</v>
      </c>
      <c r="BY44" s="12">
        <f>IF('Données projet'!$A$114&gt;35,BY43+BX44-CG43,IF(A44&lt;'Données projet'!$A$114,$BV$205^A44,IF(A44='Données projet'!$A$114,'Données projet'!$B$114,BY43+BX44-CG43)))</f>
        <v>382.60000000000019</v>
      </c>
      <c r="BZ44" s="13">
        <f>BY44*VLOOKUP('Données projet'!$B$12,Paramètres!$A$1:$I$89,3,0)*VLOOKUP('Données projet'!$B$12,Paramètres!$A$1:$I$89,5,0)</f>
        <v>228.79480000000012</v>
      </c>
      <c r="CA44" s="13">
        <f t="shared" si="39"/>
        <v>56.022009485811381</v>
      </c>
      <c r="CB44" s="20">
        <f t="shared" si="10"/>
        <v>496.05594318778844</v>
      </c>
      <c r="CC44" s="59">
        <f t="shared" si="11"/>
        <v>744.65863278229244</v>
      </c>
      <c r="CD44" s="59">
        <f ca="1">AVERAGE(OFFSET($CC$3,0,0,'Données projet'!$E$12+1,1))-AVERAGE(OFFSET($H$3,0,0,'Données projet'!$E$12+1,1))</f>
        <v>435.81281313761326</v>
      </c>
      <c r="CE44" s="59">
        <f t="shared" si="40"/>
        <v>460.93390058676493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34.726646491140158</v>
      </c>
      <c r="CL44" s="21">
        <f>EXP(-LN(2)/25)*CL43+(1-EXP(-LN(2)/25))/(LN(2)/25)*Calculateur!CG44*Calculateur!CI44*VLOOKUP('Données projet'!$B$12,Paramètres!$A$1:$I$89,3,0)*0.475*44/12</f>
        <v>32.134186006731483</v>
      </c>
      <c r="CM44" s="21">
        <f>EXP(-LN(2)/2)*CM43+(1-EXP(-LN(2)/2))/(LN(2)/2)*CG44*CJ44*VLOOKUP('Données projet'!$B$12,Paramètres!$A$1:$I$89,3,0)*0.475*44/12</f>
        <v>8.3294187558303427</v>
      </c>
      <c r="CN44" s="22">
        <f t="shared" si="12"/>
        <v>75.190251253701987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14</v>
      </c>
      <c r="CT44" s="12">
        <f>IF('Données projet'!$A$140&gt;35,CT43+CS44-DB43,IF(A44&lt;'Données projet'!$A$140,$CQ$205^A44,IF(A44='Données projet'!$A$140,'Données projet'!$B$140,CT43+CS44-DB43)))</f>
        <v>264</v>
      </c>
      <c r="CU44" s="17">
        <f>CT44*VLOOKUP('Données projet'!$B$13,Paramètres!$A$1:$I$89,3,0)*VLOOKUP('Données projet'!$B$13,Paramètres!$A$1:$I$89,5,0)</f>
        <v>123.55199999999999</v>
      </c>
      <c r="CV44" s="13">
        <f t="shared" si="41"/>
        <v>32.502033262579566</v>
      </c>
      <c r="CW44" s="20">
        <f t="shared" si="13"/>
        <v>271.79410793232609</v>
      </c>
      <c r="CX44" s="59">
        <f t="shared" si="14"/>
        <v>520.39679752683003</v>
      </c>
      <c r="CY44" s="59">
        <f ca="1">AVERAGE(OFFSET($CX$3,0,0,'Données projet'!$E$13+1,1))-AVERAGE(OFFSET($H$3,0,0,'Données projet'!$E$13+1,1))</f>
        <v>379.16472924112111</v>
      </c>
      <c r="CZ44" s="59">
        <f t="shared" si="42"/>
        <v>273.18950868898253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7.767599043921928</v>
      </c>
      <c r="DG44" s="21">
        <f>EXP(-LN(2)/25)*DG43+(1-EXP(-LN(2)/25))/(LN(2)/25)*Calculateur!DB44*Calculateur!DD44*VLOOKUP('Données projet'!$B$13,Paramètres!$A$1:$I$89,3,0)*0.475*44/12</f>
        <v>17.726755377541227</v>
      </c>
      <c r="DH44" s="21">
        <f>EXP(-LN(2)/2)*DH43+(1-EXP(-LN(2)/2))/(LN(2)/2)*DB44*DE44*VLOOKUP('Données projet'!$B$13,Paramètres!$A$1:$I$89,3,0)*0.475*44/12</f>
        <v>6.018964468962392</v>
      </c>
      <c r="DI44" s="22">
        <f t="shared" si="15"/>
        <v>31.513318890425548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26.2</v>
      </c>
      <c r="DO44" s="12">
        <f>IF('Données projet'!$A$166&gt;35,DO43+DN44-DW43,IF(A44&lt;'Données projet'!$A$166,$DL$205^A44,IF(A44='Données projet'!$A$166,'Données projet'!$B$166,DO43+DN44-DW43)))</f>
        <v>443.20000000000027</v>
      </c>
      <c r="DP44" s="17">
        <f>DO44*VLOOKUP('Données projet'!$B$14,Paramètres!$A$1:$I$89,3,0)*VLOOKUP('Données projet'!$B$14,Paramètres!$A$1:$I$89,5,0)</f>
        <v>178.60960000000011</v>
      </c>
      <c r="DQ44" s="13">
        <f t="shared" si="43"/>
        <v>45.012708314782529</v>
      </c>
      <c r="DR44" s="20">
        <f t="shared" si="16"/>
        <v>389.47552031491313</v>
      </c>
      <c r="DS44" s="59">
        <f t="shared" si="17"/>
        <v>638.07820990941707</v>
      </c>
      <c r="DT44" s="59">
        <f ca="1">AVERAGE(OFFSET($DS$3,0,0,'Données projet'!$E$14+1,1))-AVERAGE(OFFSET($H$3,0,0,'Données projet'!$E$14+1,1))</f>
        <v>419.35339339286082</v>
      </c>
      <c r="DU44" s="59">
        <f t="shared" si="44"/>
        <v>359.03308141414709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29.527766908597542</v>
      </c>
      <c r="EB44" s="21">
        <f>EXP(-LN(2)/25)*EB43+(1-EXP(-LN(2)/25))/(LN(2)/25)*Calculateur!DW44*Calculateur!DY44*VLOOKUP('Données projet'!$B$14,Paramètres!$A$1:$I$89,3,0)*0.475*44/12</f>
        <v>24.136729339246141</v>
      </c>
      <c r="EC44" s="21">
        <f>EXP(-LN(2)/2)*EC43+(1-EXP(-LN(2)/2))/(LN(2)/2)*DW44*DZ44*VLOOKUP('Données projet'!$B$14,Paramètres!$A$1:$I$89,3,0)*0.475*44/12</f>
        <v>6.2318488444460405</v>
      </c>
      <c r="ED44" s="22">
        <f t="shared" si="18"/>
        <v>59.896345092289728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33</v>
      </c>
      <c r="EJ44" s="12">
        <f>IF('Données projet'!$A$192&gt;35,EJ43+EI44-ER43,IF(A44&lt;'Données projet'!$A$192,$EG$205^A44,IF(A44='Données projet'!$A$192,'Données projet'!$B$192,EJ43+EI44-ER43)))</f>
        <v>569.00000000000011</v>
      </c>
      <c r="EK44" s="17">
        <f>EJ44*VLOOKUP('Données projet'!$B$15,Paramètres!$A$1:$I$89,3,0)*VLOOKUP('Données projet'!$B$15,Paramètres!$A$1:$I$89,5,0)</f>
        <v>251.4980000000001</v>
      </c>
      <c r="EL44" s="13">
        <f t="shared" si="45"/>
        <v>60.906603390137981</v>
      </c>
      <c r="EM44" s="20">
        <f t="shared" si="19"/>
        <v>544.1046842378239</v>
      </c>
      <c r="EN44" s="59">
        <f t="shared" si="20"/>
        <v>792.7073738323279</v>
      </c>
      <c r="EO44" s="59">
        <f ca="1">AVERAGE(OFFSET($EN$3,0,0,'Données projet'!$E$15+1,1))-AVERAGE(OFFSET($H$3,0,0,'Données projet'!$E$15+1,1))</f>
        <v>561.50881628354409</v>
      </c>
      <c r="EP44" s="59">
        <f t="shared" si="46"/>
        <v>468.67708352238458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44.407227298216974</v>
      </c>
      <c r="EW44" s="21">
        <f>EXP(-LN(2)/25)*EW43+(1-EXP(-LN(2)/25))/(LN(2)/25)*Calculateur!ER44*Calculateur!ET44*VLOOKUP('Données projet'!$B$15,Paramètres!$A$1:$I$89,3,0)*0.475*44/12</f>
        <v>39.860861679830464</v>
      </c>
      <c r="EX44" s="21">
        <f>EXP(-LN(2)/2)*EX43+(1-EXP(-LN(2)/2))/(LN(2)/2)*ER44*EU44*VLOOKUP('Données projet'!$B$15,Paramètres!$A$1:$I$89,3,0)*0.475*44/12</f>
        <v>8.8919658537493511</v>
      </c>
      <c r="EY44" s="22">
        <f t="shared" si="21"/>
        <v>93.160054831796799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169.79999999999995</v>
      </c>
      <c r="O45" s="13">
        <f>N45*VLOOKUP('Données projet'!$B$9,Paramètres!$A$1:$I$89,3,0)*VLOOKUP('Données projet'!$B$9,Paramètres!$A$1:$I$89,5,0)</f>
        <v>153.63503999999995</v>
      </c>
      <c r="P45" s="13">
        <f t="shared" si="33"/>
        <v>39.403506785222667</v>
      </c>
      <c r="Q45" s="20">
        <f t="shared" si="53"/>
        <v>336.20880231759605</v>
      </c>
      <c r="R45" s="59">
        <f t="shared" si="0"/>
        <v>585.58746857823076</v>
      </c>
      <c r="S45" s="59">
        <f ca="1">AVERAGE(OFFSET($R$3,0,0,'Données projet'!$E$9+1,1))-AVERAGE(OFFSET($H$3,0,0,'Données projet'!$E$9+1,1))</f>
        <v>484.04602944257209</v>
      </c>
      <c r="T45" s="59">
        <f t="shared" si="34"/>
        <v>297.32483725004124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132.80000000000007</v>
      </c>
      <c r="AJ45" s="13">
        <f>AI45*VLOOKUP('Données projet'!$B$10,Paramètres!$A$1:$I$89,3,0)*VLOOKUP('Données projet'!$B$10,Paramètres!$A$1:$I$89,5,0)</f>
        <v>151.23264000000009</v>
      </c>
      <c r="AK45" s="13">
        <f t="shared" si="35"/>
        <v>38.85857391964295</v>
      </c>
      <c r="AL45" s="20">
        <f t="shared" si="4"/>
        <v>331.07553091004496</v>
      </c>
      <c r="AM45" s="59">
        <f t="shared" si="5"/>
        <v>580.45419717067966</v>
      </c>
      <c r="AN45" s="59">
        <f ca="1">AVERAGE(OFFSET($AM$3,0,0,'Données projet'!$E$10+1,1))-AVERAGE(OFFSET($H$3,0,0,'Données projet'!$E$10+1,1))</f>
        <v>493.74122500490859</v>
      </c>
      <c r="AO45" s="59">
        <f t="shared" si="36"/>
        <v>299.43985151679692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2.1852976604902894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2.1852976604902894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152.00640000000004</v>
      </c>
      <c r="BF45" s="13">
        <f t="shared" si="37"/>
        <v>39.034194016561486</v>
      </c>
      <c r="BG45" s="20">
        <f t="shared" si="7"/>
        <v>332.72903457884462</v>
      </c>
      <c r="BH45" s="59">
        <f t="shared" si="8"/>
        <v>582.10770083947932</v>
      </c>
      <c r="BI45" s="59">
        <f ca="1">AVERAGE(OFFSET($BH$3,0,0,'Données projet'!$E$11+1,1))-AVERAGE(OFFSET($H$3,0,0,'Données projet'!$E$11+1,1))</f>
        <v>364.64276939439014</v>
      </c>
      <c r="BJ45" s="59">
        <f t="shared" si="38"/>
        <v>341.7578598026638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6.9533252675536463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6.9533252675536463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21.6</v>
      </c>
      <c r="BY45" s="12">
        <f>IF('Données projet'!$A$114&gt;35,BY44+BX45-CG44,IF(A45&lt;'Données projet'!$A$114,$BV$205^A45,IF(A45='Données projet'!$A$114,'Données projet'!$B$114,BY44+BX45-CG44)))</f>
        <v>404.20000000000022</v>
      </c>
      <c r="BZ45" s="13">
        <f>BY45*VLOOKUP('Données projet'!$B$12,Paramètres!$A$1:$I$89,3,0)*VLOOKUP('Données projet'!$B$12,Paramètres!$A$1:$I$89,5,0)</f>
        <v>241.71160000000015</v>
      </c>
      <c r="CA45" s="13">
        <f t="shared" si="39"/>
        <v>58.807637113502857</v>
      </c>
      <c r="CB45" s="20">
        <f t="shared" si="10"/>
        <v>523.40433797268429</v>
      </c>
      <c r="CC45" s="59">
        <f t="shared" si="11"/>
        <v>772.78300423331905</v>
      </c>
      <c r="CD45" s="59">
        <f ca="1">AVERAGE(OFFSET($CC$3,0,0,'Données projet'!$E$12+1,1))-AVERAGE(OFFSET($H$3,0,0,'Données projet'!$E$12+1,1))</f>
        <v>435.81281313761326</v>
      </c>
      <c r="CE45" s="59">
        <f t="shared" si="40"/>
        <v>460.93390058676493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34.045678134611791</v>
      </c>
      <c r="CL45" s="21">
        <f>EXP(-LN(2)/25)*CL44+(1-EXP(-LN(2)/25))/(LN(2)/25)*Calculateur!CG45*Calculateur!CI45*VLOOKUP('Données projet'!$B$12,Paramètres!$A$1:$I$89,3,0)*0.475*44/12</f>
        <v>31.255475000514011</v>
      </c>
      <c r="CM45" s="21">
        <f>EXP(-LN(2)/2)*CM44+(1-EXP(-LN(2)/2))/(LN(2)/2)*CG45*CJ45*VLOOKUP('Données projet'!$B$12,Paramètres!$A$1:$I$89,3,0)*0.475*44/12</f>
        <v>5.8897884855900511</v>
      </c>
      <c r="CN45" s="22">
        <f t="shared" si="12"/>
        <v>71.190941620715847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14</v>
      </c>
      <c r="CT45" s="12">
        <f>IF('Données projet'!$A$140&gt;35,CT44+CS45-DB44,IF(A45&lt;'Données projet'!$A$140,$CQ$205^A45,IF(A45='Données projet'!$A$140,'Données projet'!$B$140,CT44+CS45-DB44)))</f>
        <v>278</v>
      </c>
      <c r="CU45" s="17">
        <f>CT45*VLOOKUP('Données projet'!$B$13,Paramètres!$A$1:$I$89,3,0)*VLOOKUP('Données projet'!$B$13,Paramètres!$A$1:$I$89,5,0)</f>
        <v>130.10400000000001</v>
      </c>
      <c r="CV45" s="13">
        <f t="shared" si="41"/>
        <v>34.020389560268086</v>
      </c>
      <c r="CW45" s="20">
        <f t="shared" si="13"/>
        <v>285.8499784841336</v>
      </c>
      <c r="CX45" s="59">
        <f t="shared" si="14"/>
        <v>535.2286447447683</v>
      </c>
      <c r="CY45" s="59">
        <f ca="1">AVERAGE(OFFSET($CX$3,0,0,'Données projet'!$E$13+1,1))-AVERAGE(OFFSET($H$3,0,0,'Données projet'!$E$13+1,1))</f>
        <v>379.16472924112111</v>
      </c>
      <c r="CZ45" s="59">
        <f t="shared" si="42"/>
        <v>273.18950868898253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7.6152811644382199</v>
      </c>
      <c r="DG45" s="21">
        <f>EXP(-LN(2)/25)*DG44+(1-EXP(-LN(2)/25))/(LN(2)/25)*Calculateur!DB45*Calculateur!DD45*VLOOKUP('Données projet'!$B$13,Paramètres!$A$1:$I$89,3,0)*0.475*44/12</f>
        <v>17.242016319532812</v>
      </c>
      <c r="DH45" s="21">
        <f>EXP(-LN(2)/2)*DH44+(1-EXP(-LN(2)/2))/(LN(2)/2)*DB45*DE45*VLOOKUP('Données projet'!$B$13,Paramètres!$A$1:$I$89,3,0)*0.475*44/12</f>
        <v>4.2560505917241942</v>
      </c>
      <c r="DI45" s="22">
        <f t="shared" si="15"/>
        <v>29.113348075695225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26.2</v>
      </c>
      <c r="DO45" s="12">
        <f>IF('Données projet'!$A$166&gt;35,DO44+DN45-DW44,IF(A45&lt;'Données projet'!$A$166,$DL$205^A45,IF(A45='Données projet'!$A$166,'Données projet'!$B$166,DO44+DN45-DW44)))</f>
        <v>469.40000000000026</v>
      </c>
      <c r="DP45" s="17">
        <f>DO45*VLOOKUP('Données projet'!$B$14,Paramètres!$A$1:$I$89,3,0)*VLOOKUP('Données projet'!$B$14,Paramètres!$A$1:$I$89,5,0)</f>
        <v>189.1682000000001</v>
      </c>
      <c r="DQ45" s="13">
        <f t="shared" si="43"/>
        <v>47.356006748480397</v>
      </c>
      <c r="DR45" s="20">
        <f t="shared" si="16"/>
        <v>411.94632675360344</v>
      </c>
      <c r="DS45" s="59">
        <f t="shared" si="17"/>
        <v>661.3249930142382</v>
      </c>
      <c r="DT45" s="59">
        <f ca="1">AVERAGE(OFFSET($DS$3,0,0,'Données projet'!$E$14+1,1))-AVERAGE(OFFSET($H$3,0,0,'Données projet'!$E$14+1,1))</f>
        <v>419.35339339286082</v>
      </c>
      <c r="DU45" s="59">
        <f t="shared" si="44"/>
        <v>359.03308141414709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28.948745409679404</v>
      </c>
      <c r="EB45" s="21">
        <f>EXP(-LN(2)/25)*EB44+(1-EXP(-LN(2)/25))/(LN(2)/25)*Calculateur!DW45*Calculateur!DY45*VLOOKUP('Données projet'!$B$14,Paramètres!$A$1:$I$89,3,0)*0.475*44/12</f>
        <v>23.476709206169026</v>
      </c>
      <c r="EC45" s="21">
        <f>EXP(-LN(2)/2)*EC44+(1-EXP(-LN(2)/2))/(LN(2)/2)*DW45*DZ45*VLOOKUP('Données projet'!$B$14,Paramètres!$A$1:$I$89,3,0)*0.475*44/12</f>
        <v>4.4065825772373453</v>
      </c>
      <c r="ED45" s="22">
        <f t="shared" si="18"/>
        <v>56.832037193085775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33</v>
      </c>
      <c r="EJ45" s="12">
        <f>IF('Données projet'!$A$192&gt;35,EJ44+EI45-ER44,IF(A45&lt;'Données projet'!$A$192,$EG$205^A45,IF(A45='Données projet'!$A$192,'Données projet'!$B$192,EJ44+EI45-ER44)))</f>
        <v>602.00000000000011</v>
      </c>
      <c r="EK45" s="17">
        <f>EJ45*VLOOKUP('Données projet'!$B$15,Paramètres!$A$1:$I$89,3,0)*VLOOKUP('Données projet'!$B$15,Paramètres!$A$1:$I$89,5,0)</f>
        <v>266.08400000000012</v>
      </c>
      <c r="EL45" s="13">
        <f t="shared" si="45"/>
        <v>64.017489916454593</v>
      </c>
      <c r="EM45" s="20">
        <f t="shared" si="19"/>
        <v>574.92676160449207</v>
      </c>
      <c r="EN45" s="59">
        <f t="shared" si="20"/>
        <v>824.30542786512683</v>
      </c>
      <c r="EO45" s="59">
        <f ca="1">AVERAGE(OFFSET($EN$3,0,0,'Données projet'!$E$15+1,1))-AVERAGE(OFFSET($H$3,0,0,'Données projet'!$E$15+1,1))</f>
        <v>561.50881628354409</v>
      </c>
      <c r="EP45" s="59">
        <f t="shared" si="46"/>
        <v>468.67708352238458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43.536428656633099</v>
      </c>
      <c r="EW45" s="21">
        <f>EXP(-LN(2)/25)*EW44+(1-EXP(-LN(2)/25))/(LN(2)/25)*Calculateur!ER45*Calculateur!ET45*VLOOKUP('Données projet'!$B$15,Paramètres!$A$1:$I$89,3,0)*0.475*44/12</f>
        <v>38.770864321003884</v>
      </c>
      <c r="EX45" s="21">
        <f>EXP(-LN(2)/2)*EX44+(1-EXP(-LN(2)/2))/(LN(2)/2)*ER45*EU45*VLOOKUP('Données projet'!$B$15,Paramètres!$A$1:$I$89,3,0)*0.475*44/12</f>
        <v>6.2875693532653951</v>
      </c>
      <c r="EY45" s="22">
        <f t="shared" si="21"/>
        <v>88.594862330902387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181.19999999999996</v>
      </c>
      <c r="O46" s="13">
        <f>N46*VLOOKUP('Données projet'!$B$9,Paramètres!$A$1:$I$89,3,0)*VLOOKUP('Données projet'!$B$9,Paramètres!$A$1:$I$89,5,0)</f>
        <v>163.94975999999997</v>
      </c>
      <c r="P46" s="13">
        <f t="shared" si="33"/>
        <v>41.732126457893308</v>
      </c>
      <c r="Q46" s="20">
        <f t="shared" si="53"/>
        <v>358.22928558083078</v>
      </c>
      <c r="R46" s="59">
        <f t="shared" si="0"/>
        <v>608.37046704726276</v>
      </c>
      <c r="S46" s="59">
        <f ca="1">AVERAGE(OFFSET($R$3,0,0,'Données projet'!$E$9+1,1))-AVERAGE(OFFSET($H$3,0,0,'Données projet'!$E$9+1,1))</f>
        <v>484.04602944257209</v>
      </c>
      <c r="T46" s="59">
        <f t="shared" si="34"/>
        <v>297.32483725004124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141.20000000000007</v>
      </c>
      <c r="AJ46" s="13">
        <f>AI46*VLOOKUP('Données projet'!$B$10,Paramètres!$A$1:$I$89,3,0)*VLOOKUP('Données projet'!$B$10,Paramètres!$A$1:$I$89,5,0)</f>
        <v>160.79856000000009</v>
      </c>
      <c r="AK46" s="13">
        <f t="shared" si="35"/>
        <v>41.022580620833168</v>
      </c>
      <c r="AL46" s="20">
        <f t="shared" si="4"/>
        <v>351.50515324795123</v>
      </c>
      <c r="AM46" s="59">
        <f t="shared" si="5"/>
        <v>601.64633471438333</v>
      </c>
      <c r="AN46" s="59">
        <f ca="1">AVERAGE(OFFSET($AM$3,0,0,'Données projet'!$E$10+1,1))-AVERAGE(OFFSET($H$3,0,0,'Données projet'!$E$10+1,1))</f>
        <v>493.74122500490859</v>
      </c>
      <c r="AO46" s="59">
        <f t="shared" si="36"/>
        <v>299.43985151679692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2.1424453062680349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2.1424453062680349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158.99520000000004</v>
      </c>
      <c r="BF46" s="13">
        <f t="shared" si="37"/>
        <v>40.615796933386044</v>
      </c>
      <c r="BG46" s="20">
        <f t="shared" si="7"/>
        <v>347.65581965898076</v>
      </c>
      <c r="BH46" s="59">
        <f t="shared" si="8"/>
        <v>597.79700112541286</v>
      </c>
      <c r="BI46" s="59">
        <f ca="1">AVERAGE(OFFSET($BH$3,0,0,'Données projet'!$E$11+1,1))-AVERAGE(OFFSET($H$3,0,0,'Données projet'!$E$11+1,1))</f>
        <v>364.64276939439014</v>
      </c>
      <c r="BJ46" s="59">
        <f t="shared" si="38"/>
        <v>341.7578598026638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6.816974800166558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6.816974800166558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21.6</v>
      </c>
      <c r="BY46" s="12">
        <f>IF('Données projet'!$A$114&gt;35,BY45+BX46-CG45,IF(A46&lt;'Données projet'!$A$114,$BV$205^A46,IF(A46='Données projet'!$A$114,'Données projet'!$B$114,BY45+BX46-CG45)))</f>
        <v>425.80000000000024</v>
      </c>
      <c r="BZ46" s="13">
        <f>BY46*VLOOKUP('Données projet'!$B$12,Paramètres!$A$1:$I$89,3,0)*VLOOKUP('Données projet'!$B$12,Paramètres!$A$1:$I$89,5,0)</f>
        <v>254.62840000000014</v>
      </c>
      <c r="CA46" s="13">
        <f t="shared" si="39"/>
        <v>61.575982433801578</v>
      </c>
      <c r="CB46" s="20">
        <f t="shared" si="10"/>
        <v>550.7226327388712</v>
      </c>
      <c r="CC46" s="59">
        <f t="shared" si="11"/>
        <v>800.86381420530324</v>
      </c>
      <c r="CD46" s="59">
        <f ca="1">AVERAGE(OFFSET($CC$3,0,0,'Données projet'!$E$12+1,1))-AVERAGE(OFFSET($H$3,0,0,'Données projet'!$E$12+1,1))</f>
        <v>435.81281313761326</v>
      </c>
      <c r="CE46" s="59">
        <f t="shared" si="40"/>
        <v>460.93390058676493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33.378063152205264</v>
      </c>
      <c r="CL46" s="21">
        <f>EXP(-LN(2)/25)*CL45+(1-EXP(-LN(2)/25))/(LN(2)/25)*Calculateur!CG46*Calculateur!CI46*VLOOKUP('Données projet'!$B$12,Paramètres!$A$1:$I$89,3,0)*0.475*44/12</f>
        <v>30.40079239297096</v>
      </c>
      <c r="CM46" s="21">
        <f>EXP(-LN(2)/2)*CM45+(1-EXP(-LN(2)/2))/(LN(2)/2)*CG46*CJ46*VLOOKUP('Données projet'!$B$12,Paramètres!$A$1:$I$89,3,0)*0.475*44/12</f>
        <v>4.1647093779151714</v>
      </c>
      <c r="CN46" s="22">
        <f t="shared" si="12"/>
        <v>67.943564923091401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14</v>
      </c>
      <c r="CT46" s="12">
        <f>IF('Données projet'!$A$140&gt;35,CT45+CS46-DB45,IF(A46&lt;'Données projet'!$A$140,$CQ$205^A46,IF(A46='Données projet'!$A$140,'Données projet'!$B$140,CT45+CS46-DB45)))</f>
        <v>292</v>
      </c>
      <c r="CU46" s="17">
        <f>CT46*VLOOKUP('Données projet'!$B$13,Paramètres!$A$1:$I$89,3,0)*VLOOKUP('Données projet'!$B$13,Paramètres!$A$1:$I$89,5,0)</f>
        <v>136.65600000000001</v>
      </c>
      <c r="CV46" s="13">
        <f t="shared" si="41"/>
        <v>35.52986752364091</v>
      </c>
      <c r="CW46" s="20">
        <f t="shared" si="13"/>
        <v>299.89038593700792</v>
      </c>
      <c r="CX46" s="59">
        <f t="shared" si="14"/>
        <v>550.03156740344002</v>
      </c>
      <c r="CY46" s="59">
        <f ca="1">AVERAGE(OFFSET($CX$3,0,0,'Données projet'!$E$13+1,1))-AVERAGE(OFFSET($H$3,0,0,'Données projet'!$E$13+1,1))</f>
        <v>379.16472924112111</v>
      </c>
      <c r="CZ46" s="59">
        <f t="shared" si="42"/>
        <v>273.18950868898253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7.4659501456664543</v>
      </c>
      <c r="DG46" s="21">
        <f>EXP(-LN(2)/25)*DG45+(1-EXP(-LN(2)/25))/(LN(2)/25)*Calculateur!DB46*Calculateur!DD46*VLOOKUP('Données projet'!$B$13,Paramètres!$A$1:$I$89,3,0)*0.475*44/12</f>
        <v>16.770532476556955</v>
      </c>
      <c r="DH46" s="21">
        <f>EXP(-LN(2)/2)*DH45+(1-EXP(-LN(2)/2))/(LN(2)/2)*DB46*DE46*VLOOKUP('Données projet'!$B$13,Paramètres!$A$1:$I$89,3,0)*0.475*44/12</f>
        <v>3.009482234481196</v>
      </c>
      <c r="DI46" s="22">
        <f t="shared" si="15"/>
        <v>27.245964856704607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26.2</v>
      </c>
      <c r="DO46" s="12">
        <f>IF('Données projet'!$A$166&gt;35,DO45+DN46-DW45,IF(A46&lt;'Données projet'!$A$166,$DL$205^A46,IF(A46='Données projet'!$A$166,'Données projet'!$B$166,DO45+DN46-DW45)))</f>
        <v>495.60000000000025</v>
      </c>
      <c r="DP46" s="17">
        <f>DO46*VLOOKUP('Données projet'!$B$14,Paramètres!$A$1:$I$89,3,0)*VLOOKUP('Données projet'!$B$14,Paramètres!$A$1:$I$89,5,0)</f>
        <v>199.72680000000011</v>
      </c>
      <c r="DQ46" s="13">
        <f t="shared" si="43"/>
        <v>49.684121858557667</v>
      </c>
      <c r="DR46" s="20">
        <f t="shared" si="16"/>
        <v>434.39068890365479</v>
      </c>
      <c r="DS46" s="59">
        <f t="shared" si="17"/>
        <v>684.53187037008684</v>
      </c>
      <c r="DT46" s="59">
        <f ca="1">AVERAGE(OFFSET($DS$3,0,0,'Données projet'!$E$14+1,1))-AVERAGE(OFFSET($H$3,0,0,'Données projet'!$E$14+1,1))</f>
        <v>419.35339339286082</v>
      </c>
      <c r="DU46" s="59">
        <f t="shared" si="44"/>
        <v>359.03308141414709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28.381078169186807</v>
      </c>
      <c r="EB46" s="21">
        <f>EXP(-LN(2)/25)*EB45+(1-EXP(-LN(2)/25))/(LN(2)/25)*Calculateur!DW46*Calculateur!DY46*VLOOKUP('Données projet'!$B$14,Paramètres!$A$1:$I$89,3,0)*0.475*44/12</f>
        <v>22.834737358339854</v>
      </c>
      <c r="EC46" s="21">
        <f>EXP(-LN(2)/2)*EC45+(1-EXP(-LN(2)/2))/(LN(2)/2)*DW46*DZ46*VLOOKUP('Données projet'!$B$14,Paramètres!$A$1:$I$89,3,0)*0.475*44/12</f>
        <v>3.1159244222230202</v>
      </c>
      <c r="ED46" s="22">
        <f t="shared" si="18"/>
        <v>54.331739949749675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33</v>
      </c>
      <c r="EJ46" s="12">
        <f>IF('Données projet'!$A$192&gt;35,EJ45+EI46-ER45,IF(A46&lt;'Données projet'!$A$192,$EG$205^A46,IF(A46='Données projet'!$A$192,'Données projet'!$B$192,EJ45+EI46-ER45)))</f>
        <v>635.00000000000011</v>
      </c>
      <c r="EK46" s="17">
        <f>EJ46*VLOOKUP('Données projet'!$B$15,Paramètres!$A$1:$I$89,3,0)*VLOOKUP('Données projet'!$B$15,Paramètres!$A$1:$I$89,5,0)</f>
        <v>280.67000000000007</v>
      </c>
      <c r="EL46" s="13">
        <f t="shared" si="45"/>
        <v>67.10857944039833</v>
      </c>
      <c r="EM46" s="20">
        <f t="shared" si="19"/>
        <v>605.71435919202725</v>
      </c>
      <c r="EN46" s="59">
        <f t="shared" si="20"/>
        <v>855.85554065845929</v>
      </c>
      <c r="EO46" s="59">
        <f ca="1">AVERAGE(OFFSET($EN$3,0,0,'Données projet'!$E$15+1,1))-AVERAGE(OFFSET($H$3,0,0,'Données projet'!$E$15+1,1))</f>
        <v>561.50881628354409</v>
      </c>
      <c r="EP46" s="59">
        <f t="shared" si="46"/>
        <v>468.67708352238458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42.682705845275954</v>
      </c>
      <c r="EW46" s="21">
        <f>EXP(-LN(2)/25)*EW45+(1-EXP(-LN(2)/25))/(LN(2)/25)*Calculateur!ER46*Calculateur!ET46*VLOOKUP('Données projet'!$B$15,Paramètres!$A$1:$I$89,3,0)*0.475*44/12</f>
        <v>37.710672997274891</v>
      </c>
      <c r="EX46" s="21">
        <f>EXP(-LN(2)/2)*EX45+(1-EXP(-LN(2)/2))/(LN(2)/2)*ER46*EU46*VLOOKUP('Données projet'!$B$15,Paramètres!$A$1:$I$89,3,0)*0.475*44/12</f>
        <v>4.4459829268746764</v>
      </c>
      <c r="EY46" s="22">
        <f t="shared" si="21"/>
        <v>84.839361769425523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192.59999999999997</v>
      </c>
      <c r="O47" s="13">
        <f>N47*VLOOKUP('Données projet'!$B$9,Paramètres!$A$1:$I$89,3,0)*VLOOKUP('Données projet'!$B$9,Paramètres!$A$1:$I$89,5,0)</f>
        <v>174.26447999999996</v>
      </c>
      <c r="P47" s="13">
        <f t="shared" si="33"/>
        <v>44.043743683739521</v>
      </c>
      <c r="Q47" s="20">
        <f t="shared" si="53"/>
        <v>380.22015624917958</v>
      </c>
      <c r="R47" s="59">
        <f t="shared" si="0"/>
        <v>631.11062498731701</v>
      </c>
      <c r="S47" s="59">
        <f ca="1">AVERAGE(OFFSET($R$3,0,0,'Données projet'!$E$9+1,1))-AVERAGE(OFFSET($H$3,0,0,'Données projet'!$E$9+1,1))</f>
        <v>484.04602944257209</v>
      </c>
      <c r="T47" s="59">
        <f t="shared" si="34"/>
        <v>297.32483725004124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149.60000000000008</v>
      </c>
      <c r="AJ47" s="13">
        <f>AI47*VLOOKUP('Données projet'!$B$10,Paramètres!$A$1:$I$89,3,0)*VLOOKUP('Données projet'!$B$10,Paramètres!$A$1:$I$89,5,0)</f>
        <v>170.3644800000001</v>
      </c>
      <c r="AK47" s="13">
        <f t="shared" si="35"/>
        <v>43.171644802736004</v>
      </c>
      <c r="AL47" s="20">
        <f t="shared" si="4"/>
        <v>371.90875069809869</v>
      </c>
      <c r="AM47" s="59">
        <f t="shared" si="5"/>
        <v>622.79921943623617</v>
      </c>
      <c r="AN47" s="59">
        <f ca="1">AVERAGE(OFFSET($AM$3,0,0,'Données projet'!$E$10+1,1))-AVERAGE(OFFSET($H$3,0,0,'Données projet'!$E$10+1,1))</f>
        <v>493.74122500490859</v>
      </c>
      <c r="AO47" s="59">
        <f t="shared" si="36"/>
        <v>299.43985151679692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2.1004332605747233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2.1004332605747233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165.98400000000004</v>
      </c>
      <c r="BF47" s="13">
        <f t="shared" si="37"/>
        <v>42.189325525922285</v>
      </c>
      <c r="BG47" s="20">
        <f t="shared" si="7"/>
        <v>362.56854195764805</v>
      </c>
      <c r="BH47" s="59">
        <f t="shared" si="8"/>
        <v>613.45901069578554</v>
      </c>
      <c r="BI47" s="59">
        <f ca="1">AVERAGE(OFFSET($BH$3,0,0,'Données projet'!$E$11+1,1))-AVERAGE(OFFSET($H$3,0,0,'Données projet'!$E$11+1,1))</f>
        <v>364.64276939439014</v>
      </c>
      <c r="BJ47" s="59">
        <f t="shared" si="38"/>
        <v>341.7578598026638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6.6832980822793573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6.6832980822793573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21.6</v>
      </c>
      <c r="BY47" s="12">
        <f>IF('Données projet'!$A$114&gt;35,BY46+BX47-CG46,IF(A47&lt;'Données projet'!$A$114,$BV$205^A47,IF(A47='Données projet'!$A$114,'Données projet'!$B$114,BY46+BX47-CG46)))</f>
        <v>447.40000000000026</v>
      </c>
      <c r="BZ47" s="13">
        <f>BY47*VLOOKUP('Données projet'!$B$12,Paramètres!$A$1:$I$89,3,0)*VLOOKUP('Données projet'!$B$12,Paramètres!$A$1:$I$89,5,0)</f>
        <v>267.54520000000014</v>
      </c>
      <c r="CA47" s="13">
        <f t="shared" si="39"/>
        <v>64.328022166288974</v>
      </c>
      <c r="CB47" s="20">
        <f t="shared" si="10"/>
        <v>578.01252860628688</v>
      </c>
      <c r="CC47" s="59">
        <f t="shared" si="11"/>
        <v>828.90299734442431</v>
      </c>
      <c r="CD47" s="59">
        <f ca="1">AVERAGE(OFFSET($CC$3,0,0,'Données projet'!$E$12+1,1))-AVERAGE(OFFSET($H$3,0,0,'Données projet'!$E$12+1,1))</f>
        <v>435.81281313761326</v>
      </c>
      <c r="CE47" s="59">
        <f t="shared" si="40"/>
        <v>460.93390058676493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32.723539692398795</v>
      </c>
      <c r="CL47" s="21">
        <f>EXP(-LN(2)/25)*CL46+(1-EXP(-LN(2)/25))/(LN(2)/25)*Calculateur!CG47*Calculateur!CI47*VLOOKUP('Données projet'!$B$12,Paramètres!$A$1:$I$89,3,0)*0.475*44/12</f>
        <v>29.56948112627698</v>
      </c>
      <c r="CM47" s="21">
        <f>EXP(-LN(2)/2)*CM46+(1-EXP(-LN(2)/2))/(LN(2)/2)*CG47*CJ47*VLOOKUP('Données projet'!$B$12,Paramètres!$A$1:$I$89,3,0)*0.475*44/12</f>
        <v>2.9448942427950255</v>
      </c>
      <c r="CN47" s="22">
        <f t="shared" si="12"/>
        <v>65.237915061470801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14</v>
      </c>
      <c r="CT47" s="12">
        <f>IF('Données projet'!$A$140&gt;35,CT46+CS47-DB46,IF(A47&lt;'Données projet'!$A$140,$CQ$205^A47,IF(A47='Données projet'!$A$140,'Données projet'!$B$140,CT46+CS47-DB46)))</f>
        <v>306</v>
      </c>
      <c r="CU47" s="17">
        <f>CT47*VLOOKUP('Données projet'!$B$13,Paramètres!$A$1:$I$89,3,0)*VLOOKUP('Données projet'!$B$13,Paramètres!$A$1:$I$89,5,0)</f>
        <v>143.208</v>
      </c>
      <c r="CV47" s="13">
        <f t="shared" si="41"/>
        <v>37.030941422835802</v>
      </c>
      <c r="CW47" s="20">
        <f t="shared" si="13"/>
        <v>313.91615631143901</v>
      </c>
      <c r="CX47" s="59">
        <f t="shared" si="14"/>
        <v>564.8066250495765</v>
      </c>
      <c r="CY47" s="59">
        <f ca="1">AVERAGE(OFFSET($CX$3,0,0,'Données projet'!$E$13+1,1))-AVERAGE(OFFSET($H$3,0,0,'Données projet'!$E$13+1,1))</f>
        <v>379.16472924112111</v>
      </c>
      <c r="CZ47" s="59">
        <f t="shared" si="42"/>
        <v>273.18950868898253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7.3195474170898756</v>
      </c>
      <c r="DG47" s="21">
        <f>EXP(-LN(2)/25)*DG46+(1-EXP(-LN(2)/25))/(LN(2)/25)*Calculateur!DB47*Calculateur!DD47*VLOOKUP('Données projet'!$B$13,Paramètres!$A$1:$I$89,3,0)*0.475*44/12</f>
        <v>16.31194138406153</v>
      </c>
      <c r="DH47" s="21">
        <f>EXP(-LN(2)/2)*DH46+(1-EXP(-LN(2)/2))/(LN(2)/2)*DB47*DE47*VLOOKUP('Données projet'!$B$13,Paramètres!$A$1:$I$89,3,0)*0.475*44/12</f>
        <v>2.1280252958620971</v>
      </c>
      <c r="DI47" s="22">
        <f t="shared" si="15"/>
        <v>25.759514097013504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26.2</v>
      </c>
      <c r="DO47" s="12">
        <f>IF('Données projet'!$A$166&gt;35,DO46+DN47-DW46,IF(A47&lt;'Données projet'!$A$166,$DL$205^A47,IF(A47='Données projet'!$A$166,'Données projet'!$B$166,DO46+DN47-DW46)))</f>
        <v>521.8000000000003</v>
      </c>
      <c r="DP47" s="17">
        <f>DO47*VLOOKUP('Données projet'!$B$14,Paramètres!$A$1:$I$89,3,0)*VLOOKUP('Données projet'!$B$14,Paramètres!$A$1:$I$89,5,0)</f>
        <v>210.28540000000012</v>
      </c>
      <c r="DQ47" s="13">
        <f t="shared" si="43"/>
        <v>51.997947848331201</v>
      </c>
      <c r="DR47" s="20">
        <f t="shared" si="16"/>
        <v>456.81016416917709</v>
      </c>
      <c r="DS47" s="59">
        <f t="shared" si="17"/>
        <v>707.70063290731446</v>
      </c>
      <c r="DT47" s="59">
        <f ca="1">AVERAGE(OFFSET($DS$3,0,0,'Données projet'!$E$14+1,1))-AVERAGE(OFFSET($H$3,0,0,'Données projet'!$E$14+1,1))</f>
        <v>419.35339339286082</v>
      </c>
      <c r="DU47" s="59">
        <f t="shared" si="44"/>
        <v>359.03308141414709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27.824542537037441</v>
      </c>
      <c r="EB47" s="21">
        <f>EXP(-LN(2)/25)*EB46+(1-EXP(-LN(2)/25))/(LN(2)/25)*Calculateur!DW47*Calculateur!DY47*VLOOKUP('Données projet'!$B$14,Paramètres!$A$1:$I$89,3,0)*0.475*44/12</f>
        <v>22.210320264449404</v>
      </c>
      <c r="EC47" s="21">
        <f>EXP(-LN(2)/2)*EC46+(1-EXP(-LN(2)/2))/(LN(2)/2)*DW47*DZ47*VLOOKUP('Données projet'!$B$14,Paramètres!$A$1:$I$89,3,0)*0.475*44/12</f>
        <v>2.2032912886186726</v>
      </c>
      <c r="ED47" s="22">
        <f t="shared" si="18"/>
        <v>52.238154090105517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33</v>
      </c>
      <c r="EJ47" s="12">
        <f>IF('Données projet'!$A$192&gt;35,EJ46+EI47-ER46,IF(A47&lt;'Données projet'!$A$192,$EG$205^A47,IF(A47='Données projet'!$A$192,'Données projet'!$B$192,EJ46+EI47-ER46)))</f>
        <v>668.00000000000011</v>
      </c>
      <c r="EK47" s="17">
        <f>EJ47*VLOOKUP('Données projet'!$B$15,Paramètres!$A$1:$I$89,3,0)*VLOOKUP('Données projet'!$B$15,Paramètres!$A$1:$I$89,5,0)</f>
        <v>295.25600000000009</v>
      </c>
      <c r="EL47" s="13">
        <f t="shared" si="45"/>
        <v>70.181018128095488</v>
      </c>
      <c r="EM47" s="20">
        <f t="shared" si="19"/>
        <v>636.46947323976644</v>
      </c>
      <c r="EN47" s="59">
        <f t="shared" si="20"/>
        <v>887.35994197790387</v>
      </c>
      <c r="EO47" s="59">
        <f ca="1">AVERAGE(OFFSET($EN$3,0,0,'Données projet'!$E$15+1,1))-AVERAGE(OFFSET($H$3,0,0,'Données projet'!$E$15+1,1))</f>
        <v>561.50881628354409</v>
      </c>
      <c r="EP47" s="59">
        <f t="shared" si="46"/>
        <v>468.67708352238458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41.845724017530024</v>
      </c>
      <c r="EW47" s="21">
        <f>EXP(-LN(2)/25)*EW46+(1-EXP(-LN(2)/25))/(LN(2)/25)*Calculateur!ER47*Calculateur!ET47*VLOOKUP('Données projet'!$B$15,Paramètres!$A$1:$I$89,3,0)*0.475*44/12</f>
        <v>36.679472661046304</v>
      </c>
      <c r="EX47" s="21">
        <f>EXP(-LN(2)/2)*EX46+(1-EXP(-LN(2)/2))/(LN(2)/2)*ER47*EU47*VLOOKUP('Données projet'!$B$15,Paramètres!$A$1:$I$89,3,0)*0.475*44/12</f>
        <v>3.143784676632698</v>
      </c>
      <c r="EY47" s="22">
        <f t="shared" si="21"/>
        <v>81.668981355209013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203.99999999999997</v>
      </c>
      <c r="O48" s="13">
        <f>N48*VLOOKUP('Données projet'!$B$9,Paramètres!$A$1:$I$89,3,0)*VLOOKUP('Données projet'!$B$9,Paramètres!$A$1:$I$89,5,0)</f>
        <v>184.57919999999999</v>
      </c>
      <c r="P48" s="13">
        <f t="shared" si="33"/>
        <v>46.339479465836618</v>
      </c>
      <c r="Q48" s="20">
        <f t="shared" si="53"/>
        <v>402.18336673633206</v>
      </c>
      <c r="R48" s="59">
        <f t="shared" si="0"/>
        <v>653.81012428716622</v>
      </c>
      <c r="S48" s="59">
        <f ca="1">AVERAGE(OFFSET($R$3,0,0,'Données projet'!$E$9+1,1))-AVERAGE(OFFSET($H$3,0,0,'Données projet'!$E$9+1,1))</f>
        <v>484.04602944257209</v>
      </c>
      <c r="T48" s="59">
        <f t="shared" si="34"/>
        <v>297.32483725004124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158.00000000000009</v>
      </c>
      <c r="AJ48" s="13">
        <f>AI48*VLOOKUP('Données projet'!$B$10,Paramètres!$A$1:$I$89,3,0)*VLOOKUP('Données projet'!$B$10,Paramètres!$A$1:$I$89,5,0)</f>
        <v>179.93040000000011</v>
      </c>
      <c r="AK48" s="13">
        <f t="shared" si="35"/>
        <v>45.306701100349734</v>
      </c>
      <c r="AL48" s="20">
        <f t="shared" si="4"/>
        <v>392.28795108310925</v>
      </c>
      <c r="AM48" s="59">
        <f t="shared" si="5"/>
        <v>643.91470863394341</v>
      </c>
      <c r="AN48" s="59">
        <f ca="1">AVERAGE(OFFSET($AM$3,0,0,'Données projet'!$E$10+1,1))-AVERAGE(OFFSET($H$3,0,0,'Données projet'!$E$10+1,1))</f>
        <v>493.74122500490859</v>
      </c>
      <c r="AO48" s="59">
        <f t="shared" si="36"/>
        <v>299.43985151679692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4.3328359062637354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4.3328359062637354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172.97280000000003</v>
      </c>
      <c r="BF48" s="13">
        <f t="shared" si="37"/>
        <v>43.75515863819728</v>
      </c>
      <c r="BG48" s="20">
        <f t="shared" si="7"/>
        <v>377.46786129486031</v>
      </c>
      <c r="BH48" s="59">
        <f t="shared" si="8"/>
        <v>629.09461884569441</v>
      </c>
      <c r="BI48" s="59">
        <f ca="1">AVERAGE(OFFSET($BH$3,0,0,'Données projet'!$E$11+1,1))-AVERAGE(OFFSET($H$3,0,0,'Données projet'!$E$11+1,1))</f>
        <v>364.64276939439014</v>
      </c>
      <c r="BJ48" s="59">
        <f t="shared" si="38"/>
        <v>341.7578598026638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0.129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9.7913310329153678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9.7913310329153678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469</v>
      </c>
      <c r="BW48" s="12">
        <f>VLOOKUP(A48,'Données projet'!$A$113:$I$133,9,0)</f>
        <v>21.6</v>
      </c>
      <c r="BX48" s="12">
        <f t="array" ref="BX48">INDEX(BW:BW,MIN(IF(ISNUMBER(BW48:BW244),ROW(BW48:BW244),"")))</f>
        <v>21.6</v>
      </c>
      <c r="BY48" s="12">
        <f>IF('Données projet'!$A$114&gt;35,BY47+BX48-CG47,IF(A48&lt;'Données projet'!$A$114,$BV$205^A48,IF(A48='Données projet'!$A$114,'Données projet'!$B$114,BY47+BX48-CG47)))</f>
        <v>469.00000000000028</v>
      </c>
      <c r="BZ48" s="13">
        <f>BY48*VLOOKUP('Données projet'!$B$12,Paramètres!$A$1:$I$89,3,0)*VLOOKUP('Données projet'!$B$12,Paramètres!$A$1:$I$89,5,0)</f>
        <v>280.46200000000022</v>
      </c>
      <c r="CA48" s="13">
        <f t="shared" si="39"/>
        <v>67.064633392006456</v>
      </c>
      <c r="CB48" s="20">
        <f t="shared" si="10"/>
        <v>605.27555315774487</v>
      </c>
      <c r="CC48" s="59">
        <f t="shared" si="11"/>
        <v>856.90231070857897</v>
      </c>
      <c r="CD48" s="59">
        <f ca="1">AVERAGE(OFFSET($CC$3,0,0,'Données projet'!$E$12+1,1))-AVERAGE(OFFSET($H$3,0,0,'Données projet'!$E$12+1,1))</f>
        <v>435.81281313761326</v>
      </c>
      <c r="CE48" s="59">
        <f t="shared" si="40"/>
        <v>460.93390058676493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60</v>
      </c>
      <c r="CH48" s="16">
        <f>IF(ISNA(VLOOKUP(A48,'Données projet'!$A$113:$I$133,5,0)),0%,VLOOKUP(A48,'Données projet'!$A$113:$I$133,5,0)*VLOOKUP('Données projet'!$B$12,Paramètres!$A$1:$I$89,7,0))</f>
        <v>0.22500000000000001</v>
      </c>
      <c r="CI48" s="16">
        <f>IF(ISNA(VLOOKUP(A48,'Données projet'!$A$113:$I$133,6,0)),0%,VLOOKUP(A48,'Données projet'!$A$113:$I$133,6,0)*VLOOKUP('Données projet'!$B$12,Paramètres!$A$1:$I$89,7,0))</f>
        <v>0.12600000000000003</v>
      </c>
      <c r="CJ48" s="16">
        <f>IF(ISNA(VLOOKUP(A48,'Données projet'!$A$113:$I$133,7,0)),0%,VLOOKUP(A48,'Données projet'!$A$113:$I$133,7,0))</f>
        <v>0.22</v>
      </c>
      <c r="CK48" s="21">
        <f>EXP(-LN(2)/35)*CK47+(1-EXP(-LN(2)/35))/(LN(2)/35)*CG48*CH48*VLOOKUP('Données projet'!$B$12,Paramètres!$A$1:$I$89,3,0)*0.475*44/12</f>
        <v>42.791205887182649</v>
      </c>
      <c r="CL48" s="21">
        <f>EXP(-LN(2)/25)*CL47+(1-EXP(-LN(2)/25))/(LN(2)/25)*Calculateur!CG48*Calculateur!CI48*VLOOKUP('Données projet'!$B$12,Paramètres!$A$1:$I$89,3,0)*0.475*44/12</f>
        <v>34.73452741124575</v>
      </c>
      <c r="CM48" s="21">
        <f>EXP(-LN(2)/2)*CM47+(1-EXP(-LN(2)/2))/(LN(2)/2)*CG48*CJ48*VLOOKUP('Données projet'!$B$12,Paramètres!$A$1:$I$89,3,0)*0.475*44/12</f>
        <v>11.019743552712495</v>
      </c>
      <c r="CN48" s="22">
        <f t="shared" si="12"/>
        <v>88.545476851140904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14</v>
      </c>
      <c r="CT48" s="12">
        <f>IF('Données projet'!$A$140&gt;35,CT47+CS48-DB47,IF(A48&lt;'Données projet'!$A$140,$CQ$205^A48,IF(A48='Données projet'!$A$140,'Données projet'!$B$140,CT47+CS48-DB47)))</f>
        <v>320</v>
      </c>
      <c r="CU48" s="17">
        <f>CT48*VLOOKUP('Données projet'!$B$13,Paramètres!$A$1:$I$89,3,0)*VLOOKUP('Données projet'!$B$13,Paramètres!$A$1:$I$89,5,0)</f>
        <v>149.76</v>
      </c>
      <c r="CV48" s="13">
        <f t="shared" si="41"/>
        <v>38.524039677774802</v>
      </c>
      <c r="CW48" s="20">
        <f t="shared" si="13"/>
        <v>327.92803577212442</v>
      </c>
      <c r="CX48" s="59">
        <f t="shared" si="14"/>
        <v>579.55479332295852</v>
      </c>
      <c r="CY48" s="59">
        <f ca="1">AVERAGE(OFFSET($CX$3,0,0,'Données projet'!$E$13+1,1))-AVERAGE(OFFSET($H$3,0,0,'Données projet'!$E$13+1,1))</f>
        <v>379.16472924112111</v>
      </c>
      <c r="CZ48" s="59">
        <f t="shared" si="42"/>
        <v>273.18950868898253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7.1760155567238364</v>
      </c>
      <c r="DG48" s="21">
        <f>EXP(-LN(2)/25)*DG47+(1-EXP(-LN(2)/25))/(LN(2)/25)*Calculateur!DB48*Calculateur!DD48*VLOOKUP('Données projet'!$B$13,Paramètres!$A$1:$I$89,3,0)*0.475*44/12</f>
        <v>15.865890489106652</v>
      </c>
      <c r="DH48" s="21">
        <f>EXP(-LN(2)/2)*DH47+(1-EXP(-LN(2)/2))/(LN(2)/2)*DB48*DE48*VLOOKUP('Données projet'!$B$13,Paramètres!$A$1:$I$89,3,0)*0.475*44/12</f>
        <v>1.504741117240598</v>
      </c>
      <c r="DI48" s="22">
        <f t="shared" si="15"/>
        <v>24.546647163071086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548</v>
      </c>
      <c r="DM48" s="12">
        <f>VLOOKUP(A48,'Données projet'!$A$165:$I$185,9,0)</f>
        <v>26.2</v>
      </c>
      <c r="DN48" s="12">
        <f t="array" ref="DN48">INDEX(DM:DM,MIN(IF(ISNUMBER(DM48:DM244),ROW(DM48:DM244),"")))</f>
        <v>26.2</v>
      </c>
      <c r="DO48" s="12">
        <f>IF('Données projet'!$A$166&gt;35,DO47+DN48-DW47,IF(A48&lt;'Données projet'!$A$166,$DL$205^A48,IF(A48='Données projet'!$A$166,'Données projet'!$B$166,DO47+DN48-DW47)))</f>
        <v>548.00000000000034</v>
      </c>
      <c r="DP48" s="17">
        <f>DO48*VLOOKUP('Données projet'!$B$14,Paramètres!$A$1:$I$89,3,0)*VLOOKUP('Données projet'!$B$14,Paramètres!$A$1:$I$89,5,0)</f>
        <v>220.84400000000014</v>
      </c>
      <c r="DQ48" s="13">
        <f t="shared" si="43"/>
        <v>54.298284051266045</v>
      </c>
      <c r="DR48" s="20">
        <f t="shared" si="16"/>
        <v>479.2061447226219</v>
      </c>
      <c r="DS48" s="59">
        <f t="shared" si="17"/>
        <v>730.83290227345606</v>
      </c>
      <c r="DT48" s="59">
        <f ca="1">AVERAGE(OFFSET($DS$3,0,0,'Données projet'!$E$14+1,1))-AVERAGE(OFFSET($H$3,0,0,'Données projet'!$E$14+1,1))</f>
        <v>419.35339339286082</v>
      </c>
      <c r="DU48" s="59">
        <f t="shared" si="44"/>
        <v>359.03308141414709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70</v>
      </c>
      <c r="DX48" s="16">
        <f>IF(ISNA(VLOOKUP(A48,'Données projet'!$A$165:$I$185,5,0)),0%,VLOOKUP(A48,'Données projet'!$A$165:$I$185,5,0)*VLOOKUP('Données projet'!$B$14,Paramètres!$A$1:$I$89,7,0))</f>
        <v>0.27500000000000002</v>
      </c>
      <c r="DY48" s="16">
        <f>IF(ISNA(VLOOKUP(A48,'Données projet'!$A$165:$I$185,6,0)),0%,VLOOKUP(A48,'Données projet'!$A$165:$I$185,6,0)*VLOOKUP('Données projet'!$B$14,Paramètres!$A$1:$I$89,7,0))</f>
        <v>0.15400000000000003</v>
      </c>
      <c r="DZ48" s="16">
        <f>IF(ISNA(VLOOKUP(A48,'Données projet'!$A$165:$I$185,7,0)),0%,VLOOKUP(A48,'Données projet'!$A$165:$I$185,7,0))</f>
        <v>0.22</v>
      </c>
      <c r="EA48" s="21">
        <f>EXP(-LN(2)/35)*EA47+(1-EXP(-LN(2)/35))/(LN(2)/35)*DW48*DX48*VLOOKUP('Données projet'!$B$14,Paramètres!$A$1:$I$89,3,0)*0.475*44/12</f>
        <v>37.570075633367402</v>
      </c>
      <c r="EB48" s="21">
        <f>EXP(-LN(2)/25)*EB47+(1-EXP(-LN(2)/25))/(LN(2)/25)*Calculateur!DW48*Calculateur!DY48*VLOOKUP('Données projet'!$B$14,Paramètres!$A$1:$I$89,3,0)*0.475*44/12</f>
        <v>27.343333603136475</v>
      </c>
      <c r="EC48" s="21">
        <f>EXP(-LN(2)/2)*EC47+(1-EXP(-LN(2)/2))/(LN(2)/2)*DW48*DZ48*VLOOKUP('Données projet'!$B$14,Paramètres!$A$1:$I$89,3,0)*0.475*44/12</f>
        <v>8.5848222960202616</v>
      </c>
      <c r="ED48" s="22">
        <f t="shared" si="18"/>
        <v>73.498231532524144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701</v>
      </c>
      <c r="EH48" s="12">
        <f>VLOOKUP(A48,'Données projet'!$A$191:$I$211,9,0)</f>
        <v>33</v>
      </c>
      <c r="EI48" s="12">
        <f t="array" ref="EI48">INDEX(EH:EH,MIN(IF(ISNUMBER(EH48:EH244),ROW(EH48:EH244),"")))</f>
        <v>33</v>
      </c>
      <c r="EJ48" s="12">
        <f>IF('Données projet'!$A$192&gt;35,EJ47+EI48-ER47,IF(A48&lt;'Données projet'!$A$192,$EG$205^A48,IF(A48='Données projet'!$A$192,'Données projet'!$B$192,EJ47+EI48-ER47)))</f>
        <v>701.00000000000011</v>
      </c>
      <c r="EK48" s="17">
        <f>EJ48*VLOOKUP('Données projet'!$B$15,Paramètres!$A$1:$I$89,3,0)*VLOOKUP('Données projet'!$B$15,Paramètres!$A$1:$I$89,5,0)</f>
        <v>309.8420000000001</v>
      </c>
      <c r="EL48" s="13">
        <f t="shared" si="45"/>
        <v>73.235832504233656</v>
      </c>
      <c r="EM48" s="20">
        <f t="shared" si="19"/>
        <v>667.19389161154038</v>
      </c>
      <c r="EN48" s="59">
        <f t="shared" si="20"/>
        <v>918.82064916237448</v>
      </c>
      <c r="EO48" s="59">
        <f ca="1">AVERAGE(OFFSET($EN$3,0,0,'Données projet'!$E$15+1,1))-AVERAGE(OFFSET($H$3,0,0,'Données projet'!$E$15+1,1))</f>
        <v>561.50881628354409</v>
      </c>
      <c r="EP48" s="59">
        <f t="shared" si="46"/>
        <v>468.67708352238458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74</v>
      </c>
      <c r="ES48" s="16">
        <f>IF(ISNA(VLOOKUP(A48,'Données projet'!$A$191:$I$211,5,0)),0%,VLOOKUP(A48,'Données projet'!$A$191:$I$211,5,0)*VLOOKUP('Données projet'!$B$15,Paramètres!$A$1:$I$89,7,0))</f>
        <v>0.27500000000000002</v>
      </c>
      <c r="ET48" s="16">
        <f>IF(ISNA(VLOOKUP(A48,'Données projet'!$A$191:$I$211,6,0)),0%,VLOOKUP(A48,'Données projet'!$A$191:$I$211,6,0)*VLOOKUP('Données projet'!$B$15,Paramètres!$A$1:$I$89,7,0))</f>
        <v>0.15400000000000003</v>
      </c>
      <c r="EU48" s="16">
        <f>IF(ISNA(VLOOKUP(A48,'Données projet'!$A$191:$I$211,7,0)),0%,VLOOKUP(A48,'Données projet'!$A$191:$I$211,7,0))</f>
        <v>0.22</v>
      </c>
      <c r="EV48" s="21">
        <f>EXP(-LN(2)/35)*EV47+(1-EXP(-LN(2)/35))/(LN(2)/35)*ER48*ES48*VLOOKUP('Données projet'!$B$15,Paramètres!$A$1:$I$89,3,0)*0.475*44/12</f>
        <v>52.957204200259724</v>
      </c>
      <c r="EW48" s="21">
        <f>EXP(-LN(2)/25)*EW47+(1-EXP(-LN(2)/25))/(LN(2)/25)*Calculateur!ER48*Calculateur!ET48*VLOOKUP('Données projet'!$B$15,Paramètres!$A$1:$I$89,3,0)*0.475*44/12</f>
        <v>42.332108790581373</v>
      </c>
      <c r="EX48" s="21">
        <f>EXP(-LN(2)/2)*EX47+(1-EXP(-LN(2)/2))/(LN(2)/2)*ER48*EU48*VLOOKUP('Données projet'!$B$15,Paramètres!$A$1:$I$89,3,0)*0.475*44/12</f>
        <v>10.37026334068638</v>
      </c>
      <c r="EY48" s="22">
        <f t="shared" si="21"/>
        <v>105.65957633152748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186.99999999999997</v>
      </c>
      <c r="O49" s="13">
        <f>N49*VLOOKUP('Données projet'!$B$9,Paramètres!$A$1:$I$89,3,0)*VLOOKUP('Données projet'!$B$9,Paramètres!$A$1:$I$89,5,0)</f>
        <v>169.19759999999997</v>
      </c>
      <c r="P49" s="13">
        <f t="shared" si="33"/>
        <v>42.910263223432885</v>
      </c>
      <c r="Q49" s="20">
        <f t="shared" si="53"/>
        <v>369.42119511414552</v>
      </c>
      <c r="R49" s="59">
        <f t="shared" si="0"/>
        <v>621.77146851287114</v>
      </c>
      <c r="S49" s="59">
        <f ca="1">AVERAGE(OFFSET($R$3,0,0,'Données projet'!$E$9+1,1))-AVERAGE(OFFSET($H$3,0,0,'Données projet'!$E$9+1,1))</f>
        <v>484.04602944257209</v>
      </c>
      <c r="T49" s="59">
        <f t="shared" si="34"/>
        <v>297.32483725004124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145.20000000000007</v>
      </c>
      <c r="AJ49" s="13">
        <f>AI49*VLOOKUP('Données projet'!$B$10,Paramètres!$A$1:$I$89,3,0)*VLOOKUP('Données projet'!$B$10,Paramètres!$A$1:$I$89,5,0)</f>
        <v>165.35376000000008</v>
      </c>
      <c r="AK49" s="13">
        <f t="shared" si="35"/>
        <v>42.047748063289099</v>
      </c>
      <c r="AL49" s="20">
        <f t="shared" si="4"/>
        <v>361.22429321022861</v>
      </c>
      <c r="AM49" s="59">
        <f t="shared" si="5"/>
        <v>613.57456660895423</v>
      </c>
      <c r="AN49" s="59">
        <f ca="1">AVERAGE(OFFSET($AM$3,0,0,'Données projet'!$E$10+1,1))-AVERAGE(OFFSET($H$3,0,0,'Données projet'!$E$10+1,1))</f>
        <v>493.74122500490859</v>
      </c>
      <c r="AO49" s="59">
        <f t="shared" si="36"/>
        <v>299.43985151679692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4.2478716369108547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4.2478716369108547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156.72384000000005</v>
      </c>
      <c r="BF49" s="13">
        <f t="shared" si="37"/>
        <v>40.102680984620484</v>
      </c>
      <c r="BG49" s="20">
        <f t="shared" si="7"/>
        <v>342.80619071488076</v>
      </c>
      <c r="BH49" s="59">
        <f t="shared" si="8"/>
        <v>595.15646411360638</v>
      </c>
      <c r="BI49" s="59">
        <f ca="1">AVERAGE(OFFSET($BH$3,0,0,'Données projet'!$E$11+1,1))-AVERAGE(OFFSET($H$3,0,0,'Données projet'!$E$11+1,1))</f>
        <v>364.64276939439014</v>
      </c>
      <c r="BJ49" s="59">
        <f t="shared" si="38"/>
        <v>341.7578598026638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9.5993290034821293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9.5993290034821293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20</v>
      </c>
      <c r="BY49" s="12">
        <f>IF('Données projet'!$A$114&gt;35,BY48+BX49-CG48,IF(A49&lt;'Données projet'!$A$114,$BV$205^A49,IF(A49='Données projet'!$A$114,'Données projet'!$B$114,BY48+BX49-CG48)))</f>
        <v>429.00000000000028</v>
      </c>
      <c r="BZ49" s="13">
        <f>BY49*VLOOKUP('Données projet'!$B$12,Paramètres!$A$1:$I$89,3,0)*VLOOKUP('Données projet'!$B$12,Paramètres!$A$1:$I$89,5,0)</f>
        <v>256.5420000000002</v>
      </c>
      <c r="CA49" s="13">
        <f t="shared" si="39"/>
        <v>61.984698688972557</v>
      </c>
      <c r="CB49" s="20">
        <f t="shared" si="10"/>
        <v>554.76733354996088</v>
      </c>
      <c r="CC49" s="59">
        <f t="shared" si="11"/>
        <v>807.11760694868656</v>
      </c>
      <c r="CD49" s="59">
        <f ca="1">AVERAGE(OFFSET($CC$3,0,0,'Données projet'!$E$12+1,1))-AVERAGE(OFFSET($H$3,0,0,'Données projet'!$E$12+1,1))</f>
        <v>435.81281313761326</v>
      </c>
      <c r="CE49" s="59">
        <f t="shared" si="40"/>
        <v>460.93390058676493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41.952096439793422</v>
      </c>
      <c r="CL49" s="21">
        <f>EXP(-LN(2)/25)*CL48+(1-EXP(-LN(2)/25))/(LN(2)/25)*Calculateur!CG49*Calculateur!CI49*VLOOKUP('Données projet'!$B$12,Paramètres!$A$1:$I$89,3,0)*0.475*44/12</f>
        <v>33.784709932575822</v>
      </c>
      <c r="CM49" s="21">
        <f>EXP(-LN(2)/2)*CM48+(1-EXP(-LN(2)/2))/(LN(2)/2)*CG49*CJ49*VLOOKUP('Données projet'!$B$12,Paramètres!$A$1:$I$89,3,0)*0.475*44/12</f>
        <v>7.7921353930597421</v>
      </c>
      <c r="CN49" s="22">
        <f t="shared" si="12"/>
        <v>83.528941765428982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14</v>
      </c>
      <c r="CT49" s="12">
        <f>IF('Données projet'!$A$140&gt;35,CT48+CS49-DB48,IF(A49&lt;'Données projet'!$A$140,$CQ$205^A49,IF(A49='Données projet'!$A$140,'Données projet'!$B$140,CT48+CS49-DB48)))</f>
        <v>334</v>
      </c>
      <c r="CU49" s="17">
        <f>CT49*VLOOKUP('Données projet'!$B$13,Paramètres!$A$1:$I$89,3,0)*VLOOKUP('Données projet'!$B$13,Paramètres!$A$1:$I$89,5,0)</f>
        <v>156.31200000000001</v>
      </c>
      <c r="CV49" s="13">
        <f t="shared" si="41"/>
        <v>40.009551101892576</v>
      </c>
      <c r="CW49" s="20">
        <f t="shared" si="13"/>
        <v>341.92670150246295</v>
      </c>
      <c r="CX49" s="59">
        <f t="shared" si="14"/>
        <v>594.27697490118862</v>
      </c>
      <c r="CY49" s="59">
        <f ca="1">AVERAGE(OFFSET($CX$3,0,0,'Données projet'!$E$13+1,1))-AVERAGE(OFFSET($H$3,0,0,'Données projet'!$E$13+1,1))</f>
        <v>379.16472924112111</v>
      </c>
      <c r="CZ49" s="59">
        <f t="shared" si="42"/>
        <v>273.18950868898253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7.0352982685937846</v>
      </c>
      <c r="DG49" s="21">
        <f>EXP(-LN(2)/25)*DG48+(1-EXP(-LN(2)/25))/(LN(2)/25)*Calculateur!DB49*Calculateur!DD49*VLOOKUP('Données projet'!$B$13,Paramètres!$A$1:$I$89,3,0)*0.475*44/12</f>
        <v>15.432036879331113</v>
      </c>
      <c r="DH49" s="21">
        <f>EXP(-LN(2)/2)*DH48+(1-EXP(-LN(2)/2))/(LN(2)/2)*DB49*DE49*VLOOKUP('Données projet'!$B$13,Paramètres!$A$1:$I$89,3,0)*0.475*44/12</f>
        <v>1.0640126479310485</v>
      </c>
      <c r="DI49" s="22">
        <f t="shared" si="15"/>
        <v>23.531347795855947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24.6</v>
      </c>
      <c r="DO49" s="12">
        <f>IF('Données projet'!$A$166&gt;35,DO48+DN49-DW48,IF(A49&lt;'Données projet'!$A$166,$DL$205^A49,IF(A49='Données projet'!$A$166,'Données projet'!$B$166,DO48+DN49-DW48)))</f>
        <v>502.60000000000036</v>
      </c>
      <c r="DP49" s="17">
        <f>DO49*VLOOKUP('Données projet'!$B$14,Paramètres!$A$1:$I$89,3,0)*VLOOKUP('Données projet'!$B$14,Paramètres!$A$1:$I$89,5,0)</f>
        <v>202.54780000000017</v>
      </c>
      <c r="DQ49" s="13">
        <f t="shared" si="43"/>
        <v>50.30368386889981</v>
      </c>
      <c r="DR49" s="20">
        <f t="shared" si="16"/>
        <v>440.38300107166742</v>
      </c>
      <c r="DS49" s="59">
        <f t="shared" si="17"/>
        <v>692.7332744703931</v>
      </c>
      <c r="DT49" s="59">
        <f ca="1">AVERAGE(OFFSET($DS$3,0,0,'Données projet'!$E$14+1,1))-AVERAGE(OFFSET($H$3,0,0,'Données projet'!$E$14+1,1))</f>
        <v>419.35339339286082</v>
      </c>
      <c r="DU49" s="59">
        <f t="shared" si="44"/>
        <v>359.03308141414709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36.83334936568049</v>
      </c>
      <c r="EB49" s="21">
        <f>EXP(-LN(2)/25)*EB48+(1-EXP(-LN(2)/25))/(LN(2)/25)*Calculateur!DW49*Calculateur!DY49*VLOOKUP('Données projet'!$B$14,Paramètres!$A$1:$I$89,3,0)*0.475*44/12</f>
        <v>26.595628707835289</v>
      </c>
      <c r="EC49" s="21">
        <f>EXP(-LN(2)/2)*EC48+(1-EXP(-LN(2)/2))/(LN(2)/2)*DW49*DZ49*VLOOKUP('Données projet'!$B$14,Paramètres!$A$1:$I$89,3,0)*0.475*44/12</f>
        <v>6.0703860607973938</v>
      </c>
      <c r="ED49" s="22">
        <f t="shared" si="18"/>
        <v>69.499364134313169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29.2</v>
      </c>
      <c r="EJ49" s="12">
        <f>IF('Données projet'!$A$192&gt;35,EJ48+EI49-ER48,IF(A49&lt;'Données projet'!$A$192,$EG$205^A49,IF(A49='Données projet'!$A$192,'Données projet'!$B$192,EJ48+EI49-ER48)))</f>
        <v>656.20000000000016</v>
      </c>
      <c r="EK49" s="17">
        <f>EJ49*VLOOKUP('Données projet'!$B$15,Paramètres!$A$1:$I$89,3,0)*VLOOKUP('Données projet'!$B$15,Paramètres!$A$1:$I$89,5,0)</f>
        <v>290.04040000000009</v>
      </c>
      <c r="EL49" s="13">
        <f t="shared" si="45"/>
        <v>69.084463839216909</v>
      </c>
      <c r="EM49" s="20">
        <f t="shared" si="19"/>
        <v>625.47580451996964</v>
      </c>
      <c r="EN49" s="59">
        <f t="shared" si="20"/>
        <v>877.82607791869532</v>
      </c>
      <c r="EO49" s="59">
        <f ca="1">AVERAGE(OFFSET($EN$3,0,0,'Données projet'!$E$15+1,1))-AVERAGE(OFFSET($H$3,0,0,'Données projet'!$E$15+1,1))</f>
        <v>561.50881628354409</v>
      </c>
      <c r="EP49" s="59">
        <f t="shared" si="46"/>
        <v>468.67708352238458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51.918745726597763</v>
      </c>
      <c r="EW49" s="21">
        <f>EXP(-LN(2)/25)*EW48+(1-EXP(-LN(2)/25))/(LN(2)/25)*Calculateur!ER49*Calculateur!ET49*VLOOKUP('Données projet'!$B$15,Paramètres!$A$1:$I$89,3,0)*0.475*44/12</f>
        <v>41.174535049554073</v>
      </c>
      <c r="EX49" s="21">
        <f>EXP(-LN(2)/2)*EX48+(1-EXP(-LN(2)/2))/(LN(2)/2)*ER49*EU49*VLOOKUP('Données projet'!$B$15,Paramètres!$A$1:$I$89,3,0)*0.475*44/12</f>
        <v>7.3328835308895997</v>
      </c>
      <c r="EY49" s="22">
        <f t="shared" si="21"/>
        <v>100.42616430704143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197.99999999999997</v>
      </c>
      <c r="O50" s="13">
        <f>N50*VLOOKUP('Données projet'!$B$9,Paramètres!$A$1:$I$89,3,0)*VLOOKUP('Données projet'!$B$9,Paramètres!$A$1:$I$89,5,0)</f>
        <v>179.15039999999996</v>
      </c>
      <c r="P50" s="13">
        <f t="shared" si="33"/>
        <v>45.133113803437304</v>
      </c>
      <c r="Q50" s="20">
        <f t="shared" si="53"/>
        <v>390.62711987431993</v>
      </c>
      <c r="R50" s="59">
        <f t="shared" si="0"/>
        <v>643.68835773851538</v>
      </c>
      <c r="S50" s="59">
        <f ca="1">AVERAGE(OFFSET($R$3,0,0,'Données projet'!$E$9+1,1))-AVERAGE(OFFSET($H$3,0,0,'Données projet'!$E$9+1,1))</f>
        <v>484.04602944257209</v>
      </c>
      <c r="T50" s="59">
        <f t="shared" si="34"/>
        <v>297.32483725004124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153.40000000000006</v>
      </c>
      <c r="AJ50" s="13">
        <f>AI50*VLOOKUP('Données projet'!$B$10,Paramètres!$A$1:$I$89,3,0)*VLOOKUP('Données projet'!$B$10,Paramètres!$A$1:$I$89,5,0)</f>
        <v>174.69192000000007</v>
      </c>
      <c r="AK50" s="13">
        <f t="shared" si="35"/>
        <v>44.139186726182643</v>
      </c>
      <c r="AL50" s="20">
        <f t="shared" si="4"/>
        <v>381.13084421476827</v>
      </c>
      <c r="AM50" s="59">
        <f t="shared" si="5"/>
        <v>634.19208207896372</v>
      </c>
      <c r="AN50" s="59">
        <f ca="1">AVERAGE(OFFSET($AM$3,0,0,'Données projet'!$E$10+1,1))-AVERAGE(OFFSET($H$3,0,0,'Données projet'!$E$10+1,1))</f>
        <v>493.74122500490859</v>
      </c>
      <c r="AO50" s="59">
        <f t="shared" si="36"/>
        <v>299.43985151679692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4.1645734650568969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4.1645734650568969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163.18848000000006</v>
      </c>
      <c r="BF50" s="13">
        <f t="shared" si="37"/>
        <v>41.560857991048017</v>
      </c>
      <c r="BG50" s="20">
        <f t="shared" si="7"/>
        <v>356.60509700107536</v>
      </c>
      <c r="BH50" s="59">
        <f t="shared" si="8"/>
        <v>609.66633486527076</v>
      </c>
      <c r="BI50" s="59">
        <f ca="1">AVERAGE(OFFSET($BH$3,0,0,'Données projet'!$E$11+1,1))-AVERAGE(OFFSET($H$3,0,0,'Données projet'!$E$11+1,1))</f>
        <v>364.64276939439014</v>
      </c>
      <c r="BJ50" s="59">
        <f t="shared" si="38"/>
        <v>341.7578598026638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9.4110920167364025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9.4110920167364025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20</v>
      </c>
      <c r="BY50" s="12">
        <f>IF('Données projet'!$A$114&gt;35,BY49+BX50-CG49,IF(A50&lt;'Données projet'!$A$114,$BV$205^A50,IF(A50='Données projet'!$A$114,'Données projet'!$B$114,BY49+BX50-CG49)))</f>
        <v>449.00000000000028</v>
      </c>
      <c r="BZ50" s="13">
        <f>BY50*VLOOKUP('Données projet'!$B$12,Paramètres!$A$1:$I$89,3,0)*VLOOKUP('Données projet'!$B$12,Paramètres!$A$1:$I$89,5,0)</f>
        <v>268.50200000000018</v>
      </c>
      <c r="CA50" s="13">
        <f t="shared" si="39"/>
        <v>64.531253013339224</v>
      </c>
      <c r="CB50" s="20">
        <f t="shared" si="10"/>
        <v>580.03291566489941</v>
      </c>
      <c r="CC50" s="59">
        <f t="shared" si="11"/>
        <v>833.0941535290948</v>
      </c>
      <c r="CD50" s="59">
        <f ca="1">AVERAGE(OFFSET($CC$3,0,0,'Données projet'!$E$12+1,1))-AVERAGE(OFFSET($H$3,0,0,'Données projet'!$E$12+1,1))</f>
        <v>435.81281313761326</v>
      </c>
      <c r="CE50" s="59">
        <f t="shared" si="40"/>
        <v>460.93390058676493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41.129441416861269</v>
      </c>
      <c r="CL50" s="21">
        <f>EXP(-LN(2)/25)*CL49+(1-EXP(-LN(2)/25))/(LN(2)/25)*Calculateur!CG50*Calculateur!CI50*VLOOKUP('Données projet'!$B$12,Paramètres!$A$1:$I$89,3,0)*0.475*44/12</f>
        <v>32.860865262808858</v>
      </c>
      <c r="CM50" s="21">
        <f>EXP(-LN(2)/2)*CM49+(1-EXP(-LN(2)/2))/(LN(2)/2)*CG50*CJ50*VLOOKUP('Données projet'!$B$12,Paramètres!$A$1:$I$89,3,0)*0.475*44/12</f>
        <v>5.5098717763562481</v>
      </c>
      <c r="CN50" s="22">
        <f t="shared" si="12"/>
        <v>79.500178456026376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14</v>
      </c>
      <c r="CT50" s="12">
        <f>IF('Données projet'!$A$140&gt;35,CT49+CS50-DB49,IF(A50&lt;'Données projet'!$A$140,$CQ$205^A50,IF(A50='Données projet'!$A$140,'Données projet'!$B$140,CT49+CS50-DB49)))</f>
        <v>348</v>
      </c>
      <c r="CU50" s="17">
        <f>CT50*VLOOKUP('Données projet'!$B$13,Paramètres!$A$1:$I$89,3,0)*VLOOKUP('Données projet'!$B$13,Paramètres!$A$1:$I$89,5,0)</f>
        <v>162.864</v>
      </c>
      <c r="CV50" s="13">
        <f t="shared" si="41"/>
        <v>41.487830069509123</v>
      </c>
      <c r="CW50" s="20">
        <f t="shared" si="13"/>
        <v>355.91277070439509</v>
      </c>
      <c r="CX50" s="59">
        <f t="shared" si="14"/>
        <v>608.97400856859053</v>
      </c>
      <c r="CY50" s="59">
        <f ca="1">AVERAGE(OFFSET($CX$3,0,0,'Données projet'!$E$13+1,1))-AVERAGE(OFFSET($H$3,0,0,'Données projet'!$E$13+1,1))</f>
        <v>379.16472924112111</v>
      </c>
      <c r="CZ50" s="59">
        <f t="shared" si="42"/>
        <v>273.18950868898253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6.8973403606548924</v>
      </c>
      <c r="DG50" s="21">
        <f>EXP(-LN(2)/25)*DG49+(1-EXP(-LN(2)/25))/(LN(2)/25)*Calculateur!DB50*Calculateur!DD50*VLOOKUP('Données projet'!$B$13,Paramètres!$A$1:$I$89,3,0)*0.475*44/12</f>
        <v>15.010047019330255</v>
      </c>
      <c r="DH50" s="21">
        <f>EXP(-LN(2)/2)*DH49+(1-EXP(-LN(2)/2))/(LN(2)/2)*DB50*DE50*VLOOKUP('Données projet'!$B$13,Paramètres!$A$1:$I$89,3,0)*0.475*44/12</f>
        <v>0.752370558620299</v>
      </c>
      <c r="DI50" s="22">
        <f t="shared" si="15"/>
        <v>22.659757938605445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24.6</v>
      </c>
      <c r="DO50" s="12">
        <f>IF('Données projet'!$A$166&gt;35,DO49+DN50-DW49,IF(A50&lt;'Données projet'!$A$166,$DL$205^A50,IF(A50='Données projet'!$A$166,'Données projet'!$B$166,DO49+DN50-DW49)))</f>
        <v>527.20000000000039</v>
      </c>
      <c r="DP50" s="17">
        <f>DO50*VLOOKUP('Données projet'!$B$14,Paramètres!$A$1:$I$89,3,0)*VLOOKUP('Données projet'!$B$14,Paramètres!$A$1:$I$89,5,0)</f>
        <v>212.46160000000017</v>
      </c>
      <c r="DQ50" s="13">
        <f t="shared" si="43"/>
        <v>52.473141844135753</v>
      </c>
      <c r="DR50" s="20">
        <f t="shared" si="16"/>
        <v>461.42800871187006</v>
      </c>
      <c r="DS50" s="59">
        <f t="shared" si="17"/>
        <v>714.4892465760654</v>
      </c>
      <c r="DT50" s="59">
        <f ca="1">AVERAGE(OFFSET($DS$3,0,0,'Données projet'!$E$14+1,1))-AVERAGE(OFFSET($H$3,0,0,'Données projet'!$E$14+1,1))</f>
        <v>419.35339339286082</v>
      </c>
      <c r="DU50" s="59">
        <f t="shared" si="44"/>
        <v>359.03308141414709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36.111069850744265</v>
      </c>
      <c r="EB50" s="21">
        <f>EXP(-LN(2)/25)*EB49+(1-EXP(-LN(2)/25))/(LN(2)/25)*Calculateur!DW50*Calculateur!DY50*VLOOKUP('Données projet'!$B$14,Paramètres!$A$1:$I$89,3,0)*0.475*44/12</f>
        <v>25.868369842216204</v>
      </c>
      <c r="EC50" s="21">
        <f>EXP(-LN(2)/2)*EC49+(1-EXP(-LN(2)/2))/(LN(2)/2)*DW50*DZ50*VLOOKUP('Données projet'!$B$14,Paramètres!$A$1:$I$89,3,0)*0.475*44/12</f>
        <v>4.2924111480101317</v>
      </c>
      <c r="ED50" s="22">
        <f t="shared" si="18"/>
        <v>66.2718508409706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29.2</v>
      </c>
      <c r="EJ50" s="12">
        <f>IF('Données projet'!$A$192&gt;35,EJ49+EI50-ER49,IF(A50&lt;'Données projet'!$A$192,$EG$205^A50,IF(A50='Données projet'!$A$192,'Données projet'!$B$192,EJ49+EI50-ER49)))</f>
        <v>685.4000000000002</v>
      </c>
      <c r="EK50" s="17">
        <f>EJ50*VLOOKUP('Données projet'!$B$15,Paramètres!$A$1:$I$89,3,0)*VLOOKUP('Données projet'!$B$15,Paramètres!$A$1:$I$89,5,0)</f>
        <v>302.94680000000011</v>
      </c>
      <c r="EL50" s="13">
        <f t="shared" si="45"/>
        <v>71.793874065830792</v>
      </c>
      <c r="EM50" s="20">
        <f t="shared" si="19"/>
        <v>652.67334066465548</v>
      </c>
      <c r="EN50" s="59">
        <f t="shared" si="20"/>
        <v>905.73457852885088</v>
      </c>
      <c r="EO50" s="59">
        <f ca="1">AVERAGE(OFFSET($EN$3,0,0,'Données projet'!$E$15+1,1))-AVERAGE(OFFSET($H$3,0,0,'Données projet'!$E$15+1,1))</f>
        <v>561.50881628354409</v>
      </c>
      <c r="EP50" s="59">
        <f t="shared" si="46"/>
        <v>468.67708352238458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50.900650790207187</v>
      </c>
      <c r="EW50" s="21">
        <f>EXP(-LN(2)/25)*EW49+(1-EXP(-LN(2)/25))/(LN(2)/25)*Calculateur!ER50*Calculateur!ET50*VLOOKUP('Données projet'!$B$15,Paramètres!$A$1:$I$89,3,0)*0.475*44/12</f>
        <v>40.048615223349323</v>
      </c>
      <c r="EX50" s="21">
        <f>EXP(-LN(2)/2)*EX49+(1-EXP(-LN(2)/2))/(LN(2)/2)*ER50*EU50*VLOOKUP('Données projet'!$B$15,Paramètres!$A$1:$I$89,3,0)*0.475*44/12</f>
        <v>5.1851316703431909</v>
      </c>
      <c r="EY50" s="22">
        <f t="shared" si="21"/>
        <v>96.134397683899707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208.99999999999997</v>
      </c>
      <c r="O51" s="13">
        <f>N51*VLOOKUP('Données projet'!$B$9,Paramètres!$A$1:$I$89,3,0)*VLOOKUP('Données projet'!$B$9,Paramètres!$A$1:$I$89,5,0)</f>
        <v>189.10319999999996</v>
      </c>
      <c r="P51" s="13">
        <f t="shared" si="33"/>
        <v>47.34162854278712</v>
      </c>
      <c r="Q51" s="20">
        <f t="shared" si="53"/>
        <v>411.80807637868747</v>
      </c>
      <c r="R51" s="59">
        <f t="shared" si="0"/>
        <v>665.56794506435517</v>
      </c>
      <c r="S51" s="59">
        <f ca="1">AVERAGE(OFFSET($R$3,0,0,'Données projet'!$E$9+1,1))-AVERAGE(OFFSET($H$3,0,0,'Données projet'!$E$9+1,1))</f>
        <v>484.04602944257209</v>
      </c>
      <c r="T51" s="59">
        <f t="shared" si="34"/>
        <v>297.32483725004124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161.60000000000005</v>
      </c>
      <c r="AJ51" s="13">
        <f>AI51*VLOOKUP('Données projet'!$B$10,Paramètres!$A$1:$I$89,3,0)*VLOOKUP('Données projet'!$B$10,Paramètres!$A$1:$I$89,5,0)</f>
        <v>184.03008000000005</v>
      </c>
      <c r="AK51" s="13">
        <f t="shared" si="35"/>
        <v>46.217645990417758</v>
      </c>
      <c r="AL51" s="20">
        <f t="shared" si="4"/>
        <v>401.01478943331102</v>
      </c>
      <c r="AM51" s="59">
        <f t="shared" si="5"/>
        <v>654.77465811897878</v>
      </c>
      <c r="AN51" s="59">
        <f ca="1">AVERAGE(OFFSET($AM$3,0,0,'Données projet'!$E$10+1,1))-AVERAGE(OFFSET($H$3,0,0,'Données projet'!$E$10+1,1))</f>
        <v>493.74122500490859</v>
      </c>
      <c r="AO51" s="59">
        <f t="shared" si="36"/>
        <v>299.43985151679692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4.0829087195461273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4.0829087195461273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169.65312000000006</v>
      </c>
      <c r="BF51" s="13">
        <f t="shared" si="37"/>
        <v>43.012324771430336</v>
      </c>
      <c r="BG51" s="20">
        <f t="shared" si="7"/>
        <v>370.39231631024131</v>
      </c>
      <c r="BH51" s="59">
        <f t="shared" si="8"/>
        <v>624.15218499590901</v>
      </c>
      <c r="BI51" s="59">
        <f ca="1">AVERAGE(OFFSET($BH$3,0,0,'Données projet'!$E$11+1,1))-AVERAGE(OFFSET($H$3,0,0,'Données projet'!$E$11+1,1))</f>
        <v>364.64276939439014</v>
      </c>
      <c r="BJ51" s="59">
        <f t="shared" si="38"/>
        <v>341.7578598026638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9.2265462424875349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9.2265462424875349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20</v>
      </c>
      <c r="BY51" s="12">
        <f>IF('Données projet'!$A$114&gt;35,BY50+BX51-CG50,IF(A51&lt;'Données projet'!$A$114,$BV$205^A51,IF(A51='Données projet'!$A$114,'Données projet'!$B$114,BY50+BX51-CG50)))</f>
        <v>469.00000000000028</v>
      </c>
      <c r="BZ51" s="13">
        <f>BY51*VLOOKUP('Données projet'!$B$12,Paramètres!$A$1:$I$89,3,0)*VLOOKUP('Données projet'!$B$12,Paramètres!$A$1:$I$89,5,0)</f>
        <v>280.46200000000022</v>
      </c>
      <c r="CA51" s="13">
        <f t="shared" si="39"/>
        <v>67.064633392006456</v>
      </c>
      <c r="CB51" s="20">
        <f t="shared" si="10"/>
        <v>605.27555315774487</v>
      </c>
      <c r="CC51" s="59">
        <f t="shared" si="11"/>
        <v>859.03542184341256</v>
      </c>
      <c r="CD51" s="59">
        <f ca="1">AVERAGE(OFFSET($CC$3,0,0,'Données projet'!$E$12+1,1))-AVERAGE(OFFSET($H$3,0,0,'Données projet'!$E$12+1,1))</f>
        <v>435.81281313761326</v>
      </c>
      <c r="CE51" s="59">
        <f t="shared" si="40"/>
        <v>460.93390058676493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40.322918157158803</v>
      </c>
      <c r="CL51" s="21">
        <f>EXP(-LN(2)/25)*CL50+(1-EXP(-LN(2)/25))/(LN(2)/25)*Calculateur!CG51*Calculateur!CI51*VLOOKUP('Données projet'!$B$12,Paramètres!$A$1:$I$89,3,0)*0.475*44/12</f>
        <v>31.962283174119548</v>
      </c>
      <c r="CM51" s="21">
        <f>EXP(-LN(2)/2)*CM50+(1-EXP(-LN(2)/2))/(LN(2)/2)*CG51*CJ51*VLOOKUP('Données projet'!$B$12,Paramètres!$A$1:$I$89,3,0)*0.475*44/12</f>
        <v>3.8960676965298719</v>
      </c>
      <c r="CN51" s="22">
        <f t="shared" si="12"/>
        <v>76.181269027808227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14</v>
      </c>
      <c r="CT51" s="12">
        <f>IF('Données projet'!$A$140&gt;35,CT50+CS51-DB50,IF(A51&lt;'Données projet'!$A$140,$CQ$205^A51,IF(A51='Données projet'!$A$140,'Données projet'!$B$140,CT50+CS51-DB50)))</f>
        <v>362</v>
      </c>
      <c r="CU51" s="17">
        <f>CT51*VLOOKUP('Données projet'!$B$13,Paramètres!$A$1:$I$89,3,0)*VLOOKUP('Données projet'!$B$13,Paramètres!$A$1:$I$89,5,0)</f>
        <v>169.416</v>
      </c>
      <c r="CV51" s="13">
        <f t="shared" si="41"/>
        <v>42.959200828261054</v>
      </c>
      <c r="CW51" s="20">
        <f t="shared" si="13"/>
        <v>369.88680810922136</v>
      </c>
      <c r="CX51" s="59">
        <f t="shared" si="14"/>
        <v>623.64667679488912</v>
      </c>
      <c r="CY51" s="59">
        <f ca="1">AVERAGE(OFFSET($CX$3,0,0,'Données projet'!$E$13+1,1))-AVERAGE(OFFSET($H$3,0,0,'Données projet'!$E$13+1,1))</f>
        <v>379.16472924112111</v>
      </c>
      <c r="CZ51" s="59">
        <f t="shared" si="42"/>
        <v>273.18950868898253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6.762087723144667</v>
      </c>
      <c r="DG51" s="21">
        <f>EXP(-LN(2)/25)*DG50+(1-EXP(-LN(2)/25))/(LN(2)/25)*Calculateur!DB51*Calculateur!DD51*VLOOKUP('Données projet'!$B$13,Paramètres!$A$1:$I$89,3,0)*0.475*44/12</f>
        <v>14.599596494242602</v>
      </c>
      <c r="DH51" s="21">
        <f>EXP(-LN(2)/2)*DH50+(1-EXP(-LN(2)/2))/(LN(2)/2)*DB51*DE51*VLOOKUP('Données projet'!$B$13,Paramètres!$A$1:$I$89,3,0)*0.475*44/12</f>
        <v>0.53200632396552427</v>
      </c>
      <c r="DI51" s="22">
        <f t="shared" si="15"/>
        <v>21.893690541352797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24.6</v>
      </c>
      <c r="DO51" s="12">
        <f>IF('Données projet'!$A$166&gt;35,DO50+DN51-DW50,IF(A51&lt;'Données projet'!$A$166,$DL$205^A51,IF(A51='Données projet'!$A$166,'Données projet'!$B$166,DO50+DN51-DW50)))</f>
        <v>551.80000000000041</v>
      </c>
      <c r="DP51" s="17">
        <f>DO51*VLOOKUP('Données projet'!$B$14,Paramètres!$A$1:$I$89,3,0)*VLOOKUP('Données projet'!$B$14,Paramètres!$A$1:$I$89,5,0)</f>
        <v>222.37540000000018</v>
      </c>
      <c r="DQ51" s="13">
        <f t="shared" si="43"/>
        <v>54.630844038461554</v>
      </c>
      <c r="DR51" s="20">
        <f t="shared" si="16"/>
        <v>482.45254170032081</v>
      </c>
      <c r="DS51" s="59">
        <f t="shared" si="17"/>
        <v>736.21241038598851</v>
      </c>
      <c r="DT51" s="59">
        <f ca="1">AVERAGE(OFFSET($DS$3,0,0,'Données projet'!$E$14+1,1))-AVERAGE(OFFSET($H$3,0,0,'Données projet'!$E$14+1,1))</f>
        <v>419.35339339286082</v>
      </c>
      <c r="DU51" s="59">
        <f t="shared" si="44"/>
        <v>359.03308141414709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35.402953796548935</v>
      </c>
      <c r="EB51" s="21">
        <f>EXP(-LN(2)/25)*EB50+(1-EXP(-LN(2)/25))/(LN(2)/25)*Calculateur!DW51*Calculateur!DY51*VLOOKUP('Données projet'!$B$14,Paramètres!$A$1:$I$89,3,0)*0.475*44/12</f>
        <v>25.160997908522354</v>
      </c>
      <c r="EC51" s="21">
        <f>EXP(-LN(2)/2)*EC50+(1-EXP(-LN(2)/2))/(LN(2)/2)*DW51*DZ51*VLOOKUP('Données projet'!$B$14,Paramètres!$A$1:$I$89,3,0)*0.475*44/12</f>
        <v>3.0351930303986978</v>
      </c>
      <c r="ED51" s="22">
        <f t="shared" si="18"/>
        <v>63.599144735469984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29.2</v>
      </c>
      <c r="EJ51" s="12">
        <f>IF('Données projet'!$A$192&gt;35,EJ50+EI51-ER50,IF(A51&lt;'Données projet'!$A$192,$EG$205^A51,IF(A51='Données projet'!$A$192,'Données projet'!$B$192,EJ50+EI51-ER50)))</f>
        <v>714.60000000000025</v>
      </c>
      <c r="EK51" s="17">
        <f>EJ51*VLOOKUP('Données projet'!$B$15,Paramètres!$A$1:$I$89,3,0)*VLOOKUP('Données projet'!$B$15,Paramètres!$A$1:$I$89,5,0)</f>
        <v>315.85320000000013</v>
      </c>
      <c r="EL51" s="13">
        <f t="shared" si="45"/>
        <v>74.489877376880301</v>
      </c>
      <c r="EM51" s="20">
        <f t="shared" si="19"/>
        <v>679.84752643140007</v>
      </c>
      <c r="EN51" s="59">
        <f t="shared" si="20"/>
        <v>933.60739511706777</v>
      </c>
      <c r="EO51" s="59">
        <f ca="1">AVERAGE(OFFSET($EN$3,0,0,'Données projet'!$E$15+1,1))-AVERAGE(OFFSET($H$3,0,0,'Données projet'!$E$15+1,1))</f>
        <v>561.50881628354409</v>
      </c>
      <c r="EP51" s="59">
        <f t="shared" si="46"/>
        <v>468.67708352238458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49.902520074542636</v>
      </c>
      <c r="EW51" s="21">
        <f>EXP(-LN(2)/25)*EW50+(1-EXP(-LN(2)/25))/(LN(2)/25)*Calculateur!ER51*Calculateur!ET51*VLOOKUP('Données projet'!$B$15,Paramètres!$A$1:$I$89,3,0)*0.475*44/12</f>
        <v>38.953483734001694</v>
      </c>
      <c r="EX51" s="21">
        <f>EXP(-LN(2)/2)*EX50+(1-EXP(-LN(2)/2))/(LN(2)/2)*ER51*EU51*VLOOKUP('Données projet'!$B$15,Paramètres!$A$1:$I$89,3,0)*0.475*44/12</f>
        <v>3.6664417654448007</v>
      </c>
      <c r="EY51" s="22">
        <f t="shared" si="21"/>
        <v>92.522445573989131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219.99999999999997</v>
      </c>
      <c r="O52" s="13">
        <f>N52*VLOOKUP('Données projet'!$B$9,Paramètres!$A$1:$I$89,3,0)*VLOOKUP('Données projet'!$B$9,Paramètres!$A$1:$I$89,5,0)</f>
        <v>199.05599999999998</v>
      </c>
      <c r="P52" s="13">
        <f t="shared" si="33"/>
        <v>49.536648006253934</v>
      </c>
      <c r="Q52" s="20">
        <f t="shared" si="53"/>
        <v>432.96552861089225</v>
      </c>
      <c r="R52" s="59">
        <f t="shared" si="0"/>
        <v>687.41190843518416</v>
      </c>
      <c r="S52" s="59">
        <f ca="1">AVERAGE(OFFSET($R$3,0,0,'Données projet'!$E$9+1,1))-AVERAGE(OFFSET($H$3,0,0,'Données projet'!$E$9+1,1))</f>
        <v>484.04602944257209</v>
      </c>
      <c r="T52" s="59">
        <f t="shared" si="34"/>
        <v>297.32483725004124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169.80000000000004</v>
      </c>
      <c r="AJ52" s="13">
        <f>AI52*VLOOKUP('Données projet'!$B$10,Paramètres!$A$1:$I$89,3,0)*VLOOKUP('Données projet'!$B$10,Paramètres!$A$1:$I$89,5,0)</f>
        <v>193.36824000000004</v>
      </c>
      <c r="AK52" s="13">
        <f t="shared" si="35"/>
        <v>48.283859604107981</v>
      </c>
      <c r="AL52" s="20">
        <f t="shared" si="4"/>
        <v>420.87740681048814</v>
      </c>
      <c r="AM52" s="59">
        <f t="shared" si="5"/>
        <v>675.32378663478016</v>
      </c>
      <c r="AN52" s="59">
        <f ca="1">AVERAGE(OFFSET($AM$3,0,0,'Données projet'!$E$10+1,1))-AVERAGE(OFFSET($H$3,0,0,'Données projet'!$E$10+1,1))</f>
        <v>493.74122500490859</v>
      </c>
      <c r="AO52" s="59">
        <f t="shared" si="36"/>
        <v>299.43985151679692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4.0028453698842474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4.0028453698842474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176.11776000000006</v>
      </c>
      <c r="BF52" s="13">
        <f t="shared" si="37"/>
        <v>44.457366290237246</v>
      </c>
      <c r="BG52" s="20">
        <f t="shared" si="7"/>
        <v>384.16834495549665</v>
      </c>
      <c r="BH52" s="59">
        <f t="shared" si="8"/>
        <v>638.61472477978862</v>
      </c>
      <c r="BI52" s="59">
        <f ca="1">AVERAGE(OFFSET($BH$3,0,0,'Données projet'!$E$11+1,1))-AVERAGE(OFFSET($H$3,0,0,'Données projet'!$E$11+1,1))</f>
        <v>364.64276939439014</v>
      </c>
      <c r="BJ52" s="59">
        <f t="shared" si="38"/>
        <v>341.7578598026638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9.0456192983098784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9.0456192983098784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20</v>
      </c>
      <c r="BY52" s="12">
        <f>IF('Données projet'!$A$114&gt;35,BY51+BX52-CG51,IF(A52&lt;'Données projet'!$A$114,$BV$205^A52,IF(A52='Données projet'!$A$114,'Données projet'!$B$114,BY51+BX52-CG51)))</f>
        <v>489.00000000000028</v>
      </c>
      <c r="BZ52" s="13">
        <f>BY52*VLOOKUP('Données projet'!$B$12,Paramètres!$A$1:$I$89,3,0)*VLOOKUP('Données projet'!$B$12,Paramètres!$A$1:$I$89,5,0)</f>
        <v>292.4220000000002</v>
      </c>
      <c r="CA52" s="13">
        <f t="shared" si="39"/>
        <v>69.585465839061499</v>
      </c>
      <c r="CB52" s="20">
        <f t="shared" si="10"/>
        <v>630.49633633636574</v>
      </c>
      <c r="CC52" s="59">
        <f t="shared" si="11"/>
        <v>884.94271616065771</v>
      </c>
      <c r="CD52" s="59">
        <f ca="1">AVERAGE(OFFSET($CC$3,0,0,'Données projet'!$E$12+1,1))-AVERAGE(OFFSET($H$3,0,0,'Données projet'!$E$12+1,1))</f>
        <v>435.81281313761326</v>
      </c>
      <c r="CE52" s="59">
        <f t="shared" si="40"/>
        <v>460.93390058676493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39.532210326648482</v>
      </c>
      <c r="CL52" s="21">
        <f>EXP(-LN(2)/25)*CL51+(1-EXP(-LN(2)/25))/(LN(2)/25)*Calculateur!CG52*Calculateur!CI52*VLOOKUP('Données projet'!$B$12,Paramètres!$A$1:$I$89,3,0)*0.475*44/12</f>
        <v>31.088272859899828</v>
      </c>
      <c r="CM52" s="21">
        <f>EXP(-LN(2)/2)*CM51+(1-EXP(-LN(2)/2))/(LN(2)/2)*CG52*CJ52*VLOOKUP('Données projet'!$B$12,Paramètres!$A$1:$I$89,3,0)*0.475*44/12</f>
        <v>2.7549358881781245</v>
      </c>
      <c r="CN52" s="22">
        <f t="shared" si="12"/>
        <v>73.375419074726437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14</v>
      </c>
      <c r="CT52" s="12">
        <f>IF('Données projet'!$A$140&gt;35,CT51+CS52-DB51,IF(A52&lt;'Données projet'!$A$140,$CQ$205^A52,IF(A52='Données projet'!$A$140,'Données projet'!$B$140,CT51+CS52-DB51)))</f>
        <v>376</v>
      </c>
      <c r="CU52" s="17">
        <f>CT52*VLOOKUP('Données projet'!$B$13,Paramètres!$A$1:$I$89,3,0)*VLOOKUP('Données projet'!$B$13,Paramètres!$A$1:$I$89,5,0)</f>
        <v>175.96799999999999</v>
      </c>
      <c r="CV52" s="13">
        <f t="shared" si="41"/>
        <v>44.423961125650585</v>
      </c>
      <c r="CW52" s="20">
        <f t="shared" si="13"/>
        <v>383.84933229384137</v>
      </c>
      <c r="CX52" s="59">
        <f t="shared" si="14"/>
        <v>638.29571211813334</v>
      </c>
      <c r="CY52" s="59">
        <f ca="1">AVERAGE(OFFSET($CX$3,0,0,'Données projet'!$E$13+1,1))-AVERAGE(OFFSET($H$3,0,0,'Données projet'!$E$13+1,1))</f>
        <v>379.16472924112111</v>
      </c>
      <c r="CZ52" s="59">
        <f t="shared" si="42"/>
        <v>273.18950868898253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6.629487307360054</v>
      </c>
      <c r="DG52" s="21">
        <f>EXP(-LN(2)/25)*DG51+(1-EXP(-LN(2)/25))/(LN(2)/25)*Calculateur!DB52*Calculateur!DD52*VLOOKUP('Données projet'!$B$13,Paramètres!$A$1:$I$89,3,0)*0.475*44/12</f>
        <v>14.200369760348126</v>
      </c>
      <c r="DH52" s="21">
        <f>EXP(-LN(2)/2)*DH51+(1-EXP(-LN(2)/2))/(LN(2)/2)*DB52*DE52*VLOOKUP('Données projet'!$B$13,Paramètres!$A$1:$I$89,3,0)*0.475*44/12</f>
        <v>0.3761852793101495</v>
      </c>
      <c r="DI52" s="22">
        <f t="shared" si="15"/>
        <v>21.206042347018329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24.6</v>
      </c>
      <c r="DO52" s="12">
        <f>IF('Données projet'!$A$166&gt;35,DO51+DN52-DW51,IF(A52&lt;'Données projet'!$A$166,$DL$205^A52,IF(A52='Données projet'!$A$166,'Données projet'!$B$166,DO51+DN52-DW51)))</f>
        <v>576.40000000000043</v>
      </c>
      <c r="DP52" s="17">
        <f>DO52*VLOOKUP('Données projet'!$B$14,Paramètres!$A$1:$I$89,3,0)*VLOOKUP('Données projet'!$B$14,Paramètres!$A$1:$I$89,5,0)</f>
        <v>232.28920000000019</v>
      </c>
      <c r="DQ52" s="13">
        <f t="shared" si="43"/>
        <v>56.777374424265382</v>
      </c>
      <c r="DR52" s="20">
        <f t="shared" si="16"/>
        <v>503.45761712226255</v>
      </c>
      <c r="DS52" s="59">
        <f t="shared" si="17"/>
        <v>757.90399694655457</v>
      </c>
      <c r="DT52" s="59">
        <f ca="1">AVERAGE(OFFSET($DS$3,0,0,'Données projet'!$E$14+1,1))-AVERAGE(OFFSET($H$3,0,0,'Données projet'!$E$14+1,1))</f>
        <v>419.35339339286082</v>
      </c>
      <c r="DU52" s="59">
        <f t="shared" si="44"/>
        <v>359.03308141414709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34.708723466268232</v>
      </c>
      <c r="EB52" s="21">
        <f>EXP(-LN(2)/25)*EB51+(1-EXP(-LN(2)/25))/(LN(2)/25)*Calculateur!DW52*Calculateur!DY52*VLOOKUP('Données projet'!$B$14,Paramètres!$A$1:$I$89,3,0)*0.475*44/12</f>
        <v>24.472969097554437</v>
      </c>
      <c r="EC52" s="21">
        <f>EXP(-LN(2)/2)*EC51+(1-EXP(-LN(2)/2))/(LN(2)/2)*DW52*DZ52*VLOOKUP('Données projet'!$B$14,Paramètres!$A$1:$I$89,3,0)*0.475*44/12</f>
        <v>2.1462055740050663</v>
      </c>
      <c r="ED52" s="22">
        <f t="shared" si="18"/>
        <v>61.327898137827731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29.2</v>
      </c>
      <c r="EJ52" s="12">
        <f>IF('Données projet'!$A$192&gt;35,EJ51+EI52-ER51,IF(A52&lt;'Données projet'!$A$192,$EG$205^A52,IF(A52='Données projet'!$A$192,'Données projet'!$B$192,EJ51+EI52-ER51)))</f>
        <v>743.8000000000003</v>
      </c>
      <c r="EK52" s="17">
        <f>EJ52*VLOOKUP('Données projet'!$B$15,Paramètres!$A$1:$I$89,3,0)*VLOOKUP('Données projet'!$B$15,Paramètres!$A$1:$I$89,5,0)</f>
        <v>328.75960000000015</v>
      </c>
      <c r="EL52" s="13">
        <f t="shared" si="45"/>
        <v>77.173084268037925</v>
      </c>
      <c r="EM52" s="20">
        <f t="shared" si="19"/>
        <v>706.99942510016626</v>
      </c>
      <c r="EN52" s="59">
        <f t="shared" si="20"/>
        <v>961.44580492445823</v>
      </c>
      <c r="EO52" s="59">
        <f ca="1">AVERAGE(OFFSET($EN$3,0,0,'Données projet'!$E$15+1,1))-AVERAGE(OFFSET($H$3,0,0,'Données projet'!$E$15+1,1))</f>
        <v>561.50881628354409</v>
      </c>
      <c r="EP52" s="59">
        <f t="shared" si="46"/>
        <v>468.67708352238458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48.923962093412641</v>
      </c>
      <c r="EW52" s="21">
        <f>EXP(-LN(2)/25)*EW51+(1-EXP(-LN(2)/25))/(LN(2)/25)*Calculateur!ER52*Calculateur!ET52*VLOOKUP('Données projet'!$B$15,Paramètres!$A$1:$I$89,3,0)*0.475*44/12</f>
        <v>37.888298672820738</v>
      </c>
      <c r="EX52" s="21">
        <f>EXP(-LN(2)/2)*EX51+(1-EXP(-LN(2)/2))/(LN(2)/2)*ER52*EU52*VLOOKUP('Données projet'!$B$15,Paramètres!$A$1:$I$89,3,0)*0.475*44/12</f>
        <v>2.5925658351715959</v>
      </c>
      <c r="EY52" s="22">
        <f t="shared" si="21"/>
        <v>89.404826601404977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230.99999999999997</v>
      </c>
      <c r="O53" s="13">
        <f>N53*VLOOKUP('Données projet'!$B$9,Paramètres!$A$1:$I$89,3,0)*VLOOKUP('Données projet'!$B$9,Paramètres!$A$1:$I$89,5,0)</f>
        <v>209.00879999999995</v>
      </c>
      <c r="P53" s="13">
        <f t="shared" si="33"/>
        <v>51.718923953824202</v>
      </c>
      <c r="Q53" s="20">
        <f t="shared" si="53"/>
        <v>454.10078588624361</v>
      </c>
      <c r="R53" s="59">
        <f t="shared" si="0"/>
        <v>709.22176741571366</v>
      </c>
      <c r="S53" s="59">
        <f ca="1">AVERAGE(OFFSET($R$3,0,0,'Données projet'!$E$9+1,1))-AVERAGE(OFFSET($H$3,0,0,'Données projet'!$E$9+1,1))</f>
        <v>484.04602944257209</v>
      </c>
      <c r="T53" s="59">
        <f t="shared" si="34"/>
        <v>297.32483725004124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178.00000000000003</v>
      </c>
      <c r="AJ53" s="13">
        <f>AI53*VLOOKUP('Données projet'!$B$10,Paramètres!$A$1:$I$89,3,0)*VLOOKUP('Données projet'!$B$10,Paramètres!$A$1:$I$89,5,0)</f>
        <v>202.70640000000006</v>
      </c>
      <c r="AK53" s="13">
        <f t="shared" si="35"/>
        <v>50.338486442784308</v>
      </c>
      <c r="AL53" s="20">
        <f t="shared" si="4"/>
        <v>440.71984388784944</v>
      </c>
      <c r="AM53" s="59">
        <f t="shared" si="5"/>
        <v>695.84082541731959</v>
      </c>
      <c r="AN53" s="59">
        <f ca="1">AVERAGE(OFFSET($AM$3,0,0,'Données projet'!$E$10+1,1))-AVERAGE(OFFSET($H$3,0,0,'Données projet'!$E$10+1,1))</f>
        <v>493.74122500490859</v>
      </c>
      <c r="AO53" s="59">
        <f t="shared" si="36"/>
        <v>299.43985151679692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7.3347383048620589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7.3347383048620589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182.58240000000009</v>
      </c>
      <c r="BF53" s="13">
        <f t="shared" si="37"/>
        <v>45.896245406460288</v>
      </c>
      <c r="BG53" s="20">
        <f t="shared" si="7"/>
        <v>397.93364074958509</v>
      </c>
      <c r="BH53" s="59">
        <f t="shared" si="8"/>
        <v>653.05462227905514</v>
      </c>
      <c r="BI53" s="59">
        <f ca="1">AVERAGE(OFFSET($BH$3,0,0,'Données projet'!$E$11+1,1))-AVERAGE(OFFSET($H$3,0,0,'Données projet'!$E$11+1,1))</f>
        <v>364.64276939439014</v>
      </c>
      <c r="BJ53" s="59">
        <f t="shared" si="38"/>
        <v>341.7578598026638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0.17200000000000001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12.854810497608627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12.854810497608627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509</v>
      </c>
      <c r="BW53" s="12">
        <f>VLOOKUP(A53,'Données projet'!$A$113:$I$133,9,0)</f>
        <v>20</v>
      </c>
      <c r="BX53" s="12">
        <f t="array" ref="BX53">INDEX(BW:BW,MIN(IF(ISNUMBER(BW53:BW249),ROW(BW53:BW249),"")))</f>
        <v>20</v>
      </c>
      <c r="BY53" s="12">
        <f>IF('Données projet'!$A$114&gt;35,BY52+BX53-CG52,IF(A53&lt;'Données projet'!$A$114,$BV$205^A53,IF(A53='Données projet'!$A$114,'Données projet'!$B$114,BY52+BX53-CG52)))</f>
        <v>509.00000000000028</v>
      </c>
      <c r="BZ53" s="13">
        <f>BY53*VLOOKUP('Données projet'!$B$12,Paramètres!$A$1:$I$89,3,0)*VLOOKUP('Données projet'!$B$12,Paramètres!$A$1:$I$89,5,0)</f>
        <v>304.38200000000018</v>
      </c>
      <c r="CA53" s="13">
        <f t="shared" si="39"/>
        <v>72.094322263150417</v>
      </c>
      <c r="CB53" s="20">
        <f t="shared" si="10"/>
        <v>655.69626127498725</v>
      </c>
      <c r="CC53" s="59">
        <f t="shared" si="11"/>
        <v>910.81724280445735</v>
      </c>
      <c r="CD53" s="59">
        <f ca="1">AVERAGE(OFFSET($CC$3,0,0,'Données projet'!$E$12+1,1))-AVERAGE(OFFSET($H$3,0,0,'Données projet'!$E$12+1,1))</f>
        <v>435.81281313761326</v>
      </c>
      <c r="CE53" s="59">
        <f t="shared" si="40"/>
        <v>460.93390058676493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53</v>
      </c>
      <c r="CH53" s="16">
        <f>IF(ISNA(VLOOKUP(A53,'Données projet'!$A$113:$I$133,5,0)),0%,VLOOKUP(A53,'Données projet'!$A$113:$I$133,5,0)*VLOOKUP('Données projet'!$B$12,Paramètres!$A$1:$I$89,7,0))</f>
        <v>0.27</v>
      </c>
      <c r="CI53" s="16">
        <f>IF(ISNA(VLOOKUP(A53,'Données projet'!$A$113:$I$133,6,0)),0%,VLOOKUP(A53,'Données projet'!$A$113:$I$133,6,0)*VLOOKUP('Données projet'!$B$12,Paramètres!$A$1:$I$89,7,0))</f>
        <v>9.9000000000000005E-2</v>
      </c>
      <c r="CJ53" s="16">
        <f>IF(ISNA(VLOOKUP(A53,'Données projet'!$A$113:$I$133,7,0)),0%,VLOOKUP(A53,'Données projet'!$A$113:$I$133,7,0))</f>
        <v>0.18</v>
      </c>
      <c r="CK53" s="21">
        <f>EXP(-LN(2)/35)*CK52+(1-EXP(-LN(2)/35))/(LN(2)/35)*CG53*CH53*VLOOKUP('Données projet'!$B$12,Paramètres!$A$1:$I$89,3,0)*0.475*44/12</f>
        <v>50.108923934099529</v>
      </c>
      <c r="CL53" s="21">
        <f>EXP(-LN(2)/25)*CL52+(1-EXP(-LN(2)/25))/(LN(2)/25)*Calculateur!CG53*Calculateur!CI53*VLOOKUP('Données projet'!$B$12,Paramètres!$A$1:$I$89,3,0)*0.475*44/12</f>
        <v>34.384142821174954</v>
      </c>
      <c r="CM53" s="21">
        <f>EXP(-LN(2)/2)*CM52+(1-EXP(-LN(2)/2))/(LN(2)/2)*CG53*CJ53*VLOOKUP('Données projet'!$B$12,Paramètres!$A$1:$I$89,3,0)*0.475*44/12</f>
        <v>8.4073285270696214</v>
      </c>
      <c r="CN53" s="22">
        <f t="shared" si="12"/>
        <v>92.900395282344107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390</v>
      </c>
      <c r="CR53" s="12">
        <f>VLOOKUP(A53,'Données projet'!$A$139:$I$159,9,0)</f>
        <v>14</v>
      </c>
      <c r="CS53" s="12">
        <f t="array" ref="CS53">INDEX(CR:CR,MIN(IF(ISNUMBER(CR53:CR249),ROW(CR53:CR249),"")))</f>
        <v>14</v>
      </c>
      <c r="CT53" s="12">
        <f>IF('Données projet'!$A$140&gt;35,CT52+CS53-DB52,IF(A53&lt;'Données projet'!$A$140,$CQ$205^A53,IF(A53='Données projet'!$A$140,'Données projet'!$B$140,CT52+CS53-DB52)))</f>
        <v>390</v>
      </c>
      <c r="CU53" s="17">
        <f>CT53*VLOOKUP('Données projet'!$B$13,Paramètres!$A$1:$I$89,3,0)*VLOOKUP('Données projet'!$B$13,Paramètres!$A$1:$I$89,5,0)</f>
        <v>182.52</v>
      </c>
      <c r="CV53" s="13">
        <f t="shared" si="41"/>
        <v>45.882385280285632</v>
      </c>
      <c r="CW53" s="20">
        <f t="shared" si="13"/>
        <v>397.80082102983079</v>
      </c>
      <c r="CX53" s="59">
        <f t="shared" si="14"/>
        <v>652.92180255930089</v>
      </c>
      <c r="CY53" s="59">
        <f ca="1">AVERAGE(OFFSET($CX$3,0,0,'Données projet'!$E$13+1,1))-AVERAGE(OFFSET($H$3,0,0,'Données projet'!$E$13+1,1))</f>
        <v>379.16472924112111</v>
      </c>
      <c r="CZ53" s="59">
        <f t="shared" si="42"/>
        <v>273.18950868898253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50</v>
      </c>
      <c r="DC53" s="16">
        <f>IF(ISNA(VLOOKUP(A53,'Données projet'!$A$139:$I$159,5,0)),0%,VLOOKUP(A53,'Données projet'!$A$139:$I$159,5,0)*VLOOKUP('Données projet'!$B$13,Paramètres!$A$1:$I$89,7,0))</f>
        <v>0.22000000000000003</v>
      </c>
      <c r="DD53" s="16">
        <f>IF(ISNA(VLOOKUP(A53,'Données projet'!$A$139:$I$159,6,0)),0%,VLOOKUP(A53,'Données projet'!$A$139:$I$159,6,0)*VLOOKUP('Données projet'!$B$13,Paramètres!$A$1:$I$89,7,0))</f>
        <v>0.18700000000000003</v>
      </c>
      <c r="DE53" s="16">
        <f>IF(ISNA(VLOOKUP(A53,'Données projet'!$A$139:$I$159,7,0)),0%,VLOOKUP(A53,'Données projet'!$A$139:$I$159,7,0))</f>
        <v>0.26</v>
      </c>
      <c r="DF53" s="21">
        <f>EXP(-LN(2)/35)*DF52+(1-EXP(-LN(2)/35))/(LN(2)/35)*DB53*DC53*VLOOKUP('Données projet'!$B$13,Paramètres!$A$1:$I$89,3,0)*0.475*44/12</f>
        <v>13.328640921453463</v>
      </c>
      <c r="DG53" s="21">
        <f>EXP(-LN(2)/25)*DG52+(1-EXP(-LN(2)/25))/(LN(2)/25)*Calculateur!DB53*Calculateur!DD53*VLOOKUP('Données projet'!$B$13,Paramètres!$A$1:$I$89,3,0)*0.475*44/12</f>
        <v>19.593985013014318</v>
      </c>
      <c r="DH53" s="21">
        <f>EXP(-LN(2)/2)*DH52+(1-EXP(-LN(2)/2))/(LN(2)/2)*DB53*DE53*VLOOKUP('Données projet'!$B$13,Paramètres!$A$1:$I$89,3,0)*0.475*44/12</f>
        <v>7.1545044601337793</v>
      </c>
      <c r="DI53" s="22">
        <f t="shared" si="15"/>
        <v>40.077130394601561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601</v>
      </c>
      <c r="DM53" s="12">
        <f>VLOOKUP(A53,'Données projet'!$A$165:$I$185,9,0)</f>
        <v>24.6</v>
      </c>
      <c r="DN53" s="12">
        <f t="array" ref="DN53">INDEX(DM:DM,MIN(IF(ISNUMBER(DM53:DM249),ROW(DM53:DM249),"")))</f>
        <v>24.6</v>
      </c>
      <c r="DO53" s="12">
        <f>IF('Données projet'!$A$166&gt;35,DO52+DN53-DW52,IF(A53&lt;'Données projet'!$A$166,$DL$205^A53,IF(A53='Données projet'!$A$166,'Données projet'!$B$166,DO52+DN53-DW52)))</f>
        <v>601.00000000000045</v>
      </c>
      <c r="DP53" s="17">
        <f>DO53*VLOOKUP('Données projet'!$B$14,Paramètres!$A$1:$I$89,3,0)*VLOOKUP('Données projet'!$B$14,Paramètres!$A$1:$I$89,5,0)</f>
        <v>242.2030000000002</v>
      </c>
      <c r="DQ53" s="13">
        <f t="shared" si="43"/>
        <v>58.91326430821686</v>
      </c>
      <c r="DR53" s="20">
        <f t="shared" si="16"/>
        <v>524.44416033681136</v>
      </c>
      <c r="DS53" s="59">
        <f t="shared" si="17"/>
        <v>779.56514186628146</v>
      </c>
      <c r="DT53" s="59">
        <f ca="1">AVERAGE(OFFSET($DS$3,0,0,'Données projet'!$E$14+1,1))-AVERAGE(OFFSET($H$3,0,0,'Données projet'!$E$14+1,1))</f>
        <v>419.35339339286082</v>
      </c>
      <c r="DU53" s="59">
        <f t="shared" si="44"/>
        <v>359.03308141414709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70</v>
      </c>
      <c r="DX53" s="16">
        <f>IF(ISNA(VLOOKUP(A53,'Données projet'!$A$165:$I$185,5,0)),0%,VLOOKUP(A53,'Données projet'!$A$165:$I$185,5,0)*VLOOKUP('Données projet'!$B$14,Paramètres!$A$1:$I$89,7,0))</f>
        <v>0.33</v>
      </c>
      <c r="DY53" s="16">
        <f>IF(ISNA(VLOOKUP(A53,'Données projet'!$A$165:$I$185,6,0)),0%,VLOOKUP(A53,'Données projet'!$A$165:$I$185,6,0)*VLOOKUP('Données projet'!$B$14,Paramètres!$A$1:$I$89,7,0))</f>
        <v>0.12100000000000001</v>
      </c>
      <c r="DZ53" s="16">
        <f>IF(ISNA(VLOOKUP(A53,'Données projet'!$A$165:$I$185,7,0)),0%,VLOOKUP(A53,'Données projet'!$A$165:$I$185,7,0))</f>
        <v>0.18</v>
      </c>
      <c r="EA53" s="21">
        <f>EXP(-LN(2)/35)*EA52+(1-EXP(-LN(2)/35))/(LN(2)/35)*DW53*DX53*VLOOKUP('Données projet'!$B$14,Paramètres!$A$1:$I$89,3,0)*0.475*44/12</f>
        <v>46.377493054348946</v>
      </c>
      <c r="EB53" s="21">
        <f>EXP(-LN(2)/25)*EB52+(1-EXP(-LN(2)/25))/(LN(2)/25)*Calculateur!DW53*Calculateur!DY53*VLOOKUP('Données projet'!$B$14,Paramètres!$A$1:$I$89,3,0)*0.475*44/12</f>
        <v>28.314033960418062</v>
      </c>
      <c r="EC53" s="21">
        <f>EXP(-LN(2)/2)*EC52+(1-EXP(-LN(2)/2))/(LN(2)/2)*DW53*DZ53*VLOOKUP('Données projet'!$B$14,Paramètres!$A$1:$I$89,3,0)*0.475*44/12</f>
        <v>7.2668456755792379</v>
      </c>
      <c r="ED53" s="22">
        <f t="shared" si="18"/>
        <v>81.958372690346238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773</v>
      </c>
      <c r="EH53" s="12">
        <f>VLOOKUP(A53,'Données projet'!$A$191:$I$211,9,0)</f>
        <v>29.2</v>
      </c>
      <c r="EI53" s="12">
        <f t="array" ref="EI53">INDEX(EH:EH,MIN(IF(ISNUMBER(EH53:EH249),ROW(EH53:EH249),"")))</f>
        <v>29.2</v>
      </c>
      <c r="EJ53" s="12">
        <f>IF('Données projet'!$A$192&gt;35,EJ52+EI53-ER52,IF(A53&lt;'Données projet'!$A$192,$EG$205^A53,IF(A53='Données projet'!$A$192,'Données projet'!$B$192,EJ52+EI53-ER52)))</f>
        <v>773.00000000000034</v>
      </c>
      <c r="EK53" s="17">
        <f>EJ53*VLOOKUP('Données projet'!$B$15,Paramètres!$A$1:$I$89,3,0)*VLOOKUP('Données projet'!$B$15,Paramètres!$A$1:$I$89,5,0)</f>
        <v>341.66600000000017</v>
      </c>
      <c r="EL53" s="13">
        <f t="shared" si="45"/>
        <v>79.84405458764067</v>
      </c>
      <c r="EM53" s="20">
        <f t="shared" si="19"/>
        <v>734.13001174014119</v>
      </c>
      <c r="EN53" s="59">
        <f t="shared" si="20"/>
        <v>989.25099326961129</v>
      </c>
      <c r="EO53" s="59">
        <f ca="1">AVERAGE(OFFSET($EN$3,0,0,'Données projet'!$E$15+1,1))-AVERAGE(OFFSET($H$3,0,0,'Données projet'!$E$15+1,1))</f>
        <v>561.50881628354409</v>
      </c>
      <c r="EP53" s="59">
        <f t="shared" si="46"/>
        <v>468.67708352238458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63</v>
      </c>
      <c r="ES53" s="16">
        <f>IF(ISNA(VLOOKUP(A53,'Données projet'!$A$191:$I$211,5,0)),0%,VLOOKUP(A53,'Données projet'!$A$191:$I$211,5,0)*VLOOKUP('Données projet'!$B$15,Paramètres!$A$1:$I$89,7,0))</f>
        <v>0.33</v>
      </c>
      <c r="ET53" s="16">
        <f>IF(ISNA(VLOOKUP(A53,'Données projet'!$A$191:$I$211,6,0)),0%,VLOOKUP(A53,'Données projet'!$A$191:$I$211,6,0)*VLOOKUP('Données projet'!$B$15,Paramètres!$A$1:$I$89,7,0))</f>
        <v>0.12100000000000001</v>
      </c>
      <c r="EU53" s="16">
        <f>IF(ISNA(VLOOKUP(A53,'Données projet'!$A$191:$I$211,7,0)),0%,VLOOKUP(A53,'Données projet'!$A$191:$I$211,7,0))</f>
        <v>0.18</v>
      </c>
      <c r="EV53" s="21">
        <f>EXP(-LN(2)/35)*EV52+(1-EXP(-LN(2)/35))/(LN(2)/35)*ER53*ES53*VLOOKUP('Données projet'!$B$15,Paramètres!$A$1:$I$89,3,0)*0.475*44/12</f>
        <v>60.154632600067089</v>
      </c>
      <c r="EW53" s="21">
        <f>EXP(-LN(2)/25)*EW52+(1-EXP(-LN(2)/25))/(LN(2)/25)*Calculateur!ER53*Calculateur!ET53*VLOOKUP('Données projet'!$B$15,Paramètres!$A$1:$I$89,3,0)*0.475*44/12</f>
        <v>41.304323488259911</v>
      </c>
      <c r="EX53" s="21">
        <f>EXP(-LN(2)/2)*EX52+(1-EXP(-LN(2)/2))/(LN(2)/2)*ER53*EU53*VLOOKUP('Données projet'!$B$15,Paramètres!$A$1:$I$89,3,0)*0.475*44/12</f>
        <v>7.5082861829683551</v>
      </c>
      <c r="EY53" s="22">
        <f t="shared" si="21"/>
        <v>108.96724227129536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213.19999999999996</v>
      </c>
      <c r="O54" s="13">
        <f>N54*VLOOKUP('Données projet'!$B$9,Paramètres!$A$1:$I$89,3,0)*VLOOKUP('Données projet'!$B$9,Paramètres!$A$1:$I$89,5,0)</f>
        <v>192.90335999999994</v>
      </c>
      <c r="P54" s="13">
        <f t="shared" si="33"/>
        <v>48.181276881765257</v>
      </c>
      <c r="Q54" s="20">
        <f t="shared" si="53"/>
        <v>419.88907590240768</v>
      </c>
      <c r="R54" s="59">
        <f t="shared" si="0"/>
        <v>675.67295630565445</v>
      </c>
      <c r="S54" s="59">
        <f ca="1">AVERAGE(OFFSET($R$3,0,0,'Données projet'!$E$9+1,1))-AVERAGE(OFFSET($H$3,0,0,'Données projet'!$E$9+1,1))</f>
        <v>484.04602944257209</v>
      </c>
      <c r="T54" s="59">
        <f t="shared" si="34"/>
        <v>297.32483725004124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165.00000000000003</v>
      </c>
      <c r="AJ54" s="13">
        <f>AI54*VLOOKUP('Données projet'!$B$10,Paramètres!$A$1:$I$89,3,0)*VLOOKUP('Données projet'!$B$10,Paramètres!$A$1:$I$89,5,0)</f>
        <v>187.90200000000004</v>
      </c>
      <c r="AK54" s="13">
        <f t="shared" si="35"/>
        <v>47.075815521257859</v>
      </c>
      <c r="AL54" s="20">
        <f t="shared" si="4"/>
        <v>409.25302869952412</v>
      </c>
      <c r="AM54" s="59">
        <f t="shared" si="5"/>
        <v>665.03690910277101</v>
      </c>
      <c r="AN54" s="59">
        <f ca="1">AVERAGE(OFFSET($AM$3,0,0,'Données projet'!$E$10+1,1))-AVERAGE(OFFSET($H$3,0,0,'Données projet'!$E$10+1,1))</f>
        <v>493.74122500490859</v>
      </c>
      <c r="AO54" s="59">
        <f t="shared" si="36"/>
        <v>299.43985151679692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7.1909085604523337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7.1909085604523337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167.38176000000007</v>
      </c>
      <c r="BF54" s="13">
        <f t="shared" si="37"/>
        <v>42.503096259839239</v>
      </c>
      <c r="BG54" s="20">
        <f t="shared" si="7"/>
        <v>365.5494579858867</v>
      </c>
      <c r="BH54" s="59">
        <f t="shared" si="8"/>
        <v>621.33333838913359</v>
      </c>
      <c r="BI54" s="59">
        <f ca="1">AVERAGE(OFFSET($BH$3,0,0,'Données projet'!$E$11+1,1))-AVERAGE(OFFSET($H$3,0,0,'Données projet'!$E$11+1,1))</f>
        <v>364.64276939439014</v>
      </c>
      <c r="BJ54" s="59">
        <f t="shared" si="38"/>
        <v>341.7578598026638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12.602735504410724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12.602735504410724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18.399999999999999</v>
      </c>
      <c r="BY54" s="12">
        <f>IF('Données projet'!$A$114&gt;35,BY53+BX54-CG53,IF(A54&lt;'Données projet'!$A$114,$BV$205^A54,IF(A54='Données projet'!$A$114,'Données projet'!$B$114,BY53+BX54-CG53)))</f>
        <v>474.40000000000032</v>
      </c>
      <c r="BZ54" s="13">
        <f>BY54*VLOOKUP('Données projet'!$B$12,Paramètres!$A$1:$I$89,3,0)*VLOOKUP('Données projet'!$B$12,Paramètres!$A$1:$I$89,5,0)</f>
        <v>283.69120000000021</v>
      </c>
      <c r="CA54" s="13">
        <f t="shared" si="39"/>
        <v>67.746469973847553</v>
      </c>
      <c r="CB54" s="20">
        <f t="shared" si="10"/>
        <v>612.08727520445143</v>
      </c>
      <c r="CC54" s="59">
        <f t="shared" si="11"/>
        <v>867.87115560769826</v>
      </c>
      <c r="CD54" s="59">
        <f ca="1">AVERAGE(OFFSET($CC$3,0,0,'Données projet'!$E$12+1,1))-AVERAGE(OFFSET($H$3,0,0,'Données projet'!$E$12+1,1))</f>
        <v>435.81281313761326</v>
      </c>
      <c r="CE54" s="59">
        <f t="shared" si="40"/>
        <v>460.93390058676493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49.12631849917755</v>
      </c>
      <c r="CL54" s="21">
        <f>EXP(-LN(2)/25)*CL53+(1-EXP(-LN(2)/25))/(LN(2)/25)*Calculateur!CG54*Calculateur!CI54*VLOOKUP('Données projet'!$B$12,Paramètres!$A$1:$I$89,3,0)*0.475*44/12</f>
        <v>33.44390662754644</v>
      </c>
      <c r="CM54" s="21">
        <f>EXP(-LN(2)/2)*CM53+(1-EXP(-LN(2)/2))/(LN(2)/2)*CG54*CJ54*VLOOKUP('Données projet'!$B$12,Paramètres!$A$1:$I$89,3,0)*0.475*44/12</f>
        <v>5.9448790131540381</v>
      </c>
      <c r="CN54" s="22">
        <f t="shared" si="12"/>
        <v>88.515104139878019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13</v>
      </c>
      <c r="CT54" s="12">
        <f>IF('Données projet'!$A$140&gt;35,CT53+CS54-DB53,IF(A54&lt;'Données projet'!$A$140,$CQ$205^A54,IF(A54='Données projet'!$A$140,'Données projet'!$B$140,CT53+CS54-DB53)))</f>
        <v>353</v>
      </c>
      <c r="CU54" s="17">
        <f>CT54*VLOOKUP('Données projet'!$B$13,Paramètres!$A$1:$I$89,3,0)*VLOOKUP('Données projet'!$B$13,Paramètres!$A$1:$I$89,5,0)</f>
        <v>165.20400000000001</v>
      </c>
      <c r="CV54" s="13">
        <f t="shared" si="41"/>
        <v>42.01409666579589</v>
      </c>
      <c r="CW54" s="20">
        <f t="shared" si="13"/>
        <v>360.90485169292782</v>
      </c>
      <c r="CX54" s="59">
        <f t="shared" si="14"/>
        <v>616.68873209617459</v>
      </c>
      <c r="CY54" s="59">
        <f ca="1">AVERAGE(OFFSET($CX$3,0,0,'Données projet'!$E$13+1,1))-AVERAGE(OFFSET($H$3,0,0,'Données projet'!$E$13+1,1))</f>
        <v>379.16472924112111</v>
      </c>
      <c r="CZ54" s="59">
        <f t="shared" si="42"/>
        <v>273.18950868898253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13.067274402651984</v>
      </c>
      <c r="DG54" s="21">
        <f>EXP(-LN(2)/25)*DG53+(1-EXP(-LN(2)/25))/(LN(2)/25)*Calculateur!DB54*Calculateur!DD54*VLOOKUP('Données projet'!$B$13,Paramètres!$A$1:$I$89,3,0)*0.475*44/12</f>
        <v>19.058186462430552</v>
      </c>
      <c r="DH54" s="21">
        <f>EXP(-LN(2)/2)*DH53+(1-EXP(-LN(2)/2))/(LN(2)/2)*DB54*DE54*VLOOKUP('Données projet'!$B$13,Paramètres!$A$1:$I$89,3,0)*0.475*44/12</f>
        <v>5.0589986197899952</v>
      </c>
      <c r="DI54" s="22">
        <f t="shared" si="15"/>
        <v>37.184459484872534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23</v>
      </c>
      <c r="DO54" s="12">
        <f>IF('Données projet'!$A$166&gt;35,DO53+DN54-DW53,IF(A54&lt;'Données projet'!$A$166,$DL$205^A54,IF(A54='Données projet'!$A$166,'Données projet'!$B$166,DO53+DN54-DW53)))</f>
        <v>554.00000000000045</v>
      </c>
      <c r="DP54" s="17">
        <f>DO54*VLOOKUP('Données projet'!$B$14,Paramètres!$A$1:$I$89,3,0)*VLOOKUP('Données projet'!$B$14,Paramètres!$A$1:$I$89,5,0)</f>
        <v>223.2620000000002</v>
      </c>
      <c r="DQ54" s="13">
        <f t="shared" si="43"/>
        <v>54.823256841257262</v>
      </c>
      <c r="DR54" s="20">
        <f t="shared" si="16"/>
        <v>484.33182233185659</v>
      </c>
      <c r="DS54" s="59">
        <f t="shared" si="17"/>
        <v>740.11570273510347</v>
      </c>
      <c r="DT54" s="59">
        <f ca="1">AVERAGE(OFFSET($DS$3,0,0,'Données projet'!$E$14+1,1))-AVERAGE(OFFSET($H$3,0,0,'Données projet'!$E$14+1,1))</f>
        <v>419.35339339286082</v>
      </c>
      <c r="DU54" s="59">
        <f t="shared" si="44"/>
        <v>359.03308141414709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45.468058703030771</v>
      </c>
      <c r="EB54" s="21">
        <f>EXP(-LN(2)/25)*EB53+(1-EXP(-LN(2)/25))/(LN(2)/25)*Calculateur!DW54*Calculateur!DY54*VLOOKUP('Données projet'!$B$14,Paramètres!$A$1:$I$89,3,0)*0.475*44/12</f>
        <v>27.539785212800098</v>
      </c>
      <c r="EC54" s="21">
        <f>EXP(-LN(2)/2)*EC53+(1-EXP(-LN(2)/2))/(LN(2)/2)*DW54*DZ54*VLOOKUP('Données projet'!$B$14,Paramètres!$A$1:$I$89,3,0)*0.475*44/12</f>
        <v>5.1384358550382174</v>
      </c>
      <c r="ED54" s="22">
        <f t="shared" si="18"/>
        <v>78.146279770869086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25.8</v>
      </c>
      <c r="EJ54" s="12">
        <f>IF('Données projet'!$A$192&gt;35,EJ53+EI54-ER53,IF(A54&lt;'Données projet'!$A$192,$EG$205^A54,IF(A54='Données projet'!$A$192,'Données projet'!$B$192,EJ53+EI54-ER53)))</f>
        <v>735.8000000000003</v>
      </c>
      <c r="EK54" s="17">
        <f>EJ54*VLOOKUP('Données projet'!$B$15,Paramètres!$A$1:$I$89,3,0)*VLOOKUP('Données projet'!$B$15,Paramètres!$A$1:$I$89,5,0)</f>
        <v>325.22360000000015</v>
      </c>
      <c r="EL54" s="13">
        <f t="shared" si="45"/>
        <v>76.439198875311163</v>
      </c>
      <c r="EM54" s="20">
        <f t="shared" si="19"/>
        <v>699.56270804116718</v>
      </c>
      <c r="EN54" s="59">
        <f t="shared" si="20"/>
        <v>955.34658844441401</v>
      </c>
      <c r="EO54" s="59">
        <f ca="1">AVERAGE(OFFSET($EN$3,0,0,'Données projet'!$E$15+1,1))-AVERAGE(OFFSET($H$3,0,0,'Données projet'!$E$15+1,1))</f>
        <v>561.50881628354409</v>
      </c>
      <c r="EP54" s="59">
        <f t="shared" si="46"/>
        <v>468.67708352238458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58.975036945482756</v>
      </c>
      <c r="EW54" s="21">
        <f>EXP(-LN(2)/25)*EW53+(1-EXP(-LN(2)/25))/(LN(2)/25)*Calculateur!ER54*Calculateur!ET54*VLOOKUP('Données projet'!$B$15,Paramètres!$A$1:$I$89,3,0)*0.475*44/12</f>
        <v>40.174854590373471</v>
      </c>
      <c r="EX54" s="21">
        <f>EXP(-LN(2)/2)*EX53+(1-EXP(-LN(2)/2))/(LN(2)/2)*ER54*EU54*VLOOKUP('Données projet'!$B$15,Paramètres!$A$1:$I$89,3,0)*0.475*44/12</f>
        <v>5.3091600750661829</v>
      </c>
      <c r="EY54" s="22">
        <f t="shared" si="21"/>
        <v>104.45905161092242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223.39999999999995</v>
      </c>
      <c r="O55" s="13">
        <f>N55*VLOOKUP('Données projet'!$B$9,Paramètres!$A$1:$I$89,3,0)*VLOOKUP('Données projet'!$B$9,Paramètres!$A$1:$I$89,5,0)</f>
        <v>202.13231999999996</v>
      </c>
      <c r="P55" s="13">
        <f t="shared" si="33"/>
        <v>50.212497488959627</v>
      </c>
      <c r="Q55" s="20">
        <f t="shared" si="53"/>
        <v>439.50055712660463</v>
      </c>
      <c r="R55" s="59">
        <f t="shared" si="0"/>
        <v>695.93583659018805</v>
      </c>
      <c r="S55" s="59">
        <f ca="1">AVERAGE(OFFSET($R$3,0,0,'Données projet'!$E$9+1,1))-AVERAGE(OFFSET($H$3,0,0,'Données projet'!$E$9+1,1))</f>
        <v>484.04602944257209</v>
      </c>
      <c r="T55" s="59">
        <f t="shared" si="34"/>
        <v>297.32483725004124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173.00000000000003</v>
      </c>
      <c r="AJ55" s="13">
        <f>AI55*VLOOKUP('Données projet'!$B$10,Paramètres!$A$1:$I$89,3,0)*VLOOKUP('Données projet'!$B$10,Paramètres!$A$1:$I$89,5,0)</f>
        <v>197.01240000000004</v>
      </c>
      <c r="AK55" s="13">
        <f t="shared" si="35"/>
        <v>49.087009643867567</v>
      </c>
      <c r="AL55" s="20">
        <f t="shared" si="4"/>
        <v>428.62313846306938</v>
      </c>
      <c r="AM55" s="59">
        <f t="shared" si="5"/>
        <v>685.05841792665274</v>
      </c>
      <c r="AN55" s="59">
        <f ca="1">AVERAGE(OFFSET($AM$3,0,0,'Données projet'!$E$10+1,1))-AVERAGE(OFFSET($H$3,0,0,'Données projet'!$E$10+1,1))</f>
        <v>493.74122500490859</v>
      </c>
      <c r="AO55" s="59">
        <f t="shared" si="36"/>
        <v>299.43985151679692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7.0498992296030014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7.0498992296030014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173.14752000000007</v>
      </c>
      <c r="BF55" s="13">
        <f t="shared" si="37"/>
        <v>43.794208927254068</v>
      </c>
      <c r="BG55" s="20">
        <f t="shared" si="7"/>
        <v>377.84017788163425</v>
      </c>
      <c r="BH55" s="59">
        <f t="shared" si="8"/>
        <v>634.27545734521755</v>
      </c>
      <c r="BI55" s="59">
        <f ca="1">AVERAGE(OFFSET($BH$3,0,0,'Données projet'!$E$11+1,1))-AVERAGE(OFFSET($H$3,0,0,'Données projet'!$E$11+1,1))</f>
        <v>364.64276939439014</v>
      </c>
      <c r="BJ55" s="59">
        <f t="shared" si="38"/>
        <v>341.7578598026638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12.355603548078868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12.355603548078868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18.399999999999999</v>
      </c>
      <c r="BY55" s="12">
        <f>IF('Données projet'!$A$114&gt;35,BY54+BX55-CG54,IF(A55&lt;'Données projet'!$A$114,$BV$205^A55,IF(A55='Données projet'!$A$114,'Données projet'!$B$114,BY54+BX55-CG54)))</f>
        <v>492.8000000000003</v>
      </c>
      <c r="BZ55" s="13">
        <f>BY55*VLOOKUP('Données projet'!$B$12,Paramètres!$A$1:$I$89,3,0)*VLOOKUP('Données projet'!$B$12,Paramètres!$A$1:$I$89,5,0)</f>
        <v>294.6944000000002</v>
      </c>
      <c r="CA55" s="13">
        <f t="shared" si="39"/>
        <v>70.063053488002765</v>
      </c>
      <c r="CB55" s="20">
        <f t="shared" si="10"/>
        <v>635.28589815827183</v>
      </c>
      <c r="CC55" s="59">
        <f t="shared" si="11"/>
        <v>891.72117762185519</v>
      </c>
      <c r="CD55" s="59">
        <f ca="1">AVERAGE(OFFSET($CC$3,0,0,'Données projet'!$E$12+1,1))-AVERAGE(OFFSET($H$3,0,0,'Données projet'!$E$12+1,1))</f>
        <v>435.81281313761326</v>
      </c>
      <c r="CE55" s="59">
        <f t="shared" si="40"/>
        <v>460.93390058676493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48.162981357504258</v>
      </c>
      <c r="CL55" s="21">
        <f>EXP(-LN(2)/25)*CL54+(1-EXP(-LN(2)/25))/(LN(2)/25)*Calculateur!CG55*Calculateur!CI55*VLOOKUP('Données projet'!$B$12,Paramètres!$A$1:$I$89,3,0)*0.475*44/12</f>
        <v>32.529381242077569</v>
      </c>
      <c r="CM55" s="21">
        <f>EXP(-LN(2)/2)*CM54+(1-EXP(-LN(2)/2))/(LN(2)/2)*CG55*CJ55*VLOOKUP('Données projet'!$B$12,Paramètres!$A$1:$I$89,3,0)*0.475*44/12</f>
        <v>4.2036642635348116</v>
      </c>
      <c r="CN55" s="22">
        <f t="shared" si="12"/>
        <v>84.896026863116646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</v>
      </c>
      <c r="CT55" s="12">
        <f>IF('Données projet'!$A$140&gt;35,CT54+CS55-DB54,IF(A55&lt;'Données projet'!$A$140,$CQ$205^A55,IF(A55='Données projet'!$A$140,'Données projet'!$B$140,CT54+CS55-DB54)))</f>
        <v>366</v>
      </c>
      <c r="CU55" s="17">
        <f>CT55*VLOOKUP('Données projet'!$B$13,Paramètres!$A$1:$I$89,3,0)*VLOOKUP('Données projet'!$B$13,Paramètres!$A$1:$I$89,5,0)</f>
        <v>171.28799999999998</v>
      </c>
      <c r="CV55" s="13">
        <f t="shared" si="41"/>
        <v>43.37836589572138</v>
      </c>
      <c r="CW55" s="20">
        <f t="shared" si="13"/>
        <v>373.87725393504803</v>
      </c>
      <c r="CX55" s="59">
        <f t="shared" si="14"/>
        <v>630.31253339863133</v>
      </c>
      <c r="CY55" s="59">
        <f ca="1">AVERAGE(OFFSET($CX$3,0,0,'Données projet'!$E$13+1,1))-AVERAGE(OFFSET($H$3,0,0,'Données projet'!$E$13+1,1))</f>
        <v>379.16472924112111</v>
      </c>
      <c r="CZ55" s="59">
        <f t="shared" si="42"/>
        <v>273.18950868898253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12.811033121866368</v>
      </c>
      <c r="DG55" s="21">
        <f>EXP(-LN(2)/25)*DG54+(1-EXP(-LN(2)/25))/(LN(2)/25)*Calculateur!DB55*Calculateur!DD55*VLOOKUP('Données projet'!$B$13,Paramètres!$A$1:$I$89,3,0)*0.475*44/12</f>
        <v>18.53703935138892</v>
      </c>
      <c r="DH55" s="21">
        <f>EXP(-LN(2)/2)*DH54+(1-EXP(-LN(2)/2))/(LN(2)/2)*DB55*DE55*VLOOKUP('Données projet'!$B$13,Paramètres!$A$1:$I$89,3,0)*0.475*44/12</f>
        <v>3.5772522300668905</v>
      </c>
      <c r="DI55" s="22">
        <f t="shared" si="15"/>
        <v>34.925324703322175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23</v>
      </c>
      <c r="DO55" s="12">
        <f>IF('Données projet'!$A$166&gt;35,DO54+DN55-DW54,IF(A55&lt;'Données projet'!$A$166,$DL$205^A55,IF(A55='Données projet'!$A$166,'Données projet'!$B$166,DO54+DN55-DW54)))</f>
        <v>577.00000000000045</v>
      </c>
      <c r="DP55" s="17">
        <f>DO55*VLOOKUP('Données projet'!$B$14,Paramètres!$A$1:$I$89,3,0)*VLOOKUP('Données projet'!$B$14,Paramètres!$A$1:$I$89,5,0)</f>
        <v>232.5310000000002</v>
      </c>
      <c r="DQ55" s="13">
        <f t="shared" si="43"/>
        <v>56.829593837725618</v>
      </c>
      <c r="DR55" s="20">
        <f t="shared" si="16"/>
        <v>503.96970093403911</v>
      </c>
      <c r="DS55" s="59">
        <f t="shared" si="17"/>
        <v>760.40498039762247</v>
      </c>
      <c r="DT55" s="59">
        <f ca="1">AVERAGE(OFFSET($DS$3,0,0,'Données projet'!$E$14+1,1))-AVERAGE(OFFSET($H$3,0,0,'Données projet'!$E$14+1,1))</f>
        <v>419.35339339286082</v>
      </c>
      <c r="DU55" s="59">
        <f t="shared" si="44"/>
        <v>359.03308141414709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44.576457804641763</v>
      </c>
      <c r="EB55" s="21">
        <f>EXP(-LN(2)/25)*EB54+(1-EXP(-LN(2)/25))/(LN(2)/25)*Calculateur!DW55*Calculateur!DY55*VLOOKUP('Données projet'!$B$14,Paramètres!$A$1:$I$89,3,0)*0.475*44/12</f>
        <v>26.786708337901718</v>
      </c>
      <c r="EC55" s="21">
        <f>EXP(-LN(2)/2)*EC54+(1-EXP(-LN(2)/2))/(LN(2)/2)*DW55*DZ55*VLOOKUP('Données projet'!$B$14,Paramètres!$A$1:$I$89,3,0)*0.475*44/12</f>
        <v>3.6334228377896194</v>
      </c>
      <c r="ED55" s="22">
        <f t="shared" si="18"/>
        <v>74.996588980333101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25.8</v>
      </c>
      <c r="EJ55" s="12">
        <f>IF('Données projet'!$A$192&gt;35,EJ54+EI55-ER54,IF(A55&lt;'Données projet'!$A$192,$EG$205^A55,IF(A55='Données projet'!$A$192,'Données projet'!$B$192,EJ54+EI55-ER54)))</f>
        <v>761.60000000000025</v>
      </c>
      <c r="EK55" s="17">
        <f>EJ55*VLOOKUP('Données projet'!$B$15,Paramètres!$A$1:$I$89,3,0)*VLOOKUP('Données projet'!$B$15,Paramètres!$A$1:$I$89,5,0)</f>
        <v>336.62720000000019</v>
      </c>
      <c r="EL55" s="13">
        <f t="shared" si="45"/>
        <v>78.802700776949294</v>
      </c>
      <c r="EM55" s="20">
        <f t="shared" si="19"/>
        <v>723.54041051985359</v>
      </c>
      <c r="EN55" s="59">
        <f t="shared" si="20"/>
        <v>979.97568998343695</v>
      </c>
      <c r="EO55" s="59">
        <f ca="1">AVERAGE(OFFSET($EN$3,0,0,'Données projet'!$E$15+1,1))-AVERAGE(OFFSET($H$3,0,0,'Données projet'!$E$15+1,1))</f>
        <v>561.50881628354409</v>
      </c>
      <c r="EP55" s="59">
        <f t="shared" si="46"/>
        <v>468.67708352238458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57.818572442202516</v>
      </c>
      <c r="EW55" s="21">
        <f>EXP(-LN(2)/25)*EW54+(1-EXP(-LN(2)/25))/(LN(2)/25)*Calculateur!ER55*Calculateur!ET55*VLOOKUP('Données projet'!$B$15,Paramètres!$A$1:$I$89,3,0)*0.475*44/12</f>
        <v>39.076271078895928</v>
      </c>
      <c r="EX55" s="21">
        <f>EXP(-LN(2)/2)*EX54+(1-EXP(-LN(2)/2))/(LN(2)/2)*ER55*EU55*VLOOKUP('Données projet'!$B$15,Paramètres!$A$1:$I$89,3,0)*0.475*44/12</f>
        <v>3.754143091484178</v>
      </c>
      <c r="EY55" s="22">
        <f t="shared" si="21"/>
        <v>100.64898661258262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233.59999999999994</v>
      </c>
      <c r="O56" s="13">
        <f>N56*VLOOKUP('Données projet'!$B$9,Paramètres!$A$1:$I$89,3,0)*VLOOKUP('Données projet'!$B$9,Paramètres!$A$1:$I$89,5,0)</f>
        <v>211.36127999999991</v>
      </c>
      <c r="P56" s="13">
        <f t="shared" si="33"/>
        <v>52.232947669705631</v>
      </c>
      <c r="Q56" s="20">
        <f t="shared" si="53"/>
        <v>459.0932798580705</v>
      </c>
      <c r="R56" s="59">
        <f t="shared" si="0"/>
        <v>716.16865806460373</v>
      </c>
      <c r="S56" s="59">
        <f ca="1">AVERAGE(OFFSET($R$3,0,0,'Données projet'!$E$9+1,1))-AVERAGE(OFFSET($H$3,0,0,'Données projet'!$E$9+1,1))</f>
        <v>484.04602944257209</v>
      </c>
      <c r="T56" s="59">
        <f t="shared" si="34"/>
        <v>297.32483725004124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181.00000000000003</v>
      </c>
      <c r="AJ56" s="13">
        <f>AI56*VLOOKUP('Données projet'!$B$10,Paramètres!$A$1:$I$89,3,0)*VLOOKUP('Données projet'!$B$10,Paramètres!$A$1:$I$89,5,0)</f>
        <v>206.12280000000004</v>
      </c>
      <c r="AK56" s="13">
        <f t="shared" si="35"/>
        <v>51.087403212899119</v>
      </c>
      <c r="AL56" s="20">
        <f t="shared" si="4"/>
        <v>447.97443726246598</v>
      </c>
      <c r="AM56" s="59">
        <f t="shared" si="5"/>
        <v>705.04981546899921</v>
      </c>
      <c r="AN56" s="59">
        <f ca="1">AVERAGE(OFFSET($AM$3,0,0,'Données projet'!$E$10+1,1))-AVERAGE(OFFSET($H$3,0,0,'Données projet'!$E$10+1,1))</f>
        <v>493.74122500490859</v>
      </c>
      <c r="AO56" s="59">
        <f t="shared" si="36"/>
        <v>299.43985151679692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6.9116550057244259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6.9116550057244259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178.91328000000004</v>
      </c>
      <c r="BF56" s="13">
        <f t="shared" si="37"/>
        <v>45.080325843494848</v>
      </c>
      <c r="BG56" s="20">
        <f t="shared" si="7"/>
        <v>390.12219684408689</v>
      </c>
      <c r="BH56" s="59">
        <f t="shared" si="8"/>
        <v>647.19757505062012</v>
      </c>
      <c r="BI56" s="59">
        <f ca="1">AVERAGE(OFFSET($BH$3,0,0,'Données projet'!$E$11+1,1))-AVERAGE(OFFSET($H$3,0,0,'Données projet'!$E$11+1,1))</f>
        <v>364.64276939439014</v>
      </c>
      <c r="BJ56" s="59">
        <f t="shared" si="38"/>
        <v>341.7578598026638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12.11331769867507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12.11331769867507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18.399999999999999</v>
      </c>
      <c r="BY56" s="12">
        <f>IF('Données projet'!$A$114&gt;35,BY55+BX56-CG55,IF(A56&lt;'Données projet'!$A$114,$BV$205^A56,IF(A56='Données projet'!$A$114,'Données projet'!$B$114,BY55+BX56-CG55)))</f>
        <v>511.20000000000027</v>
      </c>
      <c r="BZ56" s="13">
        <f>BY56*VLOOKUP('Données projet'!$B$12,Paramètres!$A$1:$I$89,3,0)*VLOOKUP('Données projet'!$B$12,Paramètres!$A$1:$I$89,5,0)</f>
        <v>305.69760000000019</v>
      </c>
      <c r="CA56" s="13">
        <f t="shared" si="39"/>
        <v>72.369588270212418</v>
      </c>
      <c r="CB56" s="20">
        <f t="shared" si="10"/>
        <v>658.46701957062021</v>
      </c>
      <c r="CC56" s="59">
        <f t="shared" si="11"/>
        <v>915.54239777715338</v>
      </c>
      <c r="CD56" s="59">
        <f ca="1">AVERAGE(OFFSET($CC$3,0,0,'Données projet'!$E$12+1,1))-AVERAGE(OFFSET($H$3,0,0,'Données projet'!$E$12+1,1))</f>
        <v>435.81281313761326</v>
      </c>
      <c r="CE56" s="59">
        <f t="shared" si="40"/>
        <v>460.93390058676493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47.218534669601539</v>
      </c>
      <c r="CL56" s="21">
        <f>EXP(-LN(2)/25)*CL55+(1-EXP(-LN(2)/25))/(LN(2)/25)*Calculateur!CG56*Calculateur!CI56*VLOOKUP('Données projet'!$B$12,Paramètres!$A$1:$I$89,3,0)*0.475*44/12</f>
        <v>31.639863601367146</v>
      </c>
      <c r="CM56" s="21">
        <f>EXP(-LN(2)/2)*CM55+(1-EXP(-LN(2)/2))/(LN(2)/2)*CG56*CJ56*VLOOKUP('Données projet'!$B$12,Paramètres!$A$1:$I$89,3,0)*0.475*44/12</f>
        <v>2.9724395065770195</v>
      </c>
      <c r="CN56" s="22">
        <f t="shared" si="12"/>
        <v>81.830837777545696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</v>
      </c>
      <c r="CT56" s="12">
        <f>IF('Données projet'!$A$140&gt;35,CT55+CS56-DB55,IF(A56&lt;'Données projet'!$A$140,$CQ$205^A56,IF(A56='Données projet'!$A$140,'Données projet'!$B$140,CT55+CS56-DB55)))</f>
        <v>379</v>
      </c>
      <c r="CU56" s="17">
        <f>CT56*VLOOKUP('Données projet'!$B$13,Paramètres!$A$1:$I$89,3,0)*VLOOKUP('Données projet'!$B$13,Paramètres!$A$1:$I$89,5,0)</f>
        <v>177.37200000000001</v>
      </c>
      <c r="CV56" s="13">
        <f t="shared" si="41"/>
        <v>44.737005048641883</v>
      </c>
      <c r="CW56" s="20">
        <f t="shared" si="13"/>
        <v>386.83985045971798</v>
      </c>
      <c r="CX56" s="59">
        <f t="shared" si="14"/>
        <v>643.91522866625121</v>
      </c>
      <c r="CY56" s="59">
        <f ca="1">AVERAGE(OFFSET($CX$3,0,0,'Données projet'!$E$13+1,1))-AVERAGE(OFFSET($H$3,0,0,'Données projet'!$E$13+1,1))</f>
        <v>379.16472924112111</v>
      </c>
      <c r="CZ56" s="59">
        <f t="shared" si="42"/>
        <v>273.18950868898253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12.559816576305208</v>
      </c>
      <c r="DG56" s="21">
        <f>EXP(-LN(2)/25)*DG55+(1-EXP(-LN(2)/25))/(LN(2)/25)*Calculateur!DB56*Calculateur!DD56*VLOOKUP('Données projet'!$B$13,Paramètres!$A$1:$I$89,3,0)*0.475*44/12</f>
        <v>18.030143035504658</v>
      </c>
      <c r="DH56" s="21">
        <f>EXP(-LN(2)/2)*DH55+(1-EXP(-LN(2)/2))/(LN(2)/2)*DB56*DE56*VLOOKUP('Données projet'!$B$13,Paramètres!$A$1:$I$89,3,0)*0.475*44/12</f>
        <v>2.529499309894998</v>
      </c>
      <c r="DI56" s="22">
        <f t="shared" si="15"/>
        <v>33.119458921704862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23</v>
      </c>
      <c r="DO56" s="12">
        <f>IF('Données projet'!$A$166&gt;35,DO55+DN56-DW55,IF(A56&lt;'Données projet'!$A$166,$DL$205^A56,IF(A56='Données projet'!$A$166,'Données projet'!$B$166,DO55+DN56-DW55)))</f>
        <v>600.00000000000045</v>
      </c>
      <c r="DP56" s="17">
        <f>DO56*VLOOKUP('Données projet'!$B$14,Paramètres!$A$1:$I$89,3,0)*VLOOKUP('Données projet'!$B$14,Paramètres!$A$1:$I$89,5,0)</f>
        <v>241.80000000000018</v>
      </c>
      <c r="DQ56" s="13">
        <f t="shared" si="43"/>
        <v>58.826640673484889</v>
      </c>
      <c r="DR56" s="20">
        <f t="shared" si="16"/>
        <v>523.59139917298648</v>
      </c>
      <c r="DS56" s="59">
        <f t="shared" si="17"/>
        <v>780.66677737951977</v>
      </c>
      <c r="DT56" s="59">
        <f ca="1">AVERAGE(OFFSET($DS$3,0,0,'Données projet'!$E$14+1,1))-AVERAGE(OFFSET($H$3,0,0,'Données projet'!$E$14+1,1))</f>
        <v>419.35339339286082</v>
      </c>
      <c r="DU56" s="59">
        <f t="shared" si="44"/>
        <v>359.03308141414709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43.702340656047312</v>
      </c>
      <c r="EB56" s="21">
        <f>EXP(-LN(2)/25)*EB55+(1-EXP(-LN(2)/25))/(LN(2)/25)*Calculateur!DW56*Calculateur!DY56*VLOOKUP('Données projet'!$B$14,Paramètres!$A$1:$I$89,3,0)*0.475*44/12</f>
        <v>26.054224389750026</v>
      </c>
      <c r="EC56" s="21">
        <f>EXP(-LN(2)/2)*EC55+(1-EXP(-LN(2)/2))/(LN(2)/2)*DW56*DZ56*VLOOKUP('Données projet'!$B$14,Paramètres!$A$1:$I$89,3,0)*0.475*44/12</f>
        <v>2.5692179275191092</v>
      </c>
      <c r="ED56" s="22">
        <f t="shared" si="18"/>
        <v>72.32578297331645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25.8</v>
      </c>
      <c r="EJ56" s="12">
        <f>IF('Données projet'!$A$192&gt;35,EJ55+EI56-ER55,IF(A56&lt;'Données projet'!$A$192,$EG$205^A56,IF(A56='Données projet'!$A$192,'Données projet'!$B$192,EJ55+EI56-ER55)))</f>
        <v>787.4000000000002</v>
      </c>
      <c r="EK56" s="17">
        <f>EJ56*VLOOKUP('Données projet'!$B$15,Paramètres!$A$1:$I$89,3,0)*VLOOKUP('Données projet'!$B$15,Paramètres!$A$1:$I$89,5,0)</f>
        <v>348.03080000000011</v>
      </c>
      <c r="EL56" s="13">
        <f t="shared" si="45"/>
        <v>81.156899454136564</v>
      </c>
      <c r="EM56" s="20">
        <f t="shared" si="19"/>
        <v>747.50190988262136</v>
      </c>
      <c r="EN56" s="59">
        <f t="shared" si="20"/>
        <v>1004.5772880891545</v>
      </c>
      <c r="EO56" s="59">
        <f ca="1">AVERAGE(OFFSET($EN$3,0,0,'Données projet'!$E$15+1,1))-AVERAGE(OFFSET($H$3,0,0,'Données projet'!$E$15+1,1))</f>
        <v>561.50881628354409</v>
      </c>
      <c r="EP56" s="59">
        <f t="shared" si="46"/>
        <v>468.67708352238458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56.684785502457899</v>
      </c>
      <c r="EW56" s="21">
        <f>EXP(-LN(2)/25)*EW55+(1-EXP(-LN(2)/25))/(LN(2)/25)*Calculateur!ER56*Calculateur!ET56*VLOOKUP('Données projet'!$B$15,Paramètres!$A$1:$I$89,3,0)*0.475*44/12</f>
        <v>38.00772839131173</v>
      </c>
      <c r="EX56" s="21">
        <f>EXP(-LN(2)/2)*EX55+(1-EXP(-LN(2)/2))/(LN(2)/2)*ER56*EU56*VLOOKUP('Données projet'!$B$15,Paramètres!$A$1:$I$89,3,0)*0.475*44/12</f>
        <v>2.6545800375330919</v>
      </c>
      <c r="EY56" s="22">
        <f t="shared" si="21"/>
        <v>97.347093931302723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243.79999999999993</v>
      </c>
      <c r="O57" s="13">
        <f>N57*VLOOKUP('Données projet'!$B$9,Paramètres!$A$1:$I$89,3,0)*VLOOKUP('Données projet'!$B$9,Paramètres!$A$1:$I$89,5,0)</f>
        <v>220.59023999999991</v>
      </c>
      <c r="P57" s="13">
        <f t="shared" si="33"/>
        <v>54.243151457087848</v>
      </c>
      <c r="Q57" s="20">
        <f t="shared" si="53"/>
        <v>478.66815678776123</v>
      </c>
      <c r="R57" s="59">
        <f t="shared" si="0"/>
        <v>736.37252945510056</v>
      </c>
      <c r="S57" s="59">
        <f ca="1">AVERAGE(OFFSET($R$3,0,0,'Données projet'!$E$9+1,1))-AVERAGE(OFFSET($H$3,0,0,'Données projet'!$E$9+1,1))</f>
        <v>484.04602944257209</v>
      </c>
      <c r="T57" s="59">
        <f t="shared" si="34"/>
        <v>297.32483725004124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189.00000000000003</v>
      </c>
      <c r="AJ57" s="13">
        <f>AI57*VLOOKUP('Données projet'!$B$10,Paramètres!$A$1:$I$89,3,0)*VLOOKUP('Données projet'!$B$10,Paramètres!$A$1:$I$89,5,0)</f>
        <v>215.23320000000004</v>
      </c>
      <c r="AK57" s="13">
        <f t="shared" si="35"/>
        <v>53.077528152156454</v>
      </c>
      <c r="AL57" s="20">
        <f t="shared" si="4"/>
        <v>467.30785153167261</v>
      </c>
      <c r="AM57" s="59">
        <f t="shared" si="5"/>
        <v>725.01222419901194</v>
      </c>
      <c r="AN57" s="59">
        <f ca="1">AVERAGE(OFFSET($AM$3,0,0,'Données projet'!$E$10+1,1))-AVERAGE(OFFSET($H$3,0,0,'Données projet'!$E$10+1,1))</f>
        <v>493.74122500490859</v>
      </c>
      <c r="AO57" s="59">
        <f t="shared" si="36"/>
        <v>299.43985151679692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6.7761216667554587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6.7761216667554587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184.67904000000004</v>
      </c>
      <c r="BF57" s="13">
        <f t="shared" si="37"/>
        <v>46.361626470742223</v>
      </c>
      <c r="BG57" s="20">
        <f t="shared" si="7"/>
        <v>402.39582743654279</v>
      </c>
      <c r="BH57" s="59">
        <f t="shared" si="8"/>
        <v>660.10020010388212</v>
      </c>
      <c r="BI57" s="59">
        <f ca="1">AVERAGE(OFFSET($BH$3,0,0,'Données projet'!$E$11+1,1))-AVERAGE(OFFSET($H$3,0,0,'Données projet'!$E$11+1,1))</f>
        <v>364.64276939439014</v>
      </c>
      <c r="BJ57" s="59">
        <f t="shared" si="38"/>
        <v>341.7578598026638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11.875782926998305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11.875782926998305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18.399999999999999</v>
      </c>
      <c r="BY57" s="12">
        <f>IF('Données projet'!$A$114&gt;35,BY56+BX57-CG56,IF(A57&lt;'Données projet'!$A$114,$BV$205^A57,IF(A57='Données projet'!$A$114,'Données projet'!$B$114,BY56+BX57-CG56)))</f>
        <v>529.60000000000025</v>
      </c>
      <c r="BZ57" s="13">
        <f>BY57*VLOOKUP('Données projet'!$B$12,Paramètres!$A$1:$I$89,3,0)*VLOOKUP('Données projet'!$B$12,Paramètres!$A$1:$I$89,5,0)</f>
        <v>316.70080000000019</v>
      </c>
      <c r="CA57" s="13">
        <f t="shared" si="39"/>
        <v>74.666477445141737</v>
      </c>
      <c r="CB57" s="20">
        <f t="shared" si="10"/>
        <v>681.63134155028877</v>
      </c>
      <c r="CC57" s="59">
        <f t="shared" si="11"/>
        <v>939.33571421762804</v>
      </c>
      <c r="CD57" s="59">
        <f ca="1">AVERAGE(OFFSET($CC$3,0,0,'Données projet'!$E$12+1,1))-AVERAGE(OFFSET($H$3,0,0,'Données projet'!$E$12+1,1))</f>
        <v>435.81281313761326</v>
      </c>
      <c r="CE57" s="59">
        <f t="shared" si="40"/>
        <v>460.93390058676493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46.292608005192989</v>
      </c>
      <c r="CL57" s="21">
        <f>EXP(-LN(2)/25)*CL56+(1-EXP(-LN(2)/25))/(LN(2)/25)*Calculateur!CG57*Calculateur!CI57*VLOOKUP('Données projet'!$B$12,Paramètres!$A$1:$I$89,3,0)*0.475*44/12</f>
        <v>30.774669867319648</v>
      </c>
      <c r="CM57" s="21">
        <f>EXP(-LN(2)/2)*CM56+(1-EXP(-LN(2)/2))/(LN(2)/2)*CG57*CJ57*VLOOKUP('Données projet'!$B$12,Paramètres!$A$1:$I$89,3,0)*0.475*44/12</f>
        <v>2.1018321317674058</v>
      </c>
      <c r="CN57" s="22">
        <f t="shared" si="12"/>
        <v>79.169110004280043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</v>
      </c>
      <c r="CT57" s="12">
        <f>IF('Données projet'!$A$140&gt;35,CT56+CS57-DB56,IF(A57&lt;'Données projet'!$A$140,$CQ$205^A57,IF(A57='Données projet'!$A$140,'Données projet'!$B$140,CT56+CS57-DB56)))</f>
        <v>392</v>
      </c>
      <c r="CU57" s="17">
        <f>CT57*VLOOKUP('Données projet'!$B$13,Paramètres!$A$1:$I$89,3,0)*VLOOKUP('Données projet'!$B$13,Paramètres!$A$1:$I$89,5,0)</f>
        <v>183.45600000000002</v>
      </c>
      <c r="CV57" s="13">
        <f t="shared" si="41"/>
        <v>46.090229375321144</v>
      </c>
      <c r="CW57" s="20">
        <f t="shared" si="13"/>
        <v>399.79301616201769</v>
      </c>
      <c r="CX57" s="59">
        <f t="shared" si="14"/>
        <v>657.49738882935708</v>
      </c>
      <c r="CY57" s="59">
        <f ca="1">AVERAGE(OFFSET($CX$3,0,0,'Données projet'!$E$13+1,1))-AVERAGE(OFFSET($H$3,0,0,'Données projet'!$E$13+1,1))</f>
        <v>379.16472924112111</v>
      </c>
      <c r="CZ57" s="59">
        <f t="shared" si="42"/>
        <v>273.18950868898253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12.313526233975539</v>
      </c>
      <c r="DG57" s="21">
        <f>EXP(-LN(2)/25)*DG56+(1-EXP(-LN(2)/25))/(LN(2)/25)*Calculateur!DB57*Calculateur!DD57*VLOOKUP('Données projet'!$B$13,Paramètres!$A$1:$I$89,3,0)*0.475*44/12</f>
        <v>17.53710782603477</v>
      </c>
      <c r="DH57" s="21">
        <f>EXP(-LN(2)/2)*DH56+(1-EXP(-LN(2)/2))/(LN(2)/2)*DB57*DE57*VLOOKUP('Données projet'!$B$13,Paramètres!$A$1:$I$89,3,0)*0.475*44/12</f>
        <v>1.7886261150334455</v>
      </c>
      <c r="DI57" s="22">
        <f t="shared" si="15"/>
        <v>31.639260175043752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23</v>
      </c>
      <c r="DO57" s="12">
        <f>IF('Données projet'!$A$166&gt;35,DO56+DN57-DW56,IF(A57&lt;'Données projet'!$A$166,$DL$205^A57,IF(A57='Données projet'!$A$166,'Données projet'!$B$166,DO56+DN57-DW56)))</f>
        <v>623.00000000000045</v>
      </c>
      <c r="DP57" s="17">
        <f>DO57*VLOOKUP('Données projet'!$B$14,Paramètres!$A$1:$I$89,3,0)*VLOOKUP('Données projet'!$B$14,Paramètres!$A$1:$I$89,5,0)</f>
        <v>251.06900000000019</v>
      </c>
      <c r="DQ57" s="13">
        <f t="shared" si="43"/>
        <v>60.81479423630261</v>
      </c>
      <c r="DR57" s="20">
        <f t="shared" si="16"/>
        <v>543.19760829489394</v>
      </c>
      <c r="DS57" s="59">
        <f t="shared" si="17"/>
        <v>800.90198096223321</v>
      </c>
      <c r="DT57" s="59">
        <f ca="1">AVERAGE(OFFSET($DS$3,0,0,'Données projet'!$E$14+1,1))-AVERAGE(OFFSET($H$3,0,0,'Données projet'!$E$14+1,1))</f>
        <v>419.35339339286082</v>
      </c>
      <c r="DU57" s="59">
        <f t="shared" si="44"/>
        <v>359.03308141414709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42.845364411577982</v>
      </c>
      <c r="EB57" s="21">
        <f>EXP(-LN(2)/25)*EB56+(1-EXP(-LN(2)/25))/(LN(2)/25)*Calculateur!DW57*Calculateur!DY57*VLOOKUP('Données projet'!$B$14,Paramètres!$A$1:$I$89,3,0)*0.475*44/12</f>
        <v>25.341770253680199</v>
      </c>
      <c r="EC57" s="21">
        <f>EXP(-LN(2)/2)*EC56+(1-EXP(-LN(2)/2))/(LN(2)/2)*DW57*DZ57*VLOOKUP('Données projet'!$B$14,Paramètres!$A$1:$I$89,3,0)*0.475*44/12</f>
        <v>1.8167114188948099</v>
      </c>
      <c r="ED57" s="22">
        <f t="shared" si="18"/>
        <v>70.003846084152997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25.8</v>
      </c>
      <c r="EJ57" s="12">
        <f>IF('Données projet'!$A$192&gt;35,EJ56+EI57-ER56,IF(A57&lt;'Données projet'!$A$192,$EG$205^A57,IF(A57='Données projet'!$A$192,'Données projet'!$B$192,EJ56+EI57-ER56)))</f>
        <v>813.20000000000016</v>
      </c>
      <c r="EK57" s="17">
        <f>EJ57*VLOOKUP('Données projet'!$B$15,Paramètres!$A$1:$I$89,3,0)*VLOOKUP('Données projet'!$B$15,Paramètres!$A$1:$I$89,5,0)</f>
        <v>359.4344000000001</v>
      </c>
      <c r="EL57" s="13">
        <f t="shared" si="45"/>
        <v>83.502134694468566</v>
      </c>
      <c r="EM57" s="20">
        <f t="shared" si="19"/>
        <v>771.44779792619954</v>
      </c>
      <c r="EN57" s="59">
        <f t="shared" si="20"/>
        <v>1029.1521705935388</v>
      </c>
      <c r="EO57" s="59">
        <f ca="1">AVERAGE(OFFSET($EN$3,0,0,'Données projet'!$E$15+1,1))-AVERAGE(OFFSET($H$3,0,0,'Données projet'!$E$15+1,1))</f>
        <v>561.50881628354409</v>
      </c>
      <c r="EP57" s="59">
        <f t="shared" si="46"/>
        <v>468.67708352238458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55.573231433059924</v>
      </c>
      <c r="EW57" s="21">
        <f>EXP(-LN(2)/25)*EW56+(1-EXP(-LN(2)/25))/(LN(2)/25)*Calculateur!ER57*Calculateur!ET57*VLOOKUP('Données projet'!$B$15,Paramètres!$A$1:$I$89,3,0)*0.475*44/12</f>
        <v>36.968405059711742</v>
      </c>
      <c r="EX57" s="21">
        <f>EXP(-LN(2)/2)*EX56+(1-EXP(-LN(2)/2))/(LN(2)/2)*ER57*EU57*VLOOKUP('Données projet'!$B$15,Paramètres!$A$1:$I$89,3,0)*0.475*44/12</f>
        <v>1.8770715457420892</v>
      </c>
      <c r="EY57" s="22">
        <f t="shared" si="21"/>
        <v>94.418708038513742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253.99999999999991</v>
      </c>
      <c r="O58" s="13">
        <f>N58*VLOOKUP('Données projet'!$B$9,Paramètres!$A$1:$I$89,3,0)*VLOOKUP('Données projet'!$B$9,Paramètres!$A$1:$I$89,5,0)</f>
        <v>229.81919999999991</v>
      </c>
      <c r="P58" s="13">
        <f t="shared" si="33"/>
        <v>56.243586554989342</v>
      </c>
      <c r="Q58" s="20">
        <f t="shared" si="53"/>
        <v>498.22601991660628</v>
      </c>
      <c r="R58" s="59">
        <f t="shared" si="0"/>
        <v>756.54847539707771</v>
      </c>
      <c r="S58" s="59">
        <f ca="1">AVERAGE(OFFSET($R$3,0,0,'Données projet'!$E$9+1,1))-AVERAGE(OFFSET($H$3,0,0,'Données projet'!$E$9+1,1))</f>
        <v>484.04602944257209</v>
      </c>
      <c r="T58" s="59">
        <f t="shared" si="34"/>
        <v>297.32483725004124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197.00000000000003</v>
      </c>
      <c r="AJ58" s="13">
        <f>AI58*VLOOKUP('Données projet'!$B$10,Paramètres!$A$1:$I$89,3,0)*VLOOKUP('Données projet'!$B$10,Paramètres!$A$1:$I$89,5,0)</f>
        <v>224.34360000000007</v>
      </c>
      <c r="AK58" s="13">
        <f t="shared" si="35"/>
        <v>55.057868807655687</v>
      </c>
      <c r="AL58" s="20">
        <f t="shared" si="4"/>
        <v>486.62422484000041</v>
      </c>
      <c r="AM58" s="59">
        <f t="shared" si="5"/>
        <v>744.94668032047184</v>
      </c>
      <c r="AN58" s="59">
        <f ca="1">AVERAGE(OFFSET($AM$3,0,0,'Données projet'!$E$10+1,1))-AVERAGE(OFFSET($H$3,0,0,'Données projet'!$E$10+1,1))</f>
        <v>493.74122500490859</v>
      </c>
      <c r="AO58" s="59">
        <f t="shared" si="36"/>
        <v>299.43985151679692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10.053632345083141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10.053632345083141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190.44480000000004</v>
      </c>
      <c r="BF58" s="13">
        <f t="shared" si="37"/>
        <v>47.638278428909231</v>
      </c>
      <c r="BG58" s="20">
        <f t="shared" si="7"/>
        <v>414.66136159701699</v>
      </c>
      <c r="BH58" s="59">
        <f t="shared" si="8"/>
        <v>672.98381707748831</v>
      </c>
      <c r="BI58" s="59">
        <f ca="1">AVERAGE(OFFSET($BH$3,0,0,'Données projet'!$E$11+1,1))-AVERAGE(OFFSET($H$3,0,0,'Données projet'!$E$11+1,1))</f>
        <v>364.64276939439014</v>
      </c>
      <c r="BJ58" s="59">
        <f t="shared" si="38"/>
        <v>341.7578598026638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0.17200000000000001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15.463369248915519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15.463369248915519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548</v>
      </c>
      <c r="BW58" s="12">
        <f>VLOOKUP(A58,'Données projet'!$A$113:$I$133,9,0)</f>
        <v>18.399999999999999</v>
      </c>
      <c r="BX58" s="12">
        <f t="array" ref="BX58">INDEX(BW:BW,MIN(IF(ISNUMBER(BW58:BW254),ROW(BW58:BW254),"")))</f>
        <v>18.399999999999999</v>
      </c>
      <c r="BY58" s="12">
        <f>IF('Données projet'!$A$114&gt;35,BY57+BX58-CG57,IF(A58&lt;'Données projet'!$A$114,$BV$205^A58,IF(A58='Données projet'!$A$114,'Données projet'!$B$114,BY57+BX58-CG57)))</f>
        <v>548.00000000000023</v>
      </c>
      <c r="BZ58" s="13">
        <f>BY58*VLOOKUP('Données projet'!$B$12,Paramètres!$A$1:$I$89,3,0)*VLOOKUP('Données projet'!$B$12,Paramètres!$A$1:$I$89,5,0)</f>
        <v>327.70400000000018</v>
      </c>
      <c r="CA58" s="13">
        <f t="shared" si="39"/>
        <v>76.954094537214459</v>
      </c>
      <c r="CB58" s="20">
        <f t="shared" si="10"/>
        <v>704.77951465231547</v>
      </c>
      <c r="CC58" s="59">
        <f t="shared" si="11"/>
        <v>963.10197013278685</v>
      </c>
      <c r="CD58" s="59">
        <f ca="1">AVERAGE(OFFSET($CC$3,0,0,'Données projet'!$E$12+1,1))-AVERAGE(OFFSET($H$3,0,0,'Données projet'!$E$12+1,1))</f>
        <v>435.81281313761326</v>
      </c>
      <c r="CE58" s="59">
        <f t="shared" si="40"/>
        <v>460.93390058676493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45</v>
      </c>
      <c r="CH58" s="16">
        <f>IF(ISNA(VLOOKUP(A58,'Données projet'!$A$113:$I$133,5,0)),0%,VLOOKUP(A58,'Données projet'!$A$113:$I$133,5,0)*VLOOKUP('Données projet'!$B$12,Paramètres!$A$1:$I$89,7,0))</f>
        <v>0.27</v>
      </c>
      <c r="CI58" s="16">
        <f>IF(ISNA(VLOOKUP(A58,'Données projet'!$A$113:$I$133,6,0)),0%,VLOOKUP(A58,'Données projet'!$A$113:$I$133,6,0)*VLOOKUP('Données projet'!$B$12,Paramètres!$A$1:$I$89,7,0))</f>
        <v>9.9000000000000005E-2</v>
      </c>
      <c r="CJ58" s="16">
        <f>IF(ISNA(VLOOKUP(A58,'Données projet'!$A$113:$I$133,7,0)),0%,VLOOKUP(A58,'Données projet'!$A$113:$I$133,7,0))</f>
        <v>0.18</v>
      </c>
      <c r="CK58" s="21">
        <f>EXP(-LN(2)/35)*CK57+(1-EXP(-LN(2)/35))/(LN(2)/35)*CG58*CH58*VLOOKUP('Données projet'!$B$12,Paramètres!$A$1:$I$89,3,0)*0.475*44/12</f>
        <v>55.02325756180106</v>
      </c>
      <c r="CL58" s="21">
        <f>EXP(-LN(2)/25)*CL57+(1-EXP(-LN(2)/25))/(LN(2)/25)*Calculateur!CG58*Calculateur!CI58*VLOOKUP('Données projet'!$B$12,Paramètres!$A$1:$I$89,3,0)*0.475*44/12</f>
        <v>33.453306954014344</v>
      </c>
      <c r="CM58" s="21">
        <f>EXP(-LN(2)/2)*CM57+(1-EXP(-LN(2)/2))/(LN(2)/2)*CG58*CJ58*VLOOKUP('Données projet'!$B$12,Paramètres!$A$1:$I$89,3,0)*0.475*44/12</f>
        <v>6.9705265560472052</v>
      </c>
      <c r="CN58" s="22">
        <f t="shared" si="12"/>
        <v>95.447091071862602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13</v>
      </c>
      <c r="CT58" s="12">
        <f>IF('Données projet'!$A$140&gt;35,CT57+CS58-DB57,IF(A58&lt;'Données projet'!$A$140,$CQ$205^A58,IF(A58='Données projet'!$A$140,'Données projet'!$B$140,CT57+CS58-DB57)))</f>
        <v>405</v>
      </c>
      <c r="CU58" s="17">
        <f>CT58*VLOOKUP('Données projet'!$B$13,Paramètres!$A$1:$I$89,3,0)*VLOOKUP('Données projet'!$B$13,Paramètres!$A$1:$I$89,5,0)</f>
        <v>189.54</v>
      </c>
      <c r="CV58" s="13">
        <f t="shared" si="41"/>
        <v>47.438239039488813</v>
      </c>
      <c r="CW58" s="20">
        <f t="shared" si="13"/>
        <v>412.73709966044299</v>
      </c>
      <c r="CX58" s="59">
        <f t="shared" si="14"/>
        <v>671.05955514091443</v>
      </c>
      <c r="CY58" s="59">
        <f ca="1">AVERAGE(OFFSET($CX$3,0,0,'Données projet'!$E$13+1,1))-AVERAGE(OFFSET($H$3,0,0,'Données projet'!$E$13+1,1))</f>
        <v>379.16472924112111</v>
      </c>
      <c r="CZ58" s="59">
        <f t="shared" si="42"/>
        <v>273.18950868898253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12.07206549503668</v>
      </c>
      <c r="DG58" s="21">
        <f>EXP(-LN(2)/25)*DG57+(1-EXP(-LN(2)/25))/(LN(2)/25)*Calculateur!DB58*Calculateur!DD58*VLOOKUP('Données projet'!$B$13,Paramètres!$A$1:$I$89,3,0)*0.475*44/12</f>
        <v>17.057554690295429</v>
      </c>
      <c r="DH58" s="21">
        <f>EXP(-LN(2)/2)*DH57+(1-EXP(-LN(2)/2))/(LN(2)/2)*DB58*DE58*VLOOKUP('Données projet'!$B$13,Paramètres!$A$1:$I$89,3,0)*0.475*44/12</f>
        <v>1.2647496549474992</v>
      </c>
      <c r="DI58" s="22">
        <f t="shared" si="15"/>
        <v>30.394369840279609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646</v>
      </c>
      <c r="DM58" s="12">
        <f>VLOOKUP(A58,'Données projet'!$A$165:$I$185,9,0)</f>
        <v>23</v>
      </c>
      <c r="DN58" s="12">
        <f t="array" ref="DN58">INDEX(DM:DM,MIN(IF(ISNUMBER(DM58:DM254),ROW(DM58:DM254),"")))</f>
        <v>23</v>
      </c>
      <c r="DO58" s="12">
        <f>IF('Données projet'!$A$166&gt;35,DO57+DN58-DW57,IF(A58&lt;'Données projet'!$A$166,$DL$205^A58,IF(A58='Données projet'!$A$166,'Données projet'!$B$166,DO57+DN58-DW57)))</f>
        <v>646.00000000000045</v>
      </c>
      <c r="DP58" s="17">
        <f>DO58*VLOOKUP('Données projet'!$B$14,Paramètres!$A$1:$I$89,3,0)*VLOOKUP('Données projet'!$B$14,Paramètres!$A$1:$I$89,5,0)</f>
        <v>260.33800000000019</v>
      </c>
      <c r="DQ58" s="13">
        <f t="shared" si="43"/>
        <v>62.794420448761521</v>
      </c>
      <c r="DR58" s="20">
        <f t="shared" si="16"/>
        <v>562.78896561492661</v>
      </c>
      <c r="DS58" s="59">
        <f t="shared" si="17"/>
        <v>821.11142109539799</v>
      </c>
      <c r="DT58" s="59">
        <f ca="1">AVERAGE(OFFSET($DS$3,0,0,'Données projet'!$E$14+1,1))-AVERAGE(OFFSET($H$3,0,0,'Données projet'!$E$14+1,1))</f>
        <v>419.35339339286082</v>
      </c>
      <c r="DU58" s="59">
        <f t="shared" si="44"/>
        <v>359.03308141414709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63</v>
      </c>
      <c r="DX58" s="16">
        <f>IF(ISNA(VLOOKUP(A58,'Données projet'!$A$165:$I$185,5,0)),0%,VLOOKUP(A58,'Données projet'!$A$165:$I$185,5,0)*VLOOKUP('Données projet'!$B$14,Paramètres!$A$1:$I$89,7,0))</f>
        <v>0.33</v>
      </c>
      <c r="DY58" s="16">
        <f>IF(ISNA(VLOOKUP(A58,'Données projet'!$A$165:$I$185,6,0)),0%,VLOOKUP(A58,'Données projet'!$A$165:$I$185,6,0)*VLOOKUP('Données projet'!$B$14,Paramètres!$A$1:$I$89,7,0))</f>
        <v>0.12100000000000001</v>
      </c>
      <c r="DZ58" s="16">
        <f>IF(ISNA(VLOOKUP(A58,'Données projet'!$A$165:$I$185,7,0)),0%,VLOOKUP(A58,'Données projet'!$A$165:$I$185,7,0))</f>
        <v>0.18</v>
      </c>
      <c r="EA58" s="21">
        <f>EXP(-LN(2)/35)*EA57+(1-EXP(-LN(2)/35))/(LN(2)/35)*DW58*DX58*VLOOKUP('Données projet'!$B$14,Paramètres!$A$1:$I$89,3,0)*0.475*44/12</f>
        <v>53.119640785079781</v>
      </c>
      <c r="EB58" s="21">
        <f>EXP(-LN(2)/25)*EB57+(1-EXP(-LN(2)/25))/(LN(2)/25)*Calculateur!DW58*Calculateur!DY58*VLOOKUP('Données projet'!$B$14,Paramètres!$A$1:$I$89,3,0)*0.475*44/12</f>
        <v>28.708049754259921</v>
      </c>
      <c r="EC58" s="21">
        <f>EXP(-LN(2)/2)*EC57+(1-EXP(-LN(2)/2))/(LN(2)/2)*DW58*DZ58*VLOOKUP('Données projet'!$B$14,Paramètres!$A$1:$I$89,3,0)*0.475*44/12</f>
        <v>6.4589332081014543</v>
      </c>
      <c r="ED58" s="22">
        <f t="shared" si="18"/>
        <v>88.286623747441155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839</v>
      </c>
      <c r="EH58" s="12">
        <f>VLOOKUP(A58,'Données projet'!$A$191:$I$211,9,0)</f>
        <v>25.8</v>
      </c>
      <c r="EI58" s="12">
        <f t="array" ref="EI58">INDEX(EH:EH,MIN(IF(ISNUMBER(EH58:EH254),ROW(EH58:EH254),"")))</f>
        <v>25.8</v>
      </c>
      <c r="EJ58" s="12">
        <f>IF('Données projet'!$A$192&gt;35,EJ57+EI58-ER57,IF(A58&lt;'Données projet'!$A$192,$EG$205^A58,IF(A58='Données projet'!$A$192,'Données projet'!$B$192,EJ57+EI58-ER57)))</f>
        <v>839.00000000000011</v>
      </c>
      <c r="EK58" s="17">
        <f>EJ58*VLOOKUP('Données projet'!$B$15,Paramètres!$A$1:$I$89,3,0)*VLOOKUP('Données projet'!$B$15,Paramètres!$A$1:$I$89,5,0)</f>
        <v>370.83800000000008</v>
      </c>
      <c r="EL58" s="13">
        <f t="shared" si="45"/>
        <v>85.838723500638949</v>
      </c>
      <c r="EM58" s="20">
        <f t="shared" si="19"/>
        <v>795.37862676361283</v>
      </c>
      <c r="EN58" s="59">
        <f t="shared" si="20"/>
        <v>1053.7010822440843</v>
      </c>
      <c r="EO58" s="59">
        <f ca="1">AVERAGE(OFFSET($EN$3,0,0,'Données projet'!$E$15+1,1))-AVERAGE(OFFSET($H$3,0,0,'Données projet'!$E$15+1,1))</f>
        <v>561.50881628354409</v>
      </c>
      <c r="EP58" s="59">
        <f t="shared" si="46"/>
        <v>468.67708352238458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55</v>
      </c>
      <c r="ES58" s="16">
        <f>IF(ISNA(VLOOKUP(A58,'Données projet'!$A$191:$I$211,5,0)),0%,VLOOKUP(A58,'Données projet'!$A$191:$I$211,5,0)*VLOOKUP('Données projet'!$B$15,Paramètres!$A$1:$I$89,7,0))</f>
        <v>0.33</v>
      </c>
      <c r="ET58" s="16">
        <f>IF(ISNA(VLOOKUP(A58,'Données projet'!$A$191:$I$211,6,0)),0%,VLOOKUP(A58,'Données projet'!$A$191:$I$211,6,0)*VLOOKUP('Données projet'!$B$15,Paramètres!$A$1:$I$89,7,0))</f>
        <v>0.12100000000000001</v>
      </c>
      <c r="EU58" s="16">
        <f>IF(ISNA(VLOOKUP(A58,'Données projet'!$A$191:$I$211,7,0)),0%,VLOOKUP(A58,'Données projet'!$A$191:$I$211,7,0))</f>
        <v>0.18</v>
      </c>
      <c r="EV58" s="21">
        <f>EXP(-LN(2)/35)*EV57+(1-EXP(-LN(2)/35))/(LN(2)/35)*ER58*ES58*VLOOKUP('Données projet'!$B$15,Paramètres!$A$1:$I$89,3,0)*0.475*44/12</f>
        <v>65.125572291854439</v>
      </c>
      <c r="EW58" s="21">
        <f>EXP(-LN(2)/25)*EW57+(1-EXP(-LN(2)/25))/(LN(2)/25)*Calculateur!ER58*Calculateur!ET58*VLOOKUP('Données projet'!$B$15,Paramètres!$A$1:$I$89,3,0)*0.475*44/12</f>
        <v>39.844240625791528</v>
      </c>
      <c r="EX58" s="21">
        <f>EXP(-LN(2)/2)*EX57+(1-EXP(-LN(2)/2))/(LN(2)/2)*ER58*EU58*VLOOKUP('Données projet'!$B$15,Paramètres!$A$1:$I$89,3,0)*0.475*44/12</f>
        <v>6.281712106282856</v>
      </c>
      <c r="EY58" s="22">
        <f t="shared" si="21"/>
        <v>111.25152502392882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235.39999999999992</v>
      </c>
      <c r="O59" s="13">
        <f>N59*VLOOKUP('Données projet'!$B$9,Paramètres!$A$1:$I$89,3,0)*VLOOKUP('Données projet'!$B$9,Paramètres!$A$1:$I$89,5,0)</f>
        <v>212.98991999999993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721.47875790189835</v>
      </c>
      <c r="S59" s="59">
        <f ca="1">AVERAGE(OFFSET($R$3,0,0,'Données projet'!$E$9+1,1))-AVERAGE(OFFSET($H$3,0,0,'Données projet'!$E$9+1,1))</f>
        <v>484.04602944257209</v>
      </c>
      <c r="T59" s="59">
        <f t="shared" si="34"/>
        <v>297.32483725004124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183.60000000000002</v>
      </c>
      <c r="AJ59" s="13">
        <f>AI59*VLOOKUP('Données projet'!$B$10,Paramètres!$A$1:$I$89,3,0)*VLOOKUP('Données projet'!$B$10,Paramètres!$A$1:$I$89,5,0)</f>
        <v>209.08368000000004</v>
      </c>
      <c r="AK59" s="13">
        <f t="shared" si="35"/>
        <v>51.735295790267372</v>
      </c>
      <c r="AL59" s="20">
        <f t="shared" si="4"/>
        <v>454.25971616804901</v>
      </c>
      <c r="AM59" s="59">
        <f t="shared" si="5"/>
        <v>713.18953210667075</v>
      </c>
      <c r="AN59" s="59">
        <f ca="1">AVERAGE(OFFSET($AM$3,0,0,'Données projet'!$E$10+1,1))-AVERAGE(OFFSET($H$3,0,0,'Données projet'!$E$10+1,1))</f>
        <v>493.74122500490859</v>
      </c>
      <c r="AO59" s="59">
        <f t="shared" si="36"/>
        <v>299.43985151679692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9.8564867469062953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9.8564867469062953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175.59360000000007</v>
      </c>
      <c r="BF59" s="13">
        <f t="shared" si="37"/>
        <v>44.340433728638573</v>
      </c>
      <c r="BG59" s="20">
        <f t="shared" si="7"/>
        <v>383.05177541071225</v>
      </c>
      <c r="BH59" s="59">
        <f t="shared" si="8"/>
        <v>641.98159134933394</v>
      </c>
      <c r="BI59" s="59">
        <f ca="1">AVERAGE(OFFSET($BH$3,0,0,'Données projet'!$E$11+1,1))-AVERAGE(OFFSET($H$3,0,0,'Données projet'!$E$11+1,1))</f>
        <v>364.64276939439014</v>
      </c>
      <c r="BJ59" s="59">
        <f t="shared" si="38"/>
        <v>341.7578598026638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15.160142009668222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15.160142009668222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</v>
      </c>
      <c r="BY59" s="12">
        <f>IF('Données projet'!$A$114&gt;35,BY58+BX59-CG58,IF(A59&lt;'Données projet'!$A$114,$BV$205^A59,IF(A59='Données projet'!$A$114,'Données projet'!$B$114,BY58+BX59-CG58)))</f>
        <v>520.00000000000023</v>
      </c>
      <c r="BZ59" s="13">
        <f>BY59*VLOOKUP('Données projet'!$B$12,Paramètres!$A$1:$I$89,3,0)*VLOOKUP('Données projet'!$B$12,Paramètres!$A$1:$I$89,5,0)</f>
        <v>310.96000000000015</v>
      </c>
      <c r="CA59" s="13">
        <f t="shared" si="39"/>
        <v>73.4692802883242</v>
      </c>
      <c r="CB59" s="20">
        <f t="shared" si="10"/>
        <v>669.54766316883149</v>
      </c>
      <c r="CC59" s="59">
        <f t="shared" si="11"/>
        <v>928.47747910745329</v>
      </c>
      <c r="CD59" s="59">
        <f ca="1">AVERAGE(OFFSET($CC$3,0,0,'Données projet'!$E$12+1,1))-AVERAGE(OFFSET($H$3,0,0,'Données projet'!$E$12+1,1))</f>
        <v>435.81281313761326</v>
      </c>
      <c r="CE59" s="59">
        <f t="shared" si="40"/>
        <v>460.93390058676493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53.94428504188739</v>
      </c>
      <c r="CL59" s="21">
        <f>EXP(-LN(2)/25)*CL58+(1-EXP(-LN(2)/25))/(LN(2)/25)*Calculateur!CG59*Calculateur!CI59*VLOOKUP('Données projet'!$B$12,Paramètres!$A$1:$I$89,3,0)*0.475*44/12</f>
        <v>32.538524516123871</v>
      </c>
      <c r="CM59" s="21">
        <f>EXP(-LN(2)/2)*CM58+(1-EXP(-LN(2)/2))/(LN(2)/2)*CG59*CJ59*VLOOKUP('Données projet'!$B$12,Paramètres!$A$1:$I$89,3,0)*0.475*44/12</f>
        <v>4.9289065962218901</v>
      </c>
      <c r="CN59" s="22">
        <f t="shared" si="12"/>
        <v>91.411716154233162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</v>
      </c>
      <c r="CT59" s="12">
        <f>IF('Données projet'!$A$140&gt;35,CT58+CS59-DB58,IF(A59&lt;'Données projet'!$A$140,$CQ$205^A59,IF(A59='Données projet'!$A$140,'Données projet'!$B$140,CT58+CS59-DB58)))</f>
        <v>418</v>
      </c>
      <c r="CU59" s="17">
        <f>CT59*VLOOKUP('Données projet'!$B$13,Paramètres!$A$1:$I$89,3,0)*VLOOKUP('Données projet'!$B$13,Paramètres!$A$1:$I$89,5,0)</f>
        <v>195.624</v>
      </c>
      <c r="CV59" s="13">
        <f t="shared" si="41"/>
        <v>48.781220625276006</v>
      </c>
      <c r="CW59" s="20">
        <f t="shared" si="13"/>
        <v>425.67242592235567</v>
      </c>
      <c r="CX59" s="59">
        <f t="shared" si="14"/>
        <v>684.60224186097741</v>
      </c>
      <c r="CY59" s="59">
        <f ca="1">AVERAGE(OFFSET($CX$3,0,0,'Données projet'!$E$13+1,1))-AVERAGE(OFFSET($H$3,0,0,'Données projet'!$E$13+1,1))</f>
        <v>379.16472924112111</v>
      </c>
      <c r="CZ59" s="59">
        <f t="shared" si="42"/>
        <v>273.18950868898253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11.835339653911904</v>
      </c>
      <c r="DG59" s="21">
        <f>EXP(-LN(2)/25)*DG58+(1-EXP(-LN(2)/25))/(LN(2)/25)*Calculateur!DB59*Calculateur!DD59*VLOOKUP('Données projet'!$B$13,Paramètres!$A$1:$I$89,3,0)*0.475*44/12</f>
        <v>16.591114960271486</v>
      </c>
      <c r="DH59" s="21">
        <f>EXP(-LN(2)/2)*DH58+(1-EXP(-LN(2)/2))/(LN(2)/2)*DB59*DE59*VLOOKUP('Données projet'!$B$13,Paramètres!$A$1:$I$89,3,0)*0.475*44/12</f>
        <v>0.89431305751672285</v>
      </c>
      <c r="DI59" s="22">
        <f t="shared" si="15"/>
        <v>29.320767671700114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21.4</v>
      </c>
      <c r="DO59" s="12">
        <f>IF('Données projet'!$A$166&gt;35,DO58+DN59-DW58,IF(A59&lt;'Données projet'!$A$166,$DL$205^A59,IF(A59='Données projet'!$A$166,'Données projet'!$B$166,DO58+DN59-DW58)))</f>
        <v>604.40000000000043</v>
      </c>
      <c r="DP59" s="17">
        <f>DO59*VLOOKUP('Données projet'!$B$14,Paramètres!$A$1:$I$89,3,0)*VLOOKUP('Données projet'!$B$14,Paramètres!$A$1:$I$89,5,0)</f>
        <v>243.57320000000018</v>
      </c>
      <c r="DQ59" s="13">
        <f t="shared" si="43"/>
        <v>59.207659372174987</v>
      </c>
      <c r="DR59" s="20">
        <f t="shared" si="16"/>
        <v>527.34333007320515</v>
      </c>
      <c r="DS59" s="59">
        <f t="shared" si="17"/>
        <v>786.27314601182684</v>
      </c>
      <c r="DT59" s="59">
        <f ca="1">AVERAGE(OFFSET($DS$3,0,0,'Données projet'!$E$14+1,1))-AVERAGE(OFFSET($H$3,0,0,'Données projet'!$E$14+1,1))</f>
        <v>419.35339339286082</v>
      </c>
      <c r="DU59" s="59">
        <f t="shared" si="44"/>
        <v>359.03308141414709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52.077997029066033</v>
      </c>
      <c r="EB59" s="21">
        <f>EXP(-LN(2)/25)*EB58+(1-EXP(-LN(2)/25))/(LN(2)/25)*Calculateur!DW59*Calculateur!DY59*VLOOKUP('Données projet'!$B$14,Paramètres!$A$1:$I$89,3,0)*0.475*44/12</f>
        <v>27.923026624038961</v>
      </c>
      <c r="EC59" s="21">
        <f>EXP(-LN(2)/2)*EC58+(1-EXP(-LN(2)/2))/(LN(2)/2)*DW59*DZ59*VLOOKUP('Données projet'!$B$14,Paramètres!$A$1:$I$89,3,0)*0.475*44/12</f>
        <v>4.5671554706795208</v>
      </c>
      <c r="ED59" s="22">
        <f t="shared" si="18"/>
        <v>84.568179123784518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22.2</v>
      </c>
      <c r="EJ59" s="12">
        <f>IF('Données projet'!$A$192&gt;35,EJ58+EI59-ER58,IF(A59&lt;'Données projet'!$A$192,$EG$205^A59,IF(A59='Données projet'!$A$192,'Données projet'!$B$192,EJ58+EI59-ER58)))</f>
        <v>806.20000000000016</v>
      </c>
      <c r="EK59" s="17">
        <f>EJ59*VLOOKUP('Données projet'!$B$15,Paramètres!$A$1:$I$89,3,0)*VLOOKUP('Données projet'!$B$15,Paramètres!$A$1:$I$89,5,0)</f>
        <v>356.3404000000001</v>
      </c>
      <c r="EL59" s="13">
        <f t="shared" si="45"/>
        <v>82.866698168460303</v>
      </c>
      <c r="EM59" s="20">
        <f t="shared" si="19"/>
        <v>764.9523626434019</v>
      </c>
      <c r="EN59" s="59">
        <f t="shared" si="20"/>
        <v>1023.8821785820237</v>
      </c>
      <c r="EO59" s="59">
        <f ca="1">AVERAGE(OFFSET($EN$3,0,0,'Données projet'!$E$15+1,1))-AVERAGE(OFFSET($H$3,0,0,'Données projet'!$E$15+1,1))</f>
        <v>561.50881628354409</v>
      </c>
      <c r="EP59" s="59">
        <f t="shared" si="46"/>
        <v>468.67708352238458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63.848499541887982</v>
      </c>
      <c r="EW59" s="21">
        <f>EXP(-LN(2)/25)*EW58+(1-EXP(-LN(2)/25))/(LN(2)/25)*Calculateur!ER59*Calculateur!ET59*VLOOKUP('Données projet'!$B$15,Paramètres!$A$1:$I$89,3,0)*0.475*44/12</f>
        <v>38.754697770561712</v>
      </c>
      <c r="EX59" s="21">
        <f>EXP(-LN(2)/2)*EX58+(1-EXP(-LN(2)/2))/(LN(2)/2)*ER59*EU59*VLOOKUP('Données projet'!$B$15,Paramètres!$A$1:$I$89,3,0)*0.475*44/12</f>
        <v>4.4418412278142387</v>
      </c>
      <c r="EY59" s="22">
        <f t="shared" si="21"/>
        <v>107.04503854026393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244.79999999999993</v>
      </c>
      <c r="O60" s="13">
        <f>N60*VLOOKUP('Données projet'!$B$9,Paramètres!$A$1:$I$89,3,0)*VLOOKUP('Données projet'!$B$9,Paramètres!$A$1:$I$89,5,0)</f>
        <v>221.49503999999993</v>
      </c>
      <c r="P60" s="13">
        <f t="shared" si="33"/>
        <v>54.439697086174412</v>
      </c>
      <c r="Q60" s="20">
        <f t="shared" si="53"/>
        <v>480.58633375842027</v>
      </c>
      <c r="R60" s="59">
        <f t="shared" si="0"/>
        <v>740.11297380909798</v>
      </c>
      <c r="S60" s="59">
        <f ca="1">AVERAGE(OFFSET($R$3,0,0,'Données projet'!$E$9+1,1))-AVERAGE(OFFSET($H$3,0,0,'Données projet'!$E$9+1,1))</f>
        <v>484.04602944257209</v>
      </c>
      <c r="T60" s="59">
        <f t="shared" si="34"/>
        <v>297.32483725004124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191.20000000000002</v>
      </c>
      <c r="AJ60" s="13">
        <f>AI60*VLOOKUP('Données projet'!$B$10,Paramètres!$A$1:$I$89,3,0)*VLOOKUP('Données projet'!$B$10,Paramètres!$A$1:$I$89,5,0)</f>
        <v>217.73856000000004</v>
      </c>
      <c r="AK60" s="13">
        <f t="shared" si="35"/>
        <v>53.623077729615503</v>
      </c>
      <c r="AL60" s="20">
        <f t="shared" si="4"/>
        <v>472.62151904574711</v>
      </c>
      <c r="AM60" s="59">
        <f t="shared" si="5"/>
        <v>732.14815909642482</v>
      </c>
      <c r="AN60" s="59">
        <f ca="1">AVERAGE(OFFSET($AM$3,0,0,'Données projet'!$E$10+1,1))-AVERAGE(OFFSET($H$3,0,0,'Données projet'!$E$10+1,1))</f>
        <v>493.74122500490859</v>
      </c>
      <c r="AO60" s="59">
        <f t="shared" si="36"/>
        <v>299.43985151679692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9.6632070536627559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9.6632070536627559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180.83520000000004</v>
      </c>
      <c r="BF60" s="13">
        <f t="shared" si="37"/>
        <v>45.507952685945142</v>
      </c>
      <c r="BG60" s="20">
        <f t="shared" si="7"/>
        <v>394.21432426135453</v>
      </c>
      <c r="BH60" s="59">
        <f t="shared" si="8"/>
        <v>653.74096431203225</v>
      </c>
      <c r="BI60" s="59">
        <f ca="1">AVERAGE(OFFSET($BH$3,0,0,'Données projet'!$E$11+1,1))-AVERAGE(OFFSET($H$3,0,0,'Données projet'!$E$11+1,1))</f>
        <v>364.64276939439014</v>
      </c>
      <c r="BJ60" s="59">
        <f t="shared" si="38"/>
        <v>341.7578598026638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14.862860871632211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14.862860871632211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</v>
      </c>
      <c r="BY60" s="12">
        <f>IF('Données projet'!$A$114&gt;35,BY59+BX60-CG59,IF(A60&lt;'Données projet'!$A$114,$BV$205^A60,IF(A60='Données projet'!$A$114,'Données projet'!$B$114,BY59+BX60-CG59)))</f>
        <v>537.00000000000023</v>
      </c>
      <c r="BZ60" s="13">
        <f>BY60*VLOOKUP('Données projet'!$B$12,Paramètres!$A$1:$I$89,3,0)*VLOOKUP('Données projet'!$B$12,Paramètres!$A$1:$I$89,5,0)</f>
        <v>321.12600000000015</v>
      </c>
      <c r="CA60" s="13">
        <f t="shared" si="39"/>
        <v>75.587591944000323</v>
      </c>
      <c r="CB60" s="20">
        <f t="shared" si="10"/>
        <v>690.94283930246741</v>
      </c>
      <c r="CC60" s="59">
        <f t="shared" si="11"/>
        <v>950.46947935314506</v>
      </c>
      <c r="CD60" s="59">
        <f ca="1">AVERAGE(OFFSET($CC$3,0,0,'Données projet'!$E$12+1,1))-AVERAGE(OFFSET($H$3,0,0,'Données projet'!$E$12+1,1))</f>
        <v>435.81281313761326</v>
      </c>
      <c r="CE60" s="59">
        <f t="shared" si="40"/>
        <v>460.93390058676493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52.886470514980978</v>
      </c>
      <c r="CL60" s="21">
        <f>EXP(-LN(2)/25)*CL59+(1-EXP(-LN(2)/25))/(LN(2)/25)*Calculateur!CG60*Calculateur!CI60*VLOOKUP('Données projet'!$B$12,Paramètres!$A$1:$I$89,3,0)*0.475*44/12</f>
        <v>31.648756852103826</v>
      </c>
      <c r="CM60" s="21">
        <f>EXP(-LN(2)/2)*CM59+(1-EXP(-LN(2)/2))/(LN(2)/2)*CG60*CJ60*VLOOKUP('Données projet'!$B$12,Paramètres!$A$1:$I$89,3,0)*0.475*44/12</f>
        <v>3.485263278023603</v>
      </c>
      <c r="CN60" s="22">
        <f t="shared" si="12"/>
        <v>88.02049064510841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</v>
      </c>
      <c r="CT60" s="12">
        <f>IF('Données projet'!$A$140&gt;35,CT59+CS60-DB59,IF(A60&lt;'Données projet'!$A$140,$CQ$205^A60,IF(A60='Données projet'!$A$140,'Données projet'!$B$140,CT59+CS60-DB59)))</f>
        <v>431</v>
      </c>
      <c r="CU60" s="17">
        <f>CT60*VLOOKUP('Données projet'!$B$13,Paramètres!$A$1:$I$89,3,0)*VLOOKUP('Données projet'!$B$13,Paramètres!$A$1:$I$89,5,0)</f>
        <v>201.708</v>
      </c>
      <c r="CV60" s="13">
        <f t="shared" si="41"/>
        <v>50.119348451854286</v>
      </c>
      <c r="CW60" s="20">
        <f t="shared" si="13"/>
        <v>438.59929855364618</v>
      </c>
      <c r="CX60" s="59">
        <f t="shared" si="14"/>
        <v>698.12593860432389</v>
      </c>
      <c r="CY60" s="59">
        <f ca="1">AVERAGE(OFFSET($CX$3,0,0,'Données projet'!$E$13+1,1))-AVERAGE(OFFSET($H$3,0,0,'Données projet'!$E$13+1,1))</f>
        <v>379.16472924112111</v>
      </c>
      <c r="CZ60" s="59">
        <f t="shared" si="42"/>
        <v>273.18950868898253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11.603255862143078</v>
      </c>
      <c r="DG60" s="21">
        <f>EXP(-LN(2)/25)*DG59+(1-EXP(-LN(2)/25))/(LN(2)/25)*Calculateur!DB60*Calculateur!DD60*VLOOKUP('Données projet'!$B$13,Paramètres!$A$1:$I$89,3,0)*0.475*44/12</f>
        <v>16.137430049194048</v>
      </c>
      <c r="DH60" s="21">
        <f>EXP(-LN(2)/2)*DH59+(1-EXP(-LN(2)/2))/(LN(2)/2)*DB60*DE60*VLOOKUP('Données projet'!$B$13,Paramètres!$A$1:$I$89,3,0)*0.475*44/12</f>
        <v>0.63237482747374973</v>
      </c>
      <c r="DI60" s="22">
        <f t="shared" si="15"/>
        <v>28.373060738810874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21.4</v>
      </c>
      <c r="DO60" s="12">
        <f>IF('Données projet'!$A$166&gt;35,DO59+DN60-DW59,IF(A60&lt;'Données projet'!$A$166,$DL$205^A60,IF(A60='Données projet'!$A$166,'Données projet'!$B$166,DO59+DN60-DW59)))</f>
        <v>625.80000000000041</v>
      </c>
      <c r="DP60" s="17">
        <f>DO60*VLOOKUP('Données projet'!$B$14,Paramètres!$A$1:$I$89,3,0)*VLOOKUP('Données projet'!$B$14,Paramètres!$A$1:$I$89,5,0)</f>
        <v>252.19740000000019</v>
      </c>
      <c r="DQ60" s="13">
        <f t="shared" si="43"/>
        <v>61.05624106670264</v>
      </c>
      <c r="DR60" s="20">
        <f t="shared" si="16"/>
        <v>545.58342485784067</v>
      </c>
      <c r="DS60" s="59">
        <f t="shared" si="17"/>
        <v>805.11006490851832</v>
      </c>
      <c r="DT60" s="59">
        <f ca="1">AVERAGE(OFFSET($DS$3,0,0,'Données projet'!$E$14+1,1))-AVERAGE(OFFSET($H$3,0,0,'Données projet'!$E$14+1,1))</f>
        <v>419.35339339286082</v>
      </c>
      <c r="DU60" s="59">
        <f t="shared" si="44"/>
        <v>359.03308141414709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51.056779271767759</v>
      </c>
      <c r="EB60" s="21">
        <f>EXP(-LN(2)/25)*EB59+(1-EXP(-LN(2)/25))/(LN(2)/25)*Calculateur!DW60*Calculateur!DY60*VLOOKUP('Données projet'!$B$14,Paramètres!$A$1:$I$89,3,0)*0.475*44/12</f>
        <v>27.159469992596463</v>
      </c>
      <c r="EC60" s="21">
        <f>EXP(-LN(2)/2)*EC59+(1-EXP(-LN(2)/2))/(LN(2)/2)*DW60*DZ60*VLOOKUP('Données projet'!$B$14,Paramètres!$A$1:$I$89,3,0)*0.475*44/12</f>
        <v>3.2294666040507276</v>
      </c>
      <c r="ED60" s="22">
        <f t="shared" si="18"/>
        <v>81.44571586841495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22.2</v>
      </c>
      <c r="EJ60" s="12">
        <f>IF('Données projet'!$A$192&gt;35,EJ59+EI60-ER59,IF(A60&lt;'Données projet'!$A$192,$EG$205^A60,IF(A60='Données projet'!$A$192,'Données projet'!$B$192,EJ59+EI60-ER59)))</f>
        <v>828.4000000000002</v>
      </c>
      <c r="EK60" s="17">
        <f>EJ60*VLOOKUP('Données projet'!$B$15,Paramètres!$A$1:$I$89,3,0)*VLOOKUP('Données projet'!$B$15,Paramètres!$A$1:$I$89,5,0)</f>
        <v>366.15280000000007</v>
      </c>
      <c r="EL60" s="13">
        <f t="shared" si="45"/>
        <v>84.879756652329547</v>
      </c>
      <c r="EM60" s="20">
        <f t="shared" si="19"/>
        <v>785.54836950280742</v>
      </c>
      <c r="EN60" s="59">
        <f t="shared" si="20"/>
        <v>1045.0750095534852</v>
      </c>
      <c r="EO60" s="59">
        <f ca="1">AVERAGE(OFFSET($EN$3,0,0,'Données projet'!$E$15+1,1))-AVERAGE(OFFSET($H$3,0,0,'Données projet'!$E$15+1,1))</f>
        <v>561.50881628354409</v>
      </c>
      <c r="EP60" s="59">
        <f t="shared" si="46"/>
        <v>468.67708352238458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62.596469409610904</v>
      </c>
      <c r="EW60" s="21">
        <f>EXP(-LN(2)/25)*EW59+(1-EXP(-LN(2)/25))/(LN(2)/25)*Calculateur!ER60*Calculateur!ET60*VLOOKUP('Données projet'!$B$15,Paramètres!$A$1:$I$89,3,0)*0.475*44/12</f>
        <v>37.694948522004722</v>
      </c>
      <c r="EX60" s="21">
        <f>EXP(-LN(2)/2)*EX59+(1-EXP(-LN(2)/2))/(LN(2)/2)*ER60*EU60*VLOOKUP('Données projet'!$B$15,Paramètres!$A$1:$I$89,3,0)*0.475*44/12</f>
        <v>3.1408560531414289</v>
      </c>
      <c r="EY60" s="22">
        <f t="shared" si="21"/>
        <v>103.43227398475706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254.19999999999993</v>
      </c>
      <c r="O61" s="13">
        <f>N61*VLOOKUP('Données projet'!$B$9,Paramètres!$A$1:$I$89,3,0)*VLOOKUP('Données projet'!$B$9,Paramètres!$A$1:$I$89,5,0)</f>
        <v>230.00015999999994</v>
      </c>
      <c r="P61" s="13">
        <f t="shared" si="33"/>
        <v>56.282716126880423</v>
      </c>
      <c r="Q61" s="20">
        <f t="shared" si="53"/>
        <v>498.60934258764996</v>
      </c>
      <c r="R61" s="59">
        <f t="shared" si="0"/>
        <v>758.72245318633838</v>
      </c>
      <c r="S61" s="59">
        <f ca="1">AVERAGE(OFFSET($R$3,0,0,'Données projet'!$E$9+1,1))-AVERAGE(OFFSET($H$3,0,0,'Données projet'!$E$9+1,1))</f>
        <v>484.04602944257209</v>
      </c>
      <c r="T61" s="59">
        <f t="shared" si="34"/>
        <v>297.32483725004124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198.8</v>
      </c>
      <c r="AJ61" s="13">
        <f>AI61*VLOOKUP('Données projet'!$B$10,Paramètres!$A$1:$I$89,3,0)*VLOOKUP('Données projet'!$B$10,Paramètres!$A$1:$I$89,5,0)</f>
        <v>226.39344</v>
      </c>
      <c r="AK61" s="13">
        <f t="shared" si="35"/>
        <v>55.502143071135905</v>
      </c>
      <c r="AL61" s="20">
        <f t="shared" si="4"/>
        <v>490.96814051556157</v>
      </c>
      <c r="AM61" s="59">
        <f t="shared" si="5"/>
        <v>751.08125111424999</v>
      </c>
      <c r="AN61" s="59">
        <f ca="1">AVERAGE(OFFSET($AM$3,0,0,'Données projet'!$E$10+1,1))-AVERAGE(OFFSET($H$3,0,0,'Données projet'!$E$10+1,1))</f>
        <v>493.74122500490859</v>
      </c>
      <c r="AO61" s="59">
        <f t="shared" si="36"/>
        <v>299.43985151679692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9.4737174573147502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9.4737174573147502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186.07680000000005</v>
      </c>
      <c r="BF61" s="13">
        <f t="shared" si="37"/>
        <v>46.671538591528673</v>
      </c>
      <c r="BG61" s="20">
        <f t="shared" si="7"/>
        <v>405.37002304691242</v>
      </c>
      <c r="BH61" s="59">
        <f t="shared" si="8"/>
        <v>665.4831336456009</v>
      </c>
      <c r="BI61" s="59">
        <f ca="1">AVERAGE(OFFSET($BH$3,0,0,'Données projet'!$E$11+1,1))-AVERAGE(OFFSET($H$3,0,0,'Données projet'!$E$11+1,1))</f>
        <v>364.64276939439014</v>
      </c>
      <c r="BJ61" s="59">
        <f t="shared" si="38"/>
        <v>341.7578598026638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14.571409235389497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14.571409235389497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17</v>
      </c>
      <c r="BY61" s="12">
        <f>IF('Données projet'!$A$114&gt;35,BY60+BX61-CG60,IF(A61&lt;'Données projet'!$A$114,$BV$205^A61,IF(A61='Données projet'!$A$114,'Données projet'!$B$114,BY60+BX61-CG60)))</f>
        <v>554.00000000000023</v>
      </c>
      <c r="BZ61" s="13">
        <f>BY61*VLOOKUP('Données projet'!$B$12,Paramètres!$A$1:$I$89,3,0)*VLOOKUP('Données projet'!$B$12,Paramètres!$A$1:$I$89,5,0)</f>
        <v>331.29200000000014</v>
      </c>
      <c r="CA61" s="13">
        <f t="shared" si="39"/>
        <v>77.698110787752142</v>
      </c>
      <c r="CB61" s="20">
        <f t="shared" si="10"/>
        <v>712.32444295533526</v>
      </c>
      <c r="CC61" s="59">
        <f t="shared" si="11"/>
        <v>972.43755355402368</v>
      </c>
      <c r="CD61" s="59">
        <f ca="1">AVERAGE(OFFSET($CC$3,0,0,'Données projet'!$E$12+1,1))-AVERAGE(OFFSET($H$3,0,0,'Données projet'!$E$12+1,1))</f>
        <v>435.81281313761326</v>
      </c>
      <c r="CE61" s="59">
        <f t="shared" si="40"/>
        <v>460.93390058676493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51.849399085744047</v>
      </c>
      <c r="CL61" s="21">
        <f>EXP(-LN(2)/25)*CL60+(1-EXP(-LN(2)/25))/(LN(2)/25)*Calculateur!CG61*Calculateur!CI61*VLOOKUP('Données projet'!$B$12,Paramètres!$A$1:$I$89,3,0)*0.475*44/12</f>
        <v>30.783319931647259</v>
      </c>
      <c r="CM61" s="21">
        <f>EXP(-LN(2)/2)*CM60+(1-EXP(-LN(2)/2))/(LN(2)/2)*CG61*CJ61*VLOOKUP('Données projet'!$B$12,Paramètres!$A$1:$I$89,3,0)*0.475*44/12</f>
        <v>2.4644532981109455</v>
      </c>
      <c r="CN61" s="22">
        <f t="shared" si="12"/>
        <v>85.097172315502249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13</v>
      </c>
      <c r="CT61" s="12">
        <f>IF('Données projet'!$A$140&gt;35,CT60+CS61-DB60,IF(A61&lt;'Données projet'!$A$140,$CQ$205^A61,IF(A61='Données projet'!$A$140,'Données projet'!$B$140,CT60+CS61-DB60)))</f>
        <v>444</v>
      </c>
      <c r="CU61" s="17">
        <f>CT61*VLOOKUP('Données projet'!$B$13,Paramètres!$A$1:$I$89,3,0)*VLOOKUP('Données projet'!$B$13,Paramètres!$A$1:$I$89,5,0)</f>
        <v>207.792</v>
      </c>
      <c r="CV61" s="13">
        <f t="shared" si="41"/>
        <v>51.452785725007864</v>
      </c>
      <c r="CW61" s="20">
        <f t="shared" si="13"/>
        <v>451.51800180438869</v>
      </c>
      <c r="CX61" s="59">
        <f t="shared" si="14"/>
        <v>711.63111240307717</v>
      </c>
      <c r="CY61" s="59">
        <f ca="1">AVERAGE(OFFSET($CX$3,0,0,'Données projet'!$E$13+1,1))-AVERAGE(OFFSET($H$3,0,0,'Données projet'!$E$13+1,1))</f>
        <v>379.16472924112111</v>
      </c>
      <c r="CZ61" s="59">
        <f t="shared" si="42"/>
        <v>273.18950868898253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11.375723091973704</v>
      </c>
      <c r="DG61" s="21">
        <f>EXP(-LN(2)/25)*DG60+(1-EXP(-LN(2)/25))/(LN(2)/25)*Calculateur!DB61*Calculateur!DD61*VLOOKUP('Données projet'!$B$13,Paramètres!$A$1:$I$89,3,0)*0.475*44/12</f>
        <v>15.696151175868273</v>
      </c>
      <c r="DH61" s="21">
        <f>EXP(-LN(2)/2)*DH60+(1-EXP(-LN(2)/2))/(LN(2)/2)*DB61*DE61*VLOOKUP('Données projet'!$B$13,Paramètres!$A$1:$I$89,3,0)*0.475*44/12</f>
        <v>0.44715652875836154</v>
      </c>
      <c r="DI61" s="22">
        <f t="shared" si="15"/>
        <v>27.51903079660034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21.4</v>
      </c>
      <c r="DO61" s="12">
        <f>IF('Données projet'!$A$166&gt;35,DO60+DN61-DW60,IF(A61&lt;'Données projet'!$A$166,$DL$205^A61,IF(A61='Données projet'!$A$166,'Données projet'!$B$166,DO60+DN61-DW60)))</f>
        <v>647.20000000000039</v>
      </c>
      <c r="DP61" s="17">
        <f>DO61*VLOOKUP('Données projet'!$B$14,Paramètres!$A$1:$I$89,3,0)*VLOOKUP('Données projet'!$B$14,Paramètres!$A$1:$I$89,5,0)</f>
        <v>260.82160000000016</v>
      </c>
      <c r="DQ61" s="13">
        <f t="shared" si="43"/>
        <v>62.897477703506013</v>
      </c>
      <c r="DR61" s="20">
        <f t="shared" si="16"/>
        <v>563.81072700027323</v>
      </c>
      <c r="DS61" s="59">
        <f t="shared" si="17"/>
        <v>823.92383759896165</v>
      </c>
      <c r="DT61" s="59">
        <f ca="1">AVERAGE(OFFSET($DS$3,0,0,'Données projet'!$E$14+1,1))-AVERAGE(OFFSET($H$3,0,0,'Données projet'!$E$14+1,1))</f>
        <v>419.35339339286082</v>
      </c>
      <c r="DU61" s="59">
        <f t="shared" si="44"/>
        <v>359.03308141414709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50.055586971808772</v>
      </c>
      <c r="EB61" s="21">
        <f>EXP(-LN(2)/25)*EB60+(1-EXP(-LN(2)/25))/(LN(2)/25)*Calculateur!DW61*Calculateur!DY61*VLOOKUP('Données projet'!$B$14,Paramètres!$A$1:$I$89,3,0)*0.475*44/12</f>
        <v>26.416792857394459</v>
      </c>
      <c r="EC61" s="21">
        <f>EXP(-LN(2)/2)*EC60+(1-EXP(-LN(2)/2))/(LN(2)/2)*DW61*DZ61*VLOOKUP('Données projet'!$B$14,Paramètres!$A$1:$I$89,3,0)*0.475*44/12</f>
        <v>2.2835777353397608</v>
      </c>
      <c r="ED61" s="22">
        <f t="shared" si="18"/>
        <v>78.755957564542996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22.2</v>
      </c>
      <c r="EJ61" s="12">
        <f>IF('Données projet'!$A$192&gt;35,EJ60+EI61-ER60,IF(A61&lt;'Données projet'!$A$192,$EG$205^A61,IF(A61='Données projet'!$A$192,'Données projet'!$B$192,EJ60+EI61-ER60)))</f>
        <v>850.60000000000025</v>
      </c>
      <c r="EK61" s="17">
        <f>EJ61*VLOOKUP('Données projet'!$B$15,Paramètres!$A$1:$I$89,3,0)*VLOOKUP('Données projet'!$B$15,Paramètres!$A$1:$I$89,5,0)</f>
        <v>375.96520000000015</v>
      </c>
      <c r="EL61" s="13">
        <f t="shared" si="45"/>
        <v>86.886544667455823</v>
      </c>
      <c r="EM61" s="20">
        <f t="shared" si="19"/>
        <v>806.1334552958192</v>
      </c>
      <c r="EN61" s="59">
        <f t="shared" si="20"/>
        <v>1066.2465658945075</v>
      </c>
      <c r="EO61" s="59">
        <f ca="1">AVERAGE(OFFSET($EN$3,0,0,'Données projet'!$E$15+1,1))-AVERAGE(OFFSET($H$3,0,0,'Données projet'!$E$15+1,1))</f>
        <v>561.50881628354409</v>
      </c>
      <c r="EP61" s="59">
        <f t="shared" si="46"/>
        <v>468.67708352238458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61.368990824564804</v>
      </c>
      <c r="EW61" s="21">
        <f>EXP(-LN(2)/25)*EW60+(1-EXP(-LN(2)/25))/(LN(2)/25)*Calculateur!ER61*Calculateur!ET61*VLOOKUP('Données projet'!$B$15,Paramètres!$A$1:$I$89,3,0)*0.475*44/12</f>
        <v>36.664178172379316</v>
      </c>
      <c r="EX61" s="21">
        <f>EXP(-LN(2)/2)*EX60+(1-EXP(-LN(2)/2))/(LN(2)/2)*ER61*EU61*VLOOKUP('Données projet'!$B$15,Paramètres!$A$1:$I$89,3,0)*0.475*44/12</f>
        <v>2.2209206139071198</v>
      </c>
      <c r="EY61" s="22">
        <f t="shared" si="21"/>
        <v>100.25408961085124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263.59999999999991</v>
      </c>
      <c r="O62" s="13">
        <f>N62*VLOOKUP('Données projet'!$B$9,Paramètres!$A$1:$I$89,3,0)*VLOOKUP('Données projet'!$B$9,Paramètres!$A$1:$I$89,5,0)</f>
        <v>238.50527999999991</v>
      </c>
      <c r="P62" s="13">
        <f t="shared" si="33"/>
        <v>58.117817352909881</v>
      </c>
      <c r="Q62" s="20">
        <f t="shared" si="53"/>
        <v>516.61856122298445</v>
      </c>
      <c r="R62" s="59">
        <f t="shared" si="0"/>
        <v>777.30796841682718</v>
      </c>
      <c r="S62" s="59">
        <f ca="1">AVERAGE(OFFSET($R$3,0,0,'Données projet'!$E$9+1,1))-AVERAGE(OFFSET($H$3,0,0,'Données projet'!$E$9+1,1))</f>
        <v>484.04602944257209</v>
      </c>
      <c r="T62" s="59">
        <f t="shared" si="34"/>
        <v>297.32483725004124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206.4</v>
      </c>
      <c r="AJ62" s="13">
        <f>AI62*VLOOKUP('Données projet'!$B$10,Paramètres!$A$1:$I$89,3,0)*VLOOKUP('Données projet'!$B$10,Paramètres!$A$1:$I$89,5,0)</f>
        <v>235.04831999999999</v>
      </c>
      <c r="AK62" s="13">
        <f t="shared" si="35"/>
        <v>57.372863190596689</v>
      </c>
      <c r="AL62" s="20">
        <f t="shared" si="4"/>
        <v>509.30022739028919</v>
      </c>
      <c r="AM62" s="59">
        <f t="shared" si="5"/>
        <v>769.98963458413198</v>
      </c>
      <c r="AN62" s="59">
        <f ca="1">AVERAGE(OFFSET($AM$3,0,0,'Données projet'!$E$10+1,1))-AVERAGE(OFFSET($H$3,0,0,'Données projet'!$E$10+1,1))</f>
        <v>493.74122500490859</v>
      </c>
      <c r="AO62" s="59">
        <f t="shared" si="36"/>
        <v>299.43985151679692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9.2879436363738872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9.2879436363738872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191.31840000000005</v>
      </c>
      <c r="BF62" s="13">
        <f t="shared" si="37"/>
        <v>47.831314962098396</v>
      </c>
      <c r="BG62" s="20">
        <f t="shared" si="7"/>
        <v>416.51908689232141</v>
      </c>
      <c r="BH62" s="59">
        <f t="shared" si="8"/>
        <v>677.20849408616414</v>
      </c>
      <c r="BI62" s="59">
        <f ca="1">AVERAGE(OFFSET($BH$3,0,0,'Données projet'!$E$11+1,1))-AVERAGE(OFFSET($H$3,0,0,'Données projet'!$E$11+1,1))</f>
        <v>364.64276939439014</v>
      </c>
      <c r="BJ62" s="59">
        <f t="shared" si="38"/>
        <v>341.7578598026638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14.285672787965558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14.285672787965558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17</v>
      </c>
      <c r="BY62" s="12">
        <f>IF('Données projet'!$A$114&gt;35,BY61+BX62-CG61,IF(A62&lt;'Données projet'!$A$114,$BV$205^A62,IF(A62='Données projet'!$A$114,'Données projet'!$B$114,BY61+BX62-CG61)))</f>
        <v>571.00000000000023</v>
      </c>
      <c r="BZ62" s="13">
        <f>BY62*VLOOKUP('Données projet'!$B$12,Paramètres!$A$1:$I$89,3,0)*VLOOKUP('Données projet'!$B$12,Paramètres!$A$1:$I$89,5,0)</f>
        <v>341.4580000000002</v>
      </c>
      <c r="CA62" s="13">
        <f t="shared" si="39"/>
        <v>79.801103392528489</v>
      </c>
      <c r="CB62" s="20">
        <f t="shared" si="10"/>
        <v>733.69293840865419</v>
      </c>
      <c r="CC62" s="59">
        <f t="shared" si="11"/>
        <v>994.38234560249703</v>
      </c>
      <c r="CD62" s="59">
        <f ca="1">AVERAGE(OFFSET($CC$3,0,0,'Données projet'!$E$12+1,1))-AVERAGE(OFFSET($H$3,0,0,'Données projet'!$E$12+1,1))</f>
        <v>435.81281313761326</v>
      </c>
      <c r="CE62" s="59">
        <f t="shared" si="40"/>
        <v>460.93390058676493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50.832663994683337</v>
      </c>
      <c r="CL62" s="21">
        <f>EXP(-LN(2)/25)*CL61+(1-EXP(-LN(2)/25))/(LN(2)/25)*Calculateur!CG62*Calculateur!CI62*VLOOKUP('Données projet'!$B$12,Paramètres!$A$1:$I$89,3,0)*0.475*44/12</f>
        <v>29.941548429291927</v>
      </c>
      <c r="CM62" s="21">
        <f>EXP(-LN(2)/2)*CM61+(1-EXP(-LN(2)/2))/(LN(2)/2)*CG62*CJ62*VLOOKUP('Données projet'!$B$12,Paramètres!$A$1:$I$89,3,0)*0.475*44/12</f>
        <v>1.7426316390118017</v>
      </c>
      <c r="CN62" s="22">
        <f t="shared" si="12"/>
        <v>82.516844062987062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</v>
      </c>
      <c r="CT62" s="12">
        <f>IF('Données projet'!$A$140&gt;35,CT61+CS62-DB61,IF(A62&lt;'Données projet'!$A$140,$CQ$205^A62,IF(A62='Données projet'!$A$140,'Données projet'!$B$140,CT61+CS62-DB61)))</f>
        <v>457</v>
      </c>
      <c r="CU62" s="17">
        <f>CT62*VLOOKUP('Données projet'!$B$13,Paramètres!$A$1:$I$89,3,0)*VLOOKUP('Données projet'!$B$13,Paramètres!$A$1:$I$89,5,0)</f>
        <v>213.87599999999998</v>
      </c>
      <c r="CV62" s="13">
        <f t="shared" si="41"/>
        <v>52.781685550046873</v>
      </c>
      <c r="CW62" s="20">
        <f t="shared" si="13"/>
        <v>464.4288023329982</v>
      </c>
      <c r="CX62" s="59">
        <f t="shared" si="14"/>
        <v>725.11820952684093</v>
      </c>
      <c r="CY62" s="59">
        <f ca="1">AVERAGE(OFFSET($CX$3,0,0,'Données projet'!$E$13+1,1))-AVERAGE(OFFSET($H$3,0,0,'Données projet'!$E$13+1,1))</f>
        <v>379.16472924112111</v>
      </c>
      <c r="CZ62" s="59">
        <f t="shared" si="42"/>
        <v>273.18950868898253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11.152652100646065</v>
      </c>
      <c r="DG62" s="21">
        <f>EXP(-LN(2)/25)*DG61+(1-EXP(-LN(2)/25))/(LN(2)/25)*Calculateur!DB62*Calculateur!DD62*VLOOKUP('Données projet'!$B$13,Paramètres!$A$1:$I$89,3,0)*0.475*44/12</f>
        <v>15.266939096539438</v>
      </c>
      <c r="DH62" s="21">
        <f>EXP(-LN(2)/2)*DH61+(1-EXP(-LN(2)/2))/(LN(2)/2)*DB62*DE62*VLOOKUP('Données projet'!$B$13,Paramètres!$A$1:$I$89,3,0)*0.475*44/12</f>
        <v>0.31618741373687492</v>
      </c>
      <c r="DI62" s="22">
        <f t="shared" si="15"/>
        <v>26.735778610922377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21.4</v>
      </c>
      <c r="DO62" s="12">
        <f>IF('Données projet'!$A$166&gt;35,DO61+DN62-DW61,IF(A62&lt;'Données projet'!$A$166,$DL$205^A62,IF(A62='Données projet'!$A$166,'Données projet'!$B$166,DO61+DN62-DW61)))</f>
        <v>668.60000000000036</v>
      </c>
      <c r="DP62" s="17">
        <f>DO62*VLOOKUP('Données projet'!$B$14,Paramètres!$A$1:$I$89,3,0)*VLOOKUP('Données projet'!$B$14,Paramètres!$A$1:$I$89,5,0)</f>
        <v>269.44580000000013</v>
      </c>
      <c r="DQ62" s="13">
        <f t="shared" si="43"/>
        <v>64.731639999605832</v>
      </c>
      <c r="DR62" s="20">
        <f t="shared" si="16"/>
        <v>582.02570799931368</v>
      </c>
      <c r="DS62" s="59">
        <f t="shared" si="17"/>
        <v>842.71511519315641</v>
      </c>
      <c r="DT62" s="59">
        <f ca="1">AVERAGE(OFFSET($DS$3,0,0,'Données projet'!$E$14+1,1))-AVERAGE(OFFSET($H$3,0,0,'Données projet'!$E$14+1,1))</f>
        <v>419.35339339286082</v>
      </c>
      <c r="DU62" s="59">
        <f t="shared" si="44"/>
        <v>359.03308141414709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49.074027442184978</v>
      </c>
      <c r="EB62" s="21">
        <f>EXP(-LN(2)/25)*EB61+(1-EXP(-LN(2)/25))/(LN(2)/25)*Calculateur!DW62*Calculateur!DY62*VLOOKUP('Données projet'!$B$14,Paramètres!$A$1:$I$89,3,0)*0.475*44/12</f>
        <v>25.694424267510247</v>
      </c>
      <c r="EC62" s="21">
        <f>EXP(-LN(2)/2)*EC61+(1-EXP(-LN(2)/2))/(LN(2)/2)*DW62*DZ62*VLOOKUP('Données projet'!$B$14,Paramètres!$A$1:$I$89,3,0)*0.475*44/12</f>
        <v>1.614733302025364</v>
      </c>
      <c r="ED62" s="22">
        <f t="shared" si="18"/>
        <v>76.383185011720599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22.2</v>
      </c>
      <c r="EJ62" s="12">
        <f>IF('Données projet'!$A$192&gt;35,EJ61+EI62-ER61,IF(A62&lt;'Données projet'!$A$192,$EG$205^A62,IF(A62='Données projet'!$A$192,'Données projet'!$B$192,EJ61+EI62-ER61)))</f>
        <v>872.8000000000003</v>
      </c>
      <c r="EK62" s="17">
        <f>EJ62*VLOOKUP('Données projet'!$B$15,Paramètres!$A$1:$I$89,3,0)*VLOOKUP('Données projet'!$B$15,Paramètres!$A$1:$I$89,5,0)</f>
        <v>385.77760000000018</v>
      </c>
      <c r="EL62" s="13">
        <f t="shared" si="45"/>
        <v>88.887244682264352</v>
      </c>
      <c r="EM62" s="20">
        <f t="shared" si="19"/>
        <v>826.7079378216107</v>
      </c>
      <c r="EN62" s="59">
        <f t="shared" si="20"/>
        <v>1087.3973450154535</v>
      </c>
      <c r="EO62" s="59">
        <f ca="1">AVERAGE(OFFSET($EN$3,0,0,'Données projet'!$E$15+1,1))-AVERAGE(OFFSET($H$3,0,0,'Données projet'!$E$15+1,1))</f>
        <v>561.50881628354409</v>
      </c>
      <c r="EP62" s="59">
        <f t="shared" si="46"/>
        <v>468.67708352238458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60.16558234588345</v>
      </c>
      <c r="EW62" s="21">
        <f>EXP(-LN(2)/25)*EW61+(1-EXP(-LN(2)/25))/(LN(2)/25)*Calculateur!ER62*Calculateur!ET62*VLOOKUP('Données projet'!$B$15,Paramètres!$A$1:$I$89,3,0)*0.475*44/12</f>
        <v>35.661594292170271</v>
      </c>
      <c r="EX62" s="21">
        <f>EXP(-LN(2)/2)*EX61+(1-EXP(-LN(2)/2))/(LN(2)/2)*ER62*EU62*VLOOKUP('Données projet'!$B$15,Paramètres!$A$1:$I$89,3,0)*0.475*44/12</f>
        <v>1.5704280265707147</v>
      </c>
      <c r="EY62" s="22">
        <f t="shared" si="21"/>
        <v>97.397604664624424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272.99999999999989</v>
      </c>
      <c r="O63" s="13">
        <f>N63*VLOOKUP('Données projet'!$B$9,Paramètres!$A$1:$I$89,3,0)*VLOOKUP('Données projet'!$B$9,Paramètres!$A$1:$I$89,5,0)</f>
        <v>247.01039999999989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795.87024409467267</v>
      </c>
      <c r="S63" s="59">
        <f ca="1">AVERAGE(OFFSET($R$3,0,0,'Données projet'!$E$9+1,1))-AVERAGE(OFFSET($H$3,0,0,'Données projet'!$E$9+1,1))</f>
        <v>484.04602944257209</v>
      </c>
      <c r="T63" s="59">
        <f t="shared" si="34"/>
        <v>297.32483725004124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214</v>
      </c>
      <c r="AJ63" s="13">
        <f>AI63*VLOOKUP('Données projet'!$B$10,Paramètres!$A$1:$I$89,3,0)*VLOOKUP('Données projet'!$B$10,Paramètres!$A$1:$I$89,5,0)</f>
        <v>243.70320000000001</v>
      </c>
      <c r="AK63" s="13">
        <f t="shared" si="35"/>
        <v>59.235580564655933</v>
      </c>
      <c r="AL63" s="20">
        <f t="shared" si="4"/>
        <v>527.61837615010916</v>
      </c>
      <c r="AM63" s="59">
        <f t="shared" si="5"/>
        <v>788.87408248158658</v>
      </c>
      <c r="AN63" s="59">
        <f ca="1">AVERAGE(OFFSET($AM$3,0,0,'Données projet'!$E$10+1,1))-AVERAGE(OFFSET($H$3,0,0,'Données projet'!$E$10+1,1))</f>
        <v>493.74122500490859</v>
      </c>
      <c r="AO63" s="59">
        <f t="shared" si="36"/>
        <v>299.43985151679692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13.652994448333022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13.652994448333022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196.56000000000006</v>
      </c>
      <c r="BF63" s="13">
        <f t="shared" si="37"/>
        <v>48.987398161128134</v>
      </c>
      <c r="BG63" s="20">
        <f t="shared" si="7"/>
        <v>427.66171846396492</v>
      </c>
      <c r="BH63" s="59">
        <f t="shared" si="8"/>
        <v>688.91742479544246</v>
      </c>
      <c r="BI63" s="59">
        <f ca="1">AVERAGE(OFFSET($BH$3,0,0,'Données projet'!$E$11+1,1))-AVERAGE(OFFSET($H$3,0,0,'Données projet'!$E$11+1,1))</f>
        <v>364.64276939439014</v>
      </c>
      <c r="BJ63" s="59">
        <f t="shared" si="38"/>
        <v>341.7578598026638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0.215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18.365850697866911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18.365850697866911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588</v>
      </c>
      <c r="BW63" s="12">
        <f>VLOOKUP(A63,'Données projet'!$A$113:$I$133,9,0)</f>
        <v>17</v>
      </c>
      <c r="BX63" s="12">
        <f t="array" ref="BX63">INDEX(BW:BW,MIN(IF(ISNUMBER(BW63:BW259),ROW(BW63:BW259),"")))</f>
        <v>17</v>
      </c>
      <c r="BY63" s="12">
        <f>IF('Données projet'!$A$114&gt;35,BY62+BX63-CG62,IF(A63&lt;'Données projet'!$A$114,$BV$205^A63,IF(A63='Données projet'!$A$114,'Données projet'!$B$114,BY62+BX63-CG62)))</f>
        <v>588.00000000000023</v>
      </c>
      <c r="BZ63" s="13">
        <f>BY63*VLOOKUP('Données projet'!$B$12,Paramètres!$A$1:$I$89,3,0)*VLOOKUP('Données projet'!$B$12,Paramètres!$A$1:$I$89,5,0)</f>
        <v>351.62400000000019</v>
      </c>
      <c r="CA63" s="13">
        <f t="shared" si="39"/>
        <v>81.89681955603848</v>
      </c>
      <c r="CB63" s="20">
        <f t="shared" si="10"/>
        <v>755.04876072676723</v>
      </c>
      <c r="CC63" s="59">
        <f t="shared" si="11"/>
        <v>1016.3044670582447</v>
      </c>
      <c r="CD63" s="59">
        <f ca="1">AVERAGE(OFFSET($CC$3,0,0,'Données projet'!$E$12+1,1))-AVERAGE(OFFSET($H$3,0,0,'Données projet'!$E$12+1,1))</f>
        <v>435.81281313761326</v>
      </c>
      <c r="CE63" s="59">
        <f t="shared" si="40"/>
        <v>460.93390058676493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39</v>
      </c>
      <c r="CH63" s="16">
        <f>IF(ISNA(VLOOKUP(A63,'Données projet'!$A$113:$I$133,5,0)),0%,VLOOKUP(A63,'Données projet'!$A$113:$I$133,5,0)*VLOOKUP('Données projet'!$B$12,Paramètres!$A$1:$I$89,7,0))</f>
        <v>0.315</v>
      </c>
      <c r="CI63" s="16">
        <f>IF(ISNA(VLOOKUP(A63,'Données projet'!$A$113:$I$133,6,0)),0%,VLOOKUP(A63,'Données projet'!$A$113:$I$133,6,0)*VLOOKUP('Données projet'!$B$12,Paramètres!$A$1:$I$89,7,0))</f>
        <v>7.6500000000000012E-2</v>
      </c>
      <c r="CJ63" s="16">
        <f>IF(ISNA(VLOOKUP(A63,'Données projet'!$A$113:$I$133,7,0)),0%,VLOOKUP(A63,'Données projet'!$A$113:$I$133,7,0))</f>
        <v>0.13</v>
      </c>
      <c r="CK63" s="21">
        <f>EXP(-LN(2)/35)*CK62+(1-EXP(-LN(2)/35))/(LN(2)/35)*CG63*CH63*VLOOKUP('Données projet'!$B$12,Paramètres!$A$1:$I$89,3,0)*0.475*44/12</f>
        <v>59.581379370985857</v>
      </c>
      <c r="CL63" s="21">
        <f>EXP(-LN(2)/25)*CL62+(1-EXP(-LN(2)/25))/(LN(2)/25)*Calculateur!CG63*Calculateur!CI63*VLOOKUP('Données projet'!$B$12,Paramètres!$A$1:$I$89,3,0)*0.475*44/12</f>
        <v>31.480243769364218</v>
      </c>
      <c r="CM63" s="21">
        <f>EXP(-LN(2)/2)*CM62+(1-EXP(-LN(2)/2))/(LN(2)/2)*CG63*CJ63*VLOOKUP('Données projet'!$B$12,Paramètres!$A$1:$I$89,3,0)*0.475*44/12</f>
        <v>4.6649964626340648</v>
      </c>
      <c r="CN63" s="22">
        <f t="shared" si="12"/>
        <v>95.726619602984144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470</v>
      </c>
      <c r="CR63" s="12">
        <f>VLOOKUP(A63,'Données projet'!$A$139:$I$159,9,0)</f>
        <v>13</v>
      </c>
      <c r="CS63" s="12">
        <f t="array" ref="CS63">INDEX(CR:CR,MIN(IF(ISNUMBER(CR63:CR259),ROW(CR63:CR259),"")))</f>
        <v>13</v>
      </c>
      <c r="CT63" s="12">
        <f>IF('Données projet'!$A$140&gt;35,CT62+CS63-DB62,IF(A63&lt;'Données projet'!$A$140,$CQ$205^A63,IF(A63='Données projet'!$A$140,'Données projet'!$B$140,CT62+CS63-DB62)))</f>
        <v>470</v>
      </c>
      <c r="CU63" s="17">
        <f>CT63*VLOOKUP('Données projet'!$B$13,Paramètres!$A$1:$I$89,3,0)*VLOOKUP('Données projet'!$B$13,Paramètres!$A$1:$I$89,5,0)</f>
        <v>219.95999999999998</v>
      </c>
      <c r="CV63" s="13">
        <f t="shared" si="41"/>
        <v>54.106191826225746</v>
      </c>
      <c r="CW63" s="20">
        <f t="shared" si="13"/>
        <v>477.33195076400972</v>
      </c>
      <c r="CX63" s="59">
        <f t="shared" si="14"/>
        <v>738.5876570954872</v>
      </c>
      <c r="CY63" s="59">
        <f ca="1">AVERAGE(OFFSET($CX$3,0,0,'Données projet'!$E$13+1,1))-AVERAGE(OFFSET($H$3,0,0,'Données projet'!$E$13+1,1))</f>
        <v>379.16472924112111</v>
      </c>
      <c r="CZ63" s="59">
        <f t="shared" si="42"/>
        <v>273.18950868898253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40</v>
      </c>
      <c r="DC63" s="16">
        <f>IF(ISNA(VLOOKUP(A63,'Données projet'!$A$139:$I$159,5,0)),0%,VLOOKUP(A63,'Données projet'!$A$139:$I$159,5,0)*VLOOKUP('Données projet'!$B$13,Paramètres!$A$1:$I$89,7,0))</f>
        <v>0.27500000000000002</v>
      </c>
      <c r="DD63" s="16">
        <f>IF(ISNA(VLOOKUP(A63,'Données projet'!$A$139:$I$159,6,0)),0%,VLOOKUP(A63,'Données projet'!$A$139:$I$159,6,0)*VLOOKUP('Données projet'!$B$13,Paramètres!$A$1:$I$89,7,0))</f>
        <v>0.15400000000000003</v>
      </c>
      <c r="DE63" s="16">
        <f>IF(ISNA(VLOOKUP(A63,'Données projet'!$A$139:$I$159,7,0)),0%,VLOOKUP(A63,'Données projet'!$A$139:$I$159,7,0))</f>
        <v>0.22</v>
      </c>
      <c r="DF63" s="21">
        <f>EXP(-LN(2)/35)*DF62+(1-EXP(-LN(2)/35))/(LN(2)/35)*DB63*DC63*VLOOKUP('Données projet'!$B$13,Paramètres!$A$1:$I$89,3,0)*0.475*44/12</f>
        <v>17.763109212001243</v>
      </c>
      <c r="DG63" s="21">
        <f>EXP(-LN(2)/25)*DG62+(1-EXP(-LN(2)/25))/(LN(2)/25)*Calculateur!DB63*Calculateur!DD63*VLOOKUP('Données projet'!$B$13,Paramètres!$A$1:$I$89,3,0)*0.475*44/12</f>
        <v>18.658732152203633</v>
      </c>
      <c r="DH63" s="21">
        <f>EXP(-LN(2)/2)*DH62+(1-EXP(-LN(2)/2))/(LN(2)/2)*DB63*DE63*VLOOKUP('Données projet'!$B$13,Paramètres!$A$1:$I$89,3,0)*0.475*44/12</f>
        <v>4.8865637585121773</v>
      </c>
      <c r="DI63" s="22">
        <f t="shared" si="15"/>
        <v>41.308405122717055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690</v>
      </c>
      <c r="DM63" s="12">
        <f>VLOOKUP(A63,'Données projet'!$A$165:$I$185,9,0)</f>
        <v>21.4</v>
      </c>
      <c r="DN63" s="12">
        <f t="array" ref="DN63">INDEX(DM:DM,MIN(IF(ISNUMBER(DM63:DM259),ROW(DM63:DM259),"")))</f>
        <v>21.4</v>
      </c>
      <c r="DO63" s="12">
        <f>IF('Données projet'!$A$166&gt;35,DO62+DN63-DW62,IF(A63&lt;'Données projet'!$A$166,$DL$205^A63,IF(A63='Données projet'!$A$166,'Données projet'!$B$166,DO62+DN63-DW62)))</f>
        <v>690.00000000000034</v>
      </c>
      <c r="DP63" s="17">
        <f>DO63*VLOOKUP('Données projet'!$B$14,Paramètres!$A$1:$I$89,3,0)*VLOOKUP('Données projet'!$B$14,Paramètres!$A$1:$I$89,5,0)</f>
        <v>278.07000000000011</v>
      </c>
      <c r="DQ63" s="13">
        <f t="shared" si="43"/>
        <v>66.558980358276997</v>
      </c>
      <c r="DR63" s="20">
        <f t="shared" si="16"/>
        <v>600.22880745733255</v>
      </c>
      <c r="DS63" s="59">
        <f t="shared" si="17"/>
        <v>861.48451378881009</v>
      </c>
      <c r="DT63" s="59">
        <f ca="1">AVERAGE(OFFSET($DS$3,0,0,'Données projet'!$E$14+1,1))-AVERAGE(OFFSET($H$3,0,0,'Données projet'!$E$14+1,1))</f>
        <v>419.35339339286082</v>
      </c>
      <c r="DU63" s="59">
        <f t="shared" si="44"/>
        <v>359.03308141414709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56</v>
      </c>
      <c r="DX63" s="16">
        <f>IF(ISNA(VLOOKUP(A63,'Données projet'!$A$165:$I$185,5,0)),0%,VLOOKUP(A63,'Données projet'!$A$165:$I$185,5,0)*VLOOKUP('Données projet'!$B$14,Paramètres!$A$1:$I$89,7,0))</f>
        <v>0.38500000000000001</v>
      </c>
      <c r="DY63" s="16">
        <f>IF(ISNA(VLOOKUP(A63,'Données projet'!$A$165:$I$185,6,0)),0%,VLOOKUP(A63,'Données projet'!$A$165:$I$185,6,0)*VLOOKUP('Données projet'!$B$14,Paramètres!$A$1:$I$89,7,0))</f>
        <v>9.3500000000000014E-2</v>
      </c>
      <c r="DZ63" s="16">
        <f>IF(ISNA(VLOOKUP(A63,'Données projet'!$A$165:$I$185,7,0)),0%,VLOOKUP(A63,'Données projet'!$A$165:$I$185,7,0))</f>
        <v>0.13</v>
      </c>
      <c r="EA63" s="21">
        <f>EXP(-LN(2)/35)*EA62+(1-EXP(-LN(2)/35))/(LN(2)/35)*DW63*DX63*VLOOKUP('Données projet'!$B$14,Paramètres!$A$1:$I$89,3,0)*0.475*44/12</f>
        <v>59.637809748933329</v>
      </c>
      <c r="EB63" s="21">
        <f>EXP(-LN(2)/25)*EB62+(1-EXP(-LN(2)/25))/(LN(2)/25)*Calculateur!DW63*Calculateur!DY63*VLOOKUP('Données projet'!$B$14,Paramètres!$A$1:$I$89,3,0)*0.475*44/12</f>
        <v>27.779981660225367</v>
      </c>
      <c r="EC63" s="21">
        <f>EXP(-LN(2)/2)*EC62+(1-EXP(-LN(2)/2))/(LN(2)/2)*DW63*DZ63*VLOOKUP('Données projet'!$B$14,Paramètres!$A$1:$I$89,3,0)*0.475*44/12</f>
        <v>4.4635772714449278</v>
      </c>
      <c r="ED63" s="22">
        <f t="shared" si="18"/>
        <v>91.881368680603629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895</v>
      </c>
      <c r="EH63" s="12">
        <f>VLOOKUP(A63,'Données projet'!$A$191:$I$211,9,0)</f>
        <v>22.2</v>
      </c>
      <c r="EI63" s="12">
        <f t="array" ref="EI63">INDEX(EH:EH,MIN(IF(ISNUMBER(EH63:EH259),ROW(EH63:EH259),"")))</f>
        <v>22.2</v>
      </c>
      <c r="EJ63" s="12">
        <f>IF('Données projet'!$A$192&gt;35,EJ62+EI63-ER62,IF(A63&lt;'Données projet'!$A$192,$EG$205^A63,IF(A63='Données projet'!$A$192,'Données projet'!$B$192,EJ62+EI63-ER62)))</f>
        <v>895.00000000000034</v>
      </c>
      <c r="EK63" s="17">
        <f>EJ63*VLOOKUP('Données projet'!$B$15,Paramètres!$A$1:$I$89,3,0)*VLOOKUP('Données projet'!$B$15,Paramètres!$A$1:$I$89,5,0)</f>
        <v>395.5900000000002</v>
      </c>
      <c r="EL63" s="13">
        <f t="shared" si="45"/>
        <v>90.882029353978083</v>
      </c>
      <c r="EM63" s="20">
        <f t="shared" si="19"/>
        <v>847.27211779151219</v>
      </c>
      <c r="EN63" s="59">
        <f t="shared" si="20"/>
        <v>1108.5278241229896</v>
      </c>
      <c r="EO63" s="59">
        <f ca="1">AVERAGE(OFFSET($EN$3,0,0,'Données projet'!$E$15+1,1))-AVERAGE(OFFSET($H$3,0,0,'Données projet'!$E$15+1,1))</f>
        <v>561.50881628354409</v>
      </c>
      <c r="EP63" s="59">
        <f t="shared" si="46"/>
        <v>468.67708352238458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48</v>
      </c>
      <c r="ES63" s="16">
        <f>IF(ISNA(VLOOKUP(A63,'Données projet'!$A$191:$I$211,5,0)),0%,VLOOKUP(A63,'Données projet'!$A$191:$I$211,5,0)*VLOOKUP('Données projet'!$B$15,Paramètres!$A$1:$I$89,7,0))</f>
        <v>0.38500000000000001</v>
      </c>
      <c r="ET63" s="16">
        <f>IF(ISNA(VLOOKUP(A63,'Données projet'!$A$191:$I$211,6,0)),0%,VLOOKUP(A63,'Données projet'!$A$191:$I$211,6,0)*VLOOKUP('Données projet'!$B$15,Paramètres!$A$1:$I$89,7,0))</f>
        <v>9.3500000000000014E-2</v>
      </c>
      <c r="EU63" s="16">
        <f>IF(ISNA(VLOOKUP(A63,'Données projet'!$A$191:$I$211,7,0)),0%,VLOOKUP(A63,'Données projet'!$A$191:$I$211,7,0))</f>
        <v>0.13</v>
      </c>
      <c r="EV63" s="21">
        <f>EXP(-LN(2)/35)*EV62+(1-EXP(-LN(2)/35))/(LN(2)/35)*ER63*ES63*VLOOKUP('Données projet'!$B$15,Paramètres!$A$1:$I$89,3,0)*0.475*44/12</f>
        <v>69.821362695805377</v>
      </c>
      <c r="EW63" s="21">
        <f>EXP(-LN(2)/25)*EW62+(1-EXP(-LN(2)/25))/(LN(2)/25)*Calculateur!ER63*Calculateur!ET63*VLOOKUP('Données projet'!$B$15,Paramètres!$A$1:$I$89,3,0)*0.475*44/12</f>
        <v>37.307565504328458</v>
      </c>
      <c r="EX63" s="21">
        <f>EXP(-LN(2)/2)*EX62+(1-EXP(-LN(2)/2))/(LN(2)/2)*ER63*EU63*VLOOKUP('Données projet'!$B$15,Paramètres!$A$1:$I$89,3,0)*0.475*44/12</f>
        <v>4.2332475621153556</v>
      </c>
      <c r="EY63" s="22">
        <f t="shared" si="21"/>
        <v>111.36217576224918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</v>
      </c>
      <c r="O64" s="13">
        <f>N64*VLOOKUP('Données projet'!$B$9,Paramètres!$A$1:$I$89,3,0)*VLOOKUP('Données projet'!$B$9,Paramètres!$A$1:$I$89,5,0)</f>
        <v>229.63823999999988</v>
      </c>
      <c r="P64" s="13">
        <f t="shared" si="33"/>
        <v>56.204453396569633</v>
      </c>
      <c r="Q64" s="20">
        <f t="shared" si="53"/>
        <v>497.84269099902525</v>
      </c>
      <c r="R64" s="59">
        <f t="shared" si="0"/>
        <v>759.65487244415453</v>
      </c>
      <c r="S64" s="59">
        <f ca="1">AVERAGE(OFFSET($R$3,0,0,'Données projet'!$E$9+1,1))-AVERAGE(OFFSET($H$3,0,0,'Données projet'!$E$9+1,1))</f>
        <v>484.04602944257209</v>
      </c>
      <c r="T64" s="59">
        <f t="shared" si="34"/>
        <v>297.32483725004124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200.2</v>
      </c>
      <c r="AJ64" s="13">
        <f>AI64*VLOOKUP('Données projet'!$B$10,Paramètres!$A$1:$I$89,3,0)*VLOOKUP('Données projet'!$B$10,Paramètres!$A$1:$I$89,5,0)</f>
        <v>227.98775999999998</v>
      </c>
      <c r="AK64" s="13">
        <f t="shared" si="35"/>
        <v>55.847365929662935</v>
      </c>
      <c r="AL64" s="20">
        <f t="shared" si="4"/>
        <v>494.3461776608296</v>
      </c>
      <c r="AM64" s="59">
        <f t="shared" si="5"/>
        <v>756.15835910595888</v>
      </c>
      <c r="AN64" s="59">
        <f ca="1">AVERAGE(OFFSET($AM$3,0,0,'Données projet'!$E$10+1,1))-AVERAGE(OFFSET($H$3,0,0,'Données projet'!$E$10+1,1))</f>
        <v>493.74122500490859</v>
      </c>
      <c r="AO64" s="59">
        <f t="shared" si="36"/>
        <v>299.43985151679692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13.385267554705552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13.385267554705552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183.10656000000003</v>
      </c>
      <c r="BF64" s="13">
        <f t="shared" si="37"/>
        <v>46.012648718992089</v>
      </c>
      <c r="BG64" s="20">
        <f t="shared" si="7"/>
        <v>399.04928851891128</v>
      </c>
      <c r="BH64" s="59">
        <f t="shared" si="8"/>
        <v>660.86146996404068</v>
      </c>
      <c r="BI64" s="59">
        <f ca="1">AVERAGE(OFFSET($BH$3,0,0,'Données projet'!$E$11+1,1))-AVERAGE(OFFSET($H$3,0,0,'Données projet'!$E$11+1,1))</f>
        <v>364.64276939439014</v>
      </c>
      <c r="BJ64" s="59">
        <f t="shared" si="38"/>
        <v>341.7578598026638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18.005707567744555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18.005707567744555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15.6</v>
      </c>
      <c r="BY64" s="12">
        <f>IF('Données projet'!$A$114&gt;35,BY63+BX64-CG63,IF(A64&lt;'Données projet'!$A$114,$BV$205^A64,IF(A64='Données projet'!$A$114,'Données projet'!$B$114,BY63+BX64-CG63)))</f>
        <v>564.60000000000025</v>
      </c>
      <c r="BZ64" s="13">
        <f>BY64*VLOOKUP('Données projet'!$B$12,Paramètres!$A$1:$I$89,3,0)*VLOOKUP('Données projet'!$B$12,Paramètres!$A$1:$I$89,5,0)</f>
        <v>337.63080000000019</v>
      </c>
      <c r="CA64" s="13">
        <f t="shared" si="39"/>
        <v>79.010255670889975</v>
      </c>
      <c r="CB64" s="20">
        <f t="shared" si="10"/>
        <v>725.64983862680037</v>
      </c>
      <c r="CC64" s="59">
        <f t="shared" si="11"/>
        <v>987.46202007192971</v>
      </c>
      <c r="CD64" s="59">
        <f ca="1">AVERAGE(OFFSET($CC$3,0,0,'Données projet'!$E$12+1,1))-AVERAGE(OFFSET($H$3,0,0,'Données projet'!$E$12+1,1))</f>
        <v>435.81281313761326</v>
      </c>
      <c r="CE64" s="59">
        <f t="shared" si="40"/>
        <v>460.93390058676493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58.413024862573863</v>
      </c>
      <c r="CL64" s="21">
        <f>EXP(-LN(2)/25)*CL63+(1-EXP(-LN(2)/25))/(LN(2)/25)*Calculateur!CG64*Calculateur!CI64*VLOOKUP('Données projet'!$B$12,Paramètres!$A$1:$I$89,3,0)*0.475*44/12</f>
        <v>30.619414848016884</v>
      </c>
      <c r="CM64" s="21">
        <f>EXP(-LN(2)/2)*CM63+(1-EXP(-LN(2)/2))/(LN(2)/2)*CG64*CJ64*VLOOKUP('Données projet'!$B$12,Paramètres!$A$1:$I$89,3,0)*0.475*44/12</f>
        <v>3.298650632939804</v>
      </c>
      <c r="CN64" s="22">
        <f t="shared" si="12"/>
        <v>92.331090343530548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12</v>
      </c>
      <c r="CT64" s="12">
        <f>IF('Données projet'!$A$140&gt;35,CT63+CS64-DB63,IF(A64&lt;'Données projet'!$A$140,$CQ$205^A64,IF(A64='Données projet'!$A$140,'Données projet'!$B$140,CT63+CS64-DB63)))</f>
        <v>442</v>
      </c>
      <c r="CU64" s="17">
        <f>CT64*VLOOKUP('Données projet'!$B$13,Paramètres!$A$1:$I$89,3,0)*VLOOKUP('Données projet'!$B$13,Paramètres!$A$1:$I$89,5,0)</f>
        <v>206.85600000000002</v>
      </c>
      <c r="CV64" s="13">
        <f t="shared" si="41"/>
        <v>51.247940588293027</v>
      </c>
      <c r="CW64" s="20">
        <f t="shared" si="13"/>
        <v>449.53102985794368</v>
      </c>
      <c r="CX64" s="59">
        <f t="shared" si="14"/>
        <v>711.34321130307308</v>
      </c>
      <c r="CY64" s="59">
        <f ca="1">AVERAGE(OFFSET($CX$3,0,0,'Données projet'!$E$13+1,1))-AVERAGE(OFFSET($H$3,0,0,'Données projet'!$E$13+1,1))</f>
        <v>379.16472924112111</v>
      </c>
      <c r="CZ64" s="59">
        <f t="shared" si="42"/>
        <v>273.18950868898253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17.414785474780707</v>
      </c>
      <c r="DG64" s="21">
        <f>EXP(-LN(2)/25)*DG63+(1-EXP(-LN(2)/25))/(LN(2)/25)*Calculateur!DB64*Calculateur!DD64*VLOOKUP('Données projet'!$B$13,Paramètres!$A$1:$I$89,3,0)*0.475*44/12</f>
        <v>18.148508140281546</v>
      </c>
      <c r="DH64" s="21">
        <f>EXP(-LN(2)/2)*DH63+(1-EXP(-LN(2)/2))/(LN(2)/2)*DB64*DE64*VLOOKUP('Données projet'!$B$13,Paramètres!$A$1:$I$89,3,0)*0.475*44/12</f>
        <v>3.4553223703443838</v>
      </c>
      <c r="DI64" s="22">
        <f t="shared" si="15"/>
        <v>39.018615985406633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20</v>
      </c>
      <c r="DO64" s="12">
        <f>IF('Données projet'!$A$166&gt;35,DO63+DN64-DW63,IF(A64&lt;'Données projet'!$A$166,$DL$205^A64,IF(A64='Données projet'!$A$166,'Données projet'!$B$166,DO63+DN64-DW63)))</f>
        <v>654.00000000000034</v>
      </c>
      <c r="DP64" s="17">
        <f>DO64*VLOOKUP('Données projet'!$B$14,Paramètres!$A$1:$I$89,3,0)*VLOOKUP('Données projet'!$B$14,Paramètres!$A$1:$I$89,5,0)</f>
        <v>263.56200000000013</v>
      </c>
      <c r="DQ64" s="13">
        <f t="shared" si="43"/>
        <v>63.481050076870403</v>
      </c>
      <c r="DR64" s="20">
        <f t="shared" si="16"/>
        <v>569.59997888388273</v>
      </c>
      <c r="DS64" s="59">
        <f t="shared" si="17"/>
        <v>831.41216032901207</v>
      </c>
      <c r="DT64" s="59">
        <f ca="1">AVERAGE(OFFSET($DS$3,0,0,'Données projet'!$E$14+1,1))-AVERAGE(OFFSET($H$3,0,0,'Données projet'!$E$14+1,1))</f>
        <v>419.35339339286082</v>
      </c>
      <c r="DU64" s="59">
        <f t="shared" si="44"/>
        <v>359.03308141414709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58.46834867522891</v>
      </c>
      <c r="EB64" s="21">
        <f>EXP(-LN(2)/25)*EB63+(1-EXP(-LN(2)/25))/(LN(2)/25)*Calculateur!DW64*Calculateur!DY64*VLOOKUP('Données projet'!$B$14,Paramètres!$A$1:$I$89,3,0)*0.475*44/12</f>
        <v>27.020336600840761</v>
      </c>
      <c r="EC64" s="21">
        <f>EXP(-LN(2)/2)*EC63+(1-EXP(-LN(2)/2))/(LN(2)/2)*DW64*DZ64*VLOOKUP('Données projet'!$B$14,Paramètres!$A$1:$I$89,3,0)*0.475*44/12</f>
        <v>3.1562257569888557</v>
      </c>
      <c r="ED64" s="22">
        <f t="shared" si="18"/>
        <v>88.644911033058534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19</v>
      </c>
      <c r="EJ64" s="12">
        <f>IF('Données projet'!$A$192&gt;35,EJ63+EI64-ER63,IF(A64&lt;'Données projet'!$A$192,$EG$205^A64,IF(A64='Données projet'!$A$192,'Données projet'!$B$192,EJ63+EI64-ER63)))</f>
        <v>866.00000000000034</v>
      </c>
      <c r="EK64" s="17">
        <f>EJ64*VLOOKUP('Données projet'!$B$15,Paramètres!$A$1:$I$89,3,0)*VLOOKUP('Données projet'!$B$15,Paramètres!$A$1:$I$89,5,0)</f>
        <v>382.77200000000016</v>
      </c>
      <c r="EL64" s="13">
        <f t="shared" si="45"/>
        <v>88.2750539083722</v>
      </c>
      <c r="EM64" s="20">
        <f t="shared" si="19"/>
        <v>820.40695222374859</v>
      </c>
      <c r="EN64" s="59">
        <f t="shared" si="20"/>
        <v>1082.2191336688779</v>
      </c>
      <c r="EO64" s="59">
        <f ca="1">AVERAGE(OFFSET($EN$3,0,0,'Données projet'!$E$15+1,1))-AVERAGE(OFFSET($H$3,0,0,'Données projet'!$E$15+1,1))</f>
        <v>561.50881628354409</v>
      </c>
      <c r="EP64" s="59">
        <f t="shared" si="46"/>
        <v>468.67708352238458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68.452208360166779</v>
      </c>
      <c r="EW64" s="21">
        <f>EXP(-LN(2)/25)*EW63+(1-EXP(-LN(2)/25))/(LN(2)/25)*Calculateur!ER64*Calculateur!ET64*VLOOKUP('Données projet'!$B$15,Paramètres!$A$1:$I$89,3,0)*0.475*44/12</f>
        <v>36.287388163692995</v>
      </c>
      <c r="EX64" s="21">
        <f>EXP(-LN(2)/2)*EX63+(1-EXP(-LN(2)/2))/(LN(2)/2)*ER64*EU64*VLOOKUP('Données projet'!$B$15,Paramètres!$A$1:$I$89,3,0)*0.475*44/12</f>
        <v>2.9933580576131886</v>
      </c>
      <c r="EY64" s="22">
        <f t="shared" si="21"/>
        <v>107.73295458147297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262.59999999999991</v>
      </c>
      <c r="O65" s="13">
        <f>N65*VLOOKUP('Données projet'!$B$9,Paramètres!$A$1:$I$89,3,0)*VLOOKUP('Données projet'!$B$9,Paramètres!$A$1:$I$89,5,0)</f>
        <v>237.60047999999992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777.06232855539611</v>
      </c>
      <c r="S65" s="59">
        <f ca="1">AVERAGE(OFFSET($R$3,0,0,'Données projet'!$E$9+1,1))-AVERAGE(OFFSET($H$3,0,0,'Données projet'!$E$9+1,1))</f>
        <v>484.04602944257209</v>
      </c>
      <c r="T65" s="59">
        <f t="shared" si="34"/>
        <v>297.32483725004124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207.39999999999998</v>
      </c>
      <c r="AJ65" s="13">
        <f>AI65*VLOOKUP('Données projet'!$B$10,Paramètres!$A$1:$I$89,3,0)*VLOOKUP('Données projet'!$B$10,Paramètres!$A$1:$I$89,5,0)</f>
        <v>236.18711999999999</v>
      </c>
      <c r="AK65" s="13">
        <f t="shared" si="35"/>
        <v>57.61840772987285</v>
      </c>
      <c r="AL65" s="20">
        <f t="shared" si="4"/>
        <v>511.71129412952843</v>
      </c>
      <c r="AM65" s="59">
        <f t="shared" si="5"/>
        <v>774.0702970891798</v>
      </c>
      <c r="AN65" s="59">
        <f ca="1">AVERAGE(OFFSET($AM$3,0,0,'Données projet'!$E$10+1,1))-AVERAGE(OFFSET($H$3,0,0,'Données projet'!$E$10+1,1))</f>
        <v>493.74122500490859</v>
      </c>
      <c r="AO65" s="59">
        <f t="shared" si="36"/>
        <v>299.43985151679692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13.122790622164835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13.122790622164835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187.99872000000002</v>
      </c>
      <c r="BF65" s="13">
        <f t="shared" si="37"/>
        <v>47.097225953569499</v>
      </c>
      <c r="BG65" s="20">
        <f t="shared" si="7"/>
        <v>409.45877253580028</v>
      </c>
      <c r="BH65" s="59">
        <f t="shared" si="8"/>
        <v>671.81777549545154</v>
      </c>
      <c r="BI65" s="59">
        <f ca="1">AVERAGE(OFFSET($BH$3,0,0,'Données projet'!$E$11+1,1))-AVERAGE(OFFSET($H$3,0,0,'Données projet'!$E$11+1,1))</f>
        <v>364.64276939439014</v>
      </c>
      <c r="BJ65" s="59">
        <f t="shared" si="38"/>
        <v>341.7578598026638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17.652626624738279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17.652626624738279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15.6</v>
      </c>
      <c r="BY65" s="12">
        <f>IF('Données projet'!$A$114&gt;35,BY64+BX65-CG64,IF(A65&lt;'Données projet'!$A$114,$BV$205^A65,IF(A65='Données projet'!$A$114,'Données projet'!$B$114,BY64+BX65-CG64)))</f>
        <v>580.20000000000027</v>
      </c>
      <c r="BZ65" s="13">
        <f>BY65*VLOOKUP('Données projet'!$B$12,Paramètres!$A$1:$I$89,3,0)*VLOOKUP('Données projet'!$B$12,Paramètres!$A$1:$I$89,5,0)</f>
        <v>346.95960000000014</v>
      </c>
      <c r="CA65" s="13">
        <f t="shared" si="39"/>
        <v>80.936143758770243</v>
      </c>
      <c r="CB65" s="20">
        <f t="shared" si="10"/>
        <v>745.25175371319165</v>
      </c>
      <c r="CC65" s="59">
        <f t="shared" si="11"/>
        <v>1007.610756672843</v>
      </c>
      <c r="CD65" s="59">
        <f ca="1">AVERAGE(OFFSET($CC$3,0,0,'Données projet'!$E$12+1,1))-AVERAGE(OFFSET($H$3,0,0,'Données projet'!$E$12+1,1))</f>
        <v>435.81281313761326</v>
      </c>
      <c r="CE65" s="59">
        <f t="shared" si="40"/>
        <v>460.93390058676493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57.267581073445939</v>
      </c>
      <c r="CL65" s="21">
        <f>EXP(-LN(2)/25)*CL64+(1-EXP(-LN(2)/25))/(LN(2)/25)*Calculateur!CG65*Calculateur!CI65*VLOOKUP('Données projet'!$B$12,Paramètres!$A$1:$I$89,3,0)*0.475*44/12</f>
        <v>29.782125338792817</v>
      </c>
      <c r="CM65" s="21">
        <f>EXP(-LN(2)/2)*CM64+(1-EXP(-LN(2)/2))/(LN(2)/2)*CG65*CJ65*VLOOKUP('Données projet'!$B$12,Paramètres!$A$1:$I$89,3,0)*0.475*44/12</f>
        <v>2.3324982313170328</v>
      </c>
      <c r="CN65" s="22">
        <f t="shared" si="12"/>
        <v>89.382204643555781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12</v>
      </c>
      <c r="CT65" s="12">
        <f>IF('Données projet'!$A$140&gt;35,CT64+CS65-DB64,IF(A65&lt;'Données projet'!$A$140,$CQ$205^A65,IF(A65='Données projet'!$A$140,'Données projet'!$B$140,CT64+CS65-DB64)))</f>
        <v>454</v>
      </c>
      <c r="CU65" s="17">
        <f>CT65*VLOOKUP('Données projet'!$B$13,Paramètres!$A$1:$I$89,3,0)*VLOOKUP('Données projet'!$B$13,Paramètres!$A$1:$I$89,5,0)</f>
        <v>212.47200000000001</v>
      </c>
      <c r="CV65" s="13">
        <f t="shared" si="41"/>
        <v>52.475411418566523</v>
      </c>
      <c r="CW65" s="20">
        <f t="shared" si="13"/>
        <v>461.45007488733671</v>
      </c>
      <c r="CX65" s="59">
        <f t="shared" si="14"/>
        <v>723.80907784698798</v>
      </c>
      <c r="CY65" s="59">
        <f ca="1">AVERAGE(OFFSET($CX$3,0,0,'Données projet'!$E$13+1,1))-AVERAGE(OFFSET($H$3,0,0,'Données projet'!$E$13+1,1))</f>
        <v>379.16472924112111</v>
      </c>
      <c r="CZ65" s="59">
        <f t="shared" si="42"/>
        <v>273.18950868898253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17.073292153590565</v>
      </c>
      <c r="DG65" s="21">
        <f>EXP(-LN(2)/25)*DG64+(1-EXP(-LN(2)/25))/(LN(2)/25)*Calculateur!DB65*Calculateur!DD65*VLOOKUP('Données projet'!$B$13,Paramètres!$A$1:$I$89,3,0)*0.475*44/12</f>
        <v>17.652236230796984</v>
      </c>
      <c r="DH65" s="21">
        <f>EXP(-LN(2)/2)*DH64+(1-EXP(-LN(2)/2))/(LN(2)/2)*DB65*DE65*VLOOKUP('Données projet'!$B$13,Paramètres!$A$1:$I$89,3,0)*0.475*44/12</f>
        <v>2.4432818792560891</v>
      </c>
      <c r="DI65" s="22">
        <f t="shared" si="15"/>
        <v>37.168810263643635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20</v>
      </c>
      <c r="DO65" s="12">
        <f>IF('Données projet'!$A$166&gt;35,DO64+DN65-DW64,IF(A65&lt;'Données projet'!$A$166,$DL$205^A65,IF(A65='Données projet'!$A$166,'Données projet'!$B$166,DO64+DN65-DW64)))</f>
        <v>674.00000000000034</v>
      </c>
      <c r="DP65" s="17">
        <f>DO65*VLOOKUP('Données projet'!$B$14,Paramètres!$A$1:$I$89,3,0)*VLOOKUP('Données projet'!$B$14,Paramètres!$A$1:$I$89,5,0)</f>
        <v>271.62200000000013</v>
      </c>
      <c r="DQ65" s="13">
        <f t="shared" si="43"/>
        <v>65.193378539290933</v>
      </c>
      <c r="DR65" s="20">
        <f t="shared" si="16"/>
        <v>586.62011762259851</v>
      </c>
      <c r="DS65" s="59">
        <f t="shared" si="17"/>
        <v>848.97912058224983</v>
      </c>
      <c r="DT65" s="59">
        <f ca="1">AVERAGE(OFFSET($DS$3,0,0,'Données projet'!$E$14+1,1))-AVERAGE(OFFSET($H$3,0,0,'Données projet'!$E$14+1,1))</f>
        <v>419.35339339286082</v>
      </c>
      <c r="DU65" s="59">
        <f t="shared" si="44"/>
        <v>359.03308141414709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57.321820019879013</v>
      </c>
      <c r="EB65" s="21">
        <f>EXP(-LN(2)/25)*EB64+(1-EXP(-LN(2)/25))/(LN(2)/25)*Calculateur!DW65*Calculateur!DY65*VLOOKUP('Données projet'!$B$14,Paramètres!$A$1:$I$89,3,0)*0.475*44/12</f>
        <v>26.281464075553025</v>
      </c>
      <c r="EC65" s="21">
        <f>EXP(-LN(2)/2)*EC64+(1-EXP(-LN(2)/2))/(LN(2)/2)*DW65*DZ65*VLOOKUP('Données projet'!$B$14,Paramètres!$A$1:$I$89,3,0)*0.475*44/12</f>
        <v>2.2317886357224643</v>
      </c>
      <c r="ED65" s="22">
        <f t="shared" si="18"/>
        <v>85.835072731154497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19</v>
      </c>
      <c r="EJ65" s="12">
        <f>IF('Données projet'!$A$192&gt;35,EJ64+EI65-ER64,IF(A65&lt;'Données projet'!$A$192,$EG$205^A65,IF(A65='Données projet'!$A$192,'Données projet'!$B$192,EJ64+EI65-ER64)))</f>
        <v>885.00000000000034</v>
      </c>
      <c r="EK65" s="17">
        <f>EJ65*VLOOKUP('Données projet'!$B$15,Paramètres!$A$1:$I$89,3,0)*VLOOKUP('Données projet'!$B$15,Paramètres!$A$1:$I$89,5,0)</f>
        <v>391.17000000000019</v>
      </c>
      <c r="EL65" s="13">
        <f t="shared" si="45"/>
        <v>89.984199195650689</v>
      </c>
      <c r="EM65" s="20">
        <f t="shared" si="19"/>
        <v>838.01023026575865</v>
      </c>
      <c r="EN65" s="59">
        <f t="shared" si="20"/>
        <v>1100.36923322541</v>
      </c>
      <c r="EO65" s="59">
        <f ca="1">AVERAGE(OFFSET($EN$3,0,0,'Données projet'!$E$15+1,1))-AVERAGE(OFFSET($H$3,0,0,'Données projet'!$E$15+1,1))</f>
        <v>561.50881628354409</v>
      </c>
      <c r="EP65" s="59">
        <f t="shared" si="46"/>
        <v>468.67708352238458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67.109902305948367</v>
      </c>
      <c r="EW65" s="21">
        <f>EXP(-LN(2)/25)*EW64+(1-EXP(-LN(2)/25))/(LN(2)/25)*Calculateur!ER65*Calculateur!ET65*VLOOKUP('Données projet'!$B$15,Paramètres!$A$1:$I$89,3,0)*0.475*44/12</f>
        <v>35.295107626086001</v>
      </c>
      <c r="EX65" s="21">
        <f>EXP(-LN(2)/2)*EX64+(1-EXP(-LN(2)/2))/(LN(2)/2)*ER65*EU65*VLOOKUP('Données projet'!$B$15,Paramètres!$A$1:$I$89,3,0)*0.475*44/12</f>
        <v>2.1166237810576782</v>
      </c>
      <c r="EY65" s="22">
        <f t="shared" si="21"/>
        <v>104.52163371309206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271.39999999999992</v>
      </c>
      <c r="O66" s="13">
        <f>N66*VLOOKUP('Données projet'!$B$9,Paramètres!$A$1:$I$89,3,0)*VLOOKUP('Données projet'!$B$9,Paramètres!$A$1:$I$89,5,0)</f>
        <v>245.56271999999993</v>
      </c>
      <c r="P66" s="13">
        <f t="shared" si="33"/>
        <v>59.634776048276898</v>
      </c>
      <c r="Q66" s="20">
        <f t="shared" si="53"/>
        <v>531.55230561741553</v>
      </c>
      <c r="R66" s="59">
        <f t="shared" si="0"/>
        <v>794.44864396082164</v>
      </c>
      <c r="S66" s="59">
        <f ca="1">AVERAGE(OFFSET($R$3,0,0,'Données projet'!$E$9+1,1))-AVERAGE(OFFSET($H$3,0,0,'Données projet'!$E$9+1,1))</f>
        <v>484.04602944257209</v>
      </c>
      <c r="T66" s="59">
        <f t="shared" si="34"/>
        <v>297.32483725004124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214.59999999999997</v>
      </c>
      <c r="AJ66" s="13">
        <f>AI66*VLOOKUP('Données projet'!$B$10,Paramètres!$A$1:$I$89,3,0)*VLOOKUP('Données projet'!$B$10,Paramètres!$A$1:$I$89,5,0)</f>
        <v>244.38647999999995</v>
      </c>
      <c r="AK66" s="13">
        <f t="shared" si="35"/>
        <v>59.382305874225068</v>
      </c>
      <c r="AL66" s="20">
        <f t="shared" si="4"/>
        <v>529.06396873094195</v>
      </c>
      <c r="AM66" s="59">
        <f t="shared" si="5"/>
        <v>791.96030707434807</v>
      </c>
      <c r="AN66" s="59">
        <f ca="1">AVERAGE(OFFSET($AM$3,0,0,'Données projet'!$E$10+1,1))-AVERAGE(OFFSET($H$3,0,0,'Données projet'!$E$10+1,1))</f>
        <v>493.74122500490859</v>
      </c>
      <c r="AO66" s="59">
        <f t="shared" si="36"/>
        <v>299.43985151679692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12.865460702176122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12.865460702176122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192.89088000000004</v>
      </c>
      <c r="BF66" s="13">
        <f t="shared" si="37"/>
        <v>48.178522586846704</v>
      </c>
      <c r="BG66" s="20">
        <f t="shared" si="7"/>
        <v>419.86254283875809</v>
      </c>
      <c r="BH66" s="59">
        <f t="shared" si="8"/>
        <v>682.75888118216426</v>
      </c>
      <c r="BI66" s="59">
        <f ca="1">AVERAGE(OFFSET($BH$3,0,0,'Données projet'!$E$11+1,1))-AVERAGE(OFFSET($H$3,0,0,'Données projet'!$E$11+1,1))</f>
        <v>364.64276939439014</v>
      </c>
      <c r="BJ66" s="59">
        <f t="shared" si="38"/>
        <v>341.7578598026638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17.306469383666244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17.306469383666244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15.6</v>
      </c>
      <c r="BY66" s="12">
        <f>IF('Données projet'!$A$114&gt;35,BY65+BX66-CG65,IF(A66&lt;'Données projet'!$A$114,$BV$205^A66,IF(A66='Données projet'!$A$114,'Données projet'!$B$114,BY65+BX66-CG65)))</f>
        <v>595.8000000000003</v>
      </c>
      <c r="BZ66" s="13">
        <f>BY66*VLOOKUP('Données projet'!$B$12,Paramètres!$A$1:$I$89,3,0)*VLOOKUP('Données projet'!$B$12,Paramètres!$A$1:$I$89,5,0)</f>
        <v>356.28840000000019</v>
      </c>
      <c r="CA66" s="13">
        <f t="shared" si="39"/>
        <v>82.856013090111389</v>
      </c>
      <c r="CB66" s="20">
        <f t="shared" si="10"/>
        <v>764.84318613194444</v>
      </c>
      <c r="CC66" s="59">
        <f t="shared" si="11"/>
        <v>1027.7395244753507</v>
      </c>
      <c r="CD66" s="59">
        <f ca="1">AVERAGE(OFFSET($CC$3,0,0,'Données projet'!$E$12+1,1))-AVERAGE(OFFSET($H$3,0,0,'Données projet'!$E$12+1,1))</f>
        <v>435.81281313761326</v>
      </c>
      <c r="CE66" s="59">
        <f t="shared" si="40"/>
        <v>460.93390058676493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56.144598738371087</v>
      </c>
      <c r="CL66" s="21">
        <f>EXP(-LN(2)/25)*CL65+(1-EXP(-LN(2)/25))/(LN(2)/25)*Calculateur!CG66*Calculateur!CI66*VLOOKUP('Données projet'!$B$12,Paramètres!$A$1:$I$89,3,0)*0.475*44/12</f>
        <v>28.967731555229623</v>
      </c>
      <c r="CM66" s="21">
        <f>EXP(-LN(2)/2)*CM65+(1-EXP(-LN(2)/2))/(LN(2)/2)*CG66*CJ66*VLOOKUP('Données projet'!$B$12,Paramètres!$A$1:$I$89,3,0)*0.475*44/12</f>
        <v>1.6493253164699024</v>
      </c>
      <c r="CN66" s="22">
        <f t="shared" si="12"/>
        <v>86.761655610070605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12</v>
      </c>
      <c r="CT66" s="12">
        <f>IF('Données projet'!$A$140&gt;35,CT65+CS66-DB65,IF(A66&lt;'Données projet'!$A$140,$CQ$205^A66,IF(A66='Données projet'!$A$140,'Données projet'!$B$140,CT65+CS66-DB65)))</f>
        <v>466</v>
      </c>
      <c r="CU66" s="17">
        <f>CT66*VLOOKUP('Données projet'!$B$13,Paramètres!$A$1:$I$89,3,0)*VLOOKUP('Données projet'!$B$13,Paramètres!$A$1:$I$89,5,0)</f>
        <v>218.08799999999999</v>
      </c>
      <c r="CV66" s="13">
        <f t="shared" si="41"/>
        <v>53.699111087780629</v>
      </c>
      <c r="CW66" s="20">
        <f t="shared" si="13"/>
        <v>473.36255181121783</v>
      </c>
      <c r="CX66" s="59">
        <f t="shared" si="14"/>
        <v>736.25889015462394</v>
      </c>
      <c r="CY66" s="59">
        <f ca="1">AVERAGE(OFFSET($CX$3,0,0,'Données projet'!$E$13+1,1))-AVERAGE(OFFSET($H$3,0,0,'Données projet'!$E$13+1,1))</f>
        <v>379.16472924112111</v>
      </c>
      <c r="CZ66" s="59">
        <f t="shared" si="42"/>
        <v>273.18950868898253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16.738495308138603</v>
      </c>
      <c r="DG66" s="21">
        <f>EXP(-LN(2)/25)*DG65+(1-EXP(-LN(2)/25))/(LN(2)/25)*Calculateur!DB66*Calculateur!DD66*VLOOKUP('Données projet'!$B$13,Paramètres!$A$1:$I$89,3,0)*0.475*44/12</f>
        <v>17.16953490277508</v>
      </c>
      <c r="DH66" s="21">
        <f>EXP(-LN(2)/2)*DH65+(1-EXP(-LN(2)/2))/(LN(2)/2)*DB66*DE66*VLOOKUP('Données projet'!$B$13,Paramètres!$A$1:$I$89,3,0)*0.475*44/12</f>
        <v>1.7276611851721921</v>
      </c>
      <c r="DI66" s="22">
        <f t="shared" si="15"/>
        <v>35.635691396085875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20</v>
      </c>
      <c r="DO66" s="12">
        <f>IF('Données projet'!$A$166&gt;35,DO65+DN66-DW65,IF(A66&lt;'Données projet'!$A$166,$DL$205^A66,IF(A66='Données projet'!$A$166,'Données projet'!$B$166,DO65+DN66-DW65)))</f>
        <v>694.00000000000034</v>
      </c>
      <c r="DP66" s="17">
        <f>DO66*VLOOKUP('Données projet'!$B$14,Paramètres!$A$1:$I$89,3,0)*VLOOKUP('Données projet'!$B$14,Paramètres!$A$1:$I$89,5,0)</f>
        <v>279.68200000000013</v>
      </c>
      <c r="DQ66" s="13">
        <f t="shared" si="43"/>
        <v>66.899801895819508</v>
      </c>
      <c r="DR66" s="20">
        <f t="shared" si="16"/>
        <v>603.62997163521914</v>
      </c>
      <c r="DS66" s="59">
        <f t="shared" si="17"/>
        <v>866.52630997862525</v>
      </c>
      <c r="DT66" s="59">
        <f ca="1">AVERAGE(OFFSET($DS$3,0,0,'Données projet'!$E$14+1,1))-AVERAGE(OFFSET($H$3,0,0,'Données projet'!$E$14+1,1))</f>
        <v>419.35339339286082</v>
      </c>
      <c r="DU66" s="59">
        <f t="shared" si="44"/>
        <v>359.03308141414709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56.1977740921471</v>
      </c>
      <c r="EB66" s="21">
        <f>EXP(-LN(2)/25)*EB65+(1-EXP(-LN(2)/25))/(LN(2)/25)*Calculateur!DW66*Calculateur!DY66*VLOOKUP('Données projet'!$B$14,Paramètres!$A$1:$I$89,3,0)*0.475*44/12</f>
        <v>25.562796058324899</v>
      </c>
      <c r="EC66" s="21">
        <f>EXP(-LN(2)/2)*EC65+(1-EXP(-LN(2)/2))/(LN(2)/2)*DW66*DZ66*VLOOKUP('Données projet'!$B$14,Paramètres!$A$1:$I$89,3,0)*0.475*44/12</f>
        <v>1.5781128784944281</v>
      </c>
      <c r="ED66" s="22">
        <f t="shared" si="18"/>
        <v>83.338683028966429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19</v>
      </c>
      <c r="EJ66" s="12">
        <f>IF('Données projet'!$A$192&gt;35,EJ65+EI66-ER65,IF(A66&lt;'Données projet'!$A$192,$EG$205^A66,IF(A66='Données projet'!$A$192,'Données projet'!$B$192,EJ65+EI66-ER65)))</f>
        <v>904.00000000000034</v>
      </c>
      <c r="EK66" s="17">
        <f>EJ66*VLOOKUP('Données projet'!$B$15,Paramètres!$A$1:$I$89,3,0)*VLOOKUP('Données projet'!$B$15,Paramètres!$A$1:$I$89,5,0)</f>
        <v>399.56800000000015</v>
      </c>
      <c r="EL66" s="13">
        <f t="shared" si="45"/>
        <v>91.689078343716645</v>
      </c>
      <c r="EM66" s="20">
        <f t="shared" si="19"/>
        <v>855.60607811530679</v>
      </c>
      <c r="EN66" s="59">
        <f t="shared" si="20"/>
        <v>1118.502416458713</v>
      </c>
      <c r="EO66" s="59">
        <f ca="1">AVERAGE(OFFSET($EN$3,0,0,'Données projet'!$E$15+1,1))-AVERAGE(OFFSET($H$3,0,0,'Données projet'!$E$15+1,1))</f>
        <v>561.50881628354409</v>
      </c>
      <c r="EP66" s="59">
        <f t="shared" si="46"/>
        <v>468.67708352238458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65.793918054727328</v>
      </c>
      <c r="EW66" s="21">
        <f>EXP(-LN(2)/25)*EW65+(1-EXP(-LN(2)/25))/(LN(2)/25)*Calculateur!ER66*Calculateur!ET66*VLOOKUP('Données projet'!$B$15,Paramètres!$A$1:$I$89,3,0)*0.475*44/12</f>
        <v>34.329961051961639</v>
      </c>
      <c r="EX66" s="21">
        <f>EXP(-LN(2)/2)*EX65+(1-EXP(-LN(2)/2))/(LN(2)/2)*ER66*EU66*VLOOKUP('Données projet'!$B$15,Paramètres!$A$1:$I$89,3,0)*0.475*44/12</f>
        <v>1.4966790288065948</v>
      </c>
      <c r="EY66" s="22">
        <f t="shared" si="21"/>
        <v>101.62055813549557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280.19999999999993</v>
      </c>
      <c r="O67" s="13">
        <f>N67*VLOOKUP('Données projet'!$B$9,Paramètres!$A$1:$I$89,3,0)*VLOOKUP('Données projet'!$B$9,Paramètres!$A$1:$I$89,5,0)</f>
        <v>253.52495999999996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811.81440445847329</v>
      </c>
      <c r="S67" s="59">
        <f ca="1">AVERAGE(OFFSET($R$3,0,0,'Données projet'!$E$9+1,1))-AVERAGE(OFFSET($H$3,0,0,'Données projet'!$E$9+1,1))</f>
        <v>484.04602944257209</v>
      </c>
      <c r="T67" s="59">
        <f t="shared" si="34"/>
        <v>297.32483725004124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221.79999999999995</v>
      </c>
      <c r="AJ67" s="13">
        <f>AI67*VLOOKUP('Données projet'!$B$10,Paramètres!$A$1:$I$89,3,0)*VLOOKUP('Données projet'!$B$10,Paramètres!$A$1:$I$89,5,0)</f>
        <v>252.58583999999993</v>
      </c>
      <c r="AK67" s="13">
        <f t="shared" si="35"/>
        <v>61.139327516253068</v>
      </c>
      <c r="AL67" s="20">
        <f t="shared" si="4"/>
        <v>546.40466675747405</v>
      </c>
      <c r="AM67" s="59">
        <f t="shared" si="5"/>
        <v>809.82901891702886</v>
      </c>
      <c r="AN67" s="59">
        <f ca="1">AVERAGE(OFFSET($AM$3,0,0,'Données projet'!$E$10+1,1))-AVERAGE(OFFSET($H$3,0,0,'Données projet'!$E$10+1,1))</f>
        <v>493.74122500490859</v>
      </c>
      <c r="AO67" s="59">
        <f t="shared" si="36"/>
        <v>299.43985151679692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12.613176864962634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12.613176864962634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197.78304000000003</v>
      </c>
      <c r="BF67" s="13">
        <f t="shared" si="37"/>
        <v>49.256631390532817</v>
      </c>
      <c r="BG67" s="20">
        <f t="shared" si="7"/>
        <v>430.26076100517804</v>
      </c>
      <c r="BH67" s="59">
        <f t="shared" si="8"/>
        <v>693.6851131647328</v>
      </c>
      <c r="BI67" s="59">
        <f ca="1">AVERAGE(OFFSET($BH$3,0,0,'Données projet'!$E$11+1,1))-AVERAGE(OFFSET($H$3,0,0,'Données projet'!$E$11+1,1))</f>
        <v>364.64276939439014</v>
      </c>
      <c r="BJ67" s="59">
        <f t="shared" si="38"/>
        <v>341.7578598026638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16.967100074956562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16.967100074956562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15.6</v>
      </c>
      <c r="BY67" s="12">
        <f>IF('Données projet'!$A$114&gt;35,BY66+BX67-CG66,IF(A67&lt;'Données projet'!$A$114,$BV$205^A67,IF(A67='Données projet'!$A$114,'Données projet'!$B$114,BY66+BX67-CG66)))</f>
        <v>611.40000000000032</v>
      </c>
      <c r="BZ67" s="13">
        <f>BY67*VLOOKUP('Données projet'!$B$12,Paramètres!$A$1:$I$89,3,0)*VLOOKUP('Données projet'!$B$12,Paramètres!$A$1:$I$89,5,0)</f>
        <v>365.6172000000002</v>
      </c>
      <c r="CA67" s="13">
        <f t="shared" si="39"/>
        <v>84.770039372098395</v>
      </c>
      <c r="CB67" s="20">
        <f t="shared" si="10"/>
        <v>784.42444190640492</v>
      </c>
      <c r="CC67" s="59">
        <f t="shared" si="11"/>
        <v>1047.8487940659597</v>
      </c>
      <c r="CD67" s="59">
        <f ca="1">AVERAGE(OFFSET($CC$3,0,0,'Données projet'!$E$12+1,1))-AVERAGE(OFFSET($H$3,0,0,'Données projet'!$E$12+1,1))</f>
        <v>435.81281313761326</v>
      </c>
      <c r="CE67" s="59">
        <f t="shared" si="40"/>
        <v>460.93390058676493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55.043637401935463</v>
      </c>
      <c r="CL67" s="21">
        <f>EXP(-LN(2)/25)*CL66+(1-EXP(-LN(2)/25))/(LN(2)/25)*Calculateur!CG67*Calculateur!CI67*VLOOKUP('Données projet'!$B$12,Paramètres!$A$1:$I$89,3,0)*0.475*44/12</f>
        <v>28.175607412505073</v>
      </c>
      <c r="CM67" s="21">
        <f>EXP(-LN(2)/2)*CM66+(1-EXP(-LN(2)/2))/(LN(2)/2)*CG67*CJ67*VLOOKUP('Données projet'!$B$12,Paramètres!$A$1:$I$89,3,0)*0.475*44/12</f>
        <v>1.1662491156585166</v>
      </c>
      <c r="CN67" s="22">
        <f t="shared" si="12"/>
        <v>84.385493930099059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12</v>
      </c>
      <c r="CT67" s="12">
        <f>IF('Données projet'!$A$140&gt;35,CT66+CS67-DB66,IF(A67&lt;'Données projet'!$A$140,$CQ$205^A67,IF(A67='Données projet'!$A$140,'Données projet'!$B$140,CT66+CS67-DB66)))</f>
        <v>478</v>
      </c>
      <c r="CU67" s="17">
        <f>CT67*VLOOKUP('Données projet'!$B$13,Paramètres!$A$1:$I$89,3,0)*VLOOKUP('Données projet'!$B$13,Paramètres!$A$1:$I$89,5,0)</f>
        <v>223.70399999999998</v>
      </c>
      <c r="CV67" s="13">
        <f t="shared" si="41"/>
        <v>54.919147873047578</v>
      </c>
      <c r="CW67" s="20">
        <f t="shared" si="13"/>
        <v>485.26864921222455</v>
      </c>
      <c r="CX67" s="59">
        <f t="shared" si="14"/>
        <v>748.69300137177925</v>
      </c>
      <c r="CY67" s="59">
        <f ca="1">AVERAGE(OFFSET($CX$3,0,0,'Données projet'!$E$13+1,1))-AVERAGE(OFFSET($H$3,0,0,'Données projet'!$E$13+1,1))</f>
        <v>379.16472924112111</v>
      </c>
      <c r="CZ67" s="59">
        <f t="shared" si="42"/>
        <v>273.18950868898253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16.41026362462004</v>
      </c>
      <c r="DG67" s="21">
        <f>EXP(-LN(2)/25)*DG66+(1-EXP(-LN(2)/25))/(LN(2)/25)*Calculateur!DB67*Calculateur!DD67*VLOOKUP('Données projet'!$B$13,Paramètres!$A$1:$I$89,3,0)*0.475*44/12</f>
        <v>16.700033067952095</v>
      </c>
      <c r="DH67" s="21">
        <f>EXP(-LN(2)/2)*DH66+(1-EXP(-LN(2)/2))/(LN(2)/2)*DB67*DE67*VLOOKUP('Données projet'!$B$13,Paramètres!$A$1:$I$89,3,0)*0.475*44/12</f>
        <v>1.2216409396280448</v>
      </c>
      <c r="DI67" s="22">
        <f t="shared" si="15"/>
        <v>34.33193763220018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20</v>
      </c>
      <c r="DO67" s="12">
        <f>IF('Données projet'!$A$166&gt;35,DO66+DN67-DW66,IF(A67&lt;'Données projet'!$A$166,$DL$205^A67,IF(A67='Données projet'!$A$166,'Données projet'!$B$166,DO66+DN67-DW66)))</f>
        <v>714.00000000000034</v>
      </c>
      <c r="DP67" s="17">
        <f>DO67*VLOOKUP('Données projet'!$B$14,Paramètres!$A$1:$I$89,3,0)*VLOOKUP('Données projet'!$B$14,Paramètres!$A$1:$I$89,5,0)</f>
        <v>287.74200000000019</v>
      </c>
      <c r="DQ67" s="13">
        <f t="shared" si="43"/>
        <v>68.600509865830645</v>
      </c>
      <c r="DR67" s="20">
        <f t="shared" si="16"/>
        <v>620.62987134965533</v>
      </c>
      <c r="DS67" s="59">
        <f t="shared" si="17"/>
        <v>884.05422350921003</v>
      </c>
      <c r="DT67" s="59">
        <f ca="1">AVERAGE(OFFSET($DS$3,0,0,'Données projet'!$E$14+1,1))-AVERAGE(OFFSET($H$3,0,0,'Données projet'!$E$14+1,1))</f>
        <v>419.35339339286082</v>
      </c>
      <c r="DU67" s="59">
        <f t="shared" si="44"/>
        <v>359.03308141414709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55.095770019457696</v>
      </c>
      <c r="EB67" s="21">
        <f>EXP(-LN(2)/25)*EB66+(1-EXP(-LN(2)/25))/(LN(2)/25)*Calculateur!DW67*Calculateur!DY67*VLOOKUP('Données projet'!$B$14,Paramètres!$A$1:$I$89,3,0)*0.475*44/12</f>
        <v>24.863780055820985</v>
      </c>
      <c r="EC67" s="21">
        <f>EXP(-LN(2)/2)*EC66+(1-EXP(-LN(2)/2))/(LN(2)/2)*DW67*DZ67*VLOOKUP('Données projet'!$B$14,Paramètres!$A$1:$I$89,3,0)*0.475*44/12</f>
        <v>1.1158943178612322</v>
      </c>
      <c r="ED67" s="22">
        <f t="shared" si="18"/>
        <v>81.075444393139918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19</v>
      </c>
      <c r="EJ67" s="12">
        <f>IF('Données projet'!$A$192&gt;35,EJ66+EI67-ER66,IF(A67&lt;'Données projet'!$A$192,$EG$205^A67,IF(A67='Données projet'!$A$192,'Données projet'!$B$192,EJ66+EI67-ER66)))</f>
        <v>923.00000000000034</v>
      </c>
      <c r="EK67" s="17">
        <f>EJ67*VLOOKUP('Données projet'!$B$15,Paramètres!$A$1:$I$89,3,0)*VLOOKUP('Données projet'!$B$15,Paramètres!$A$1:$I$89,5,0)</f>
        <v>407.96600000000024</v>
      </c>
      <c r="EL67" s="13">
        <f t="shared" si="45"/>
        <v>93.38979134645831</v>
      </c>
      <c r="EM67" s="20">
        <f t="shared" si="19"/>
        <v>873.19466992841524</v>
      </c>
      <c r="EN67" s="59">
        <f t="shared" si="20"/>
        <v>1136.6190220879701</v>
      </c>
      <c r="EO67" s="59">
        <f ca="1">AVERAGE(OFFSET($EN$3,0,0,'Données projet'!$E$15+1,1))-AVERAGE(OFFSET($H$3,0,0,'Données projet'!$E$15+1,1))</f>
        <v>561.50881628354409</v>
      </c>
      <c r="EP67" s="59">
        <f t="shared" si="46"/>
        <v>468.67708352238458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64.503739452001597</v>
      </c>
      <c r="EW67" s="21">
        <f>EXP(-LN(2)/25)*EW66+(1-EXP(-LN(2)/25))/(LN(2)/25)*Calculateur!ER67*Calculateur!ET67*VLOOKUP('Données projet'!$B$15,Paramètres!$A$1:$I$89,3,0)*0.475*44/12</f>
        <v>33.391206461661561</v>
      </c>
      <c r="EX67" s="21">
        <f>EXP(-LN(2)/2)*EX66+(1-EXP(-LN(2)/2))/(LN(2)/2)*ER67*EU67*VLOOKUP('Données projet'!$B$15,Paramètres!$A$1:$I$89,3,0)*0.475*44/12</f>
        <v>1.0583118905288393</v>
      </c>
      <c r="EY67" s="22">
        <f t="shared" si="21"/>
        <v>98.953257804191992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288.99999999999994</v>
      </c>
      <c r="O68" s="13">
        <f>N68*VLOOKUP('Données projet'!$B$9,Paramètres!$A$1:$I$89,3,0)*VLOOKUP('Données projet'!$B$9,Paramètres!$A$1:$I$89,5,0)</f>
        <v>261.48719999999992</v>
      </c>
      <c r="P68" s="13">
        <f t="shared" si="33"/>
        <v>63.039283586802391</v>
      </c>
      <c r="Q68" s="20">
        <f t="shared" si="54"/>
        <v>565.21695891368074</v>
      </c>
      <c r="R68" s="59">
        <f t="shared" si="55"/>
        <v>829.16016503013589</v>
      </c>
      <c r="S68" s="59">
        <f ca="1">AVERAGE(OFFSET($R$3,0,0,'Données projet'!$E$9+1,1))-AVERAGE(OFFSET($H$3,0,0,'Données projet'!$E$9+1,1))</f>
        <v>484.04602944257209</v>
      </c>
      <c r="T68" s="59">
        <f t="shared" si="34"/>
        <v>297.32483725004124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228.99999999999994</v>
      </c>
      <c r="AJ68" s="13">
        <f>AI68*VLOOKUP('Données projet'!$B$10,Paramètres!$A$1:$I$89,3,0)*VLOOKUP('Données projet'!$B$10,Paramètres!$A$1:$I$89,5,0)</f>
        <v>260.78519999999992</v>
      </c>
      <c r="AK68" s="13">
        <f t="shared" si="35"/>
        <v>62.889721480388644</v>
      </c>
      <c r="AL68" s="20">
        <f t="shared" ref="AL68:AL131" si="58">(AJ68+AK68)*0.475*44/12</f>
        <v>563.7338215783434</v>
      </c>
      <c r="AM68" s="59">
        <f t="shared" ref="AM68:AM131" si="59">AL68+(AD68+AE68)*44/12</f>
        <v>827.67702769479865</v>
      </c>
      <c r="AN68" s="59">
        <f ca="1">AVERAGE(OFFSET($AM$3,0,0,'Données projet'!$E$10+1,1))-AVERAGE(OFFSET($H$3,0,0,'Données projet'!$E$10+1,1))</f>
        <v>493.74122500490859</v>
      </c>
      <c r="AO68" s="59">
        <f t="shared" si="36"/>
        <v>299.43985151679692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16.913021881501148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16.913021881501148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202.67520000000002</v>
      </c>
      <c r="BF68" s="13">
        <f t="shared" si="37"/>
        <v>50.331640285313689</v>
      </c>
      <c r="BG68" s="20">
        <f t="shared" ref="BG68:BG131" si="61">(BE68+BF68)*0.475*44/12</f>
        <v>440.653580163588</v>
      </c>
      <c r="BH68" s="59">
        <f t="shared" ref="BH68:BH131" si="62">BG68+(AY68+AZ68)*44/12</f>
        <v>704.59678628004326</v>
      </c>
      <c r="BI68" s="59">
        <f ca="1">AVERAGE(OFFSET($BH$3,0,0,'Données projet'!$E$11+1,1))-AVERAGE(OFFSET($H$3,0,0,'Données projet'!$E$11+1,1))</f>
        <v>364.64276939439014</v>
      </c>
      <c r="BJ68" s="59">
        <f t="shared" si="38"/>
        <v>341.7578598026638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0.215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20.787062962703779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20.787062962703779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627</v>
      </c>
      <c r="BW68" s="12">
        <f>VLOOKUP(A68,'Données projet'!$A$113:$I$133,9,0)</f>
        <v>15.6</v>
      </c>
      <c r="BX68" s="12">
        <f t="array" ref="BX68">INDEX(BW:BW,MIN(IF(ISNUMBER(BW68:BW264),ROW(BW68:BW264),"")))</f>
        <v>15.6</v>
      </c>
      <c r="BY68" s="12">
        <f>IF('Données projet'!$A$114&gt;35,BY67+BX68-CG67,IF(A68&lt;'Données projet'!$A$114,$BV$205^A68,IF(A68='Données projet'!$A$114,'Données projet'!$B$114,BY67+BX68-CG67)))</f>
        <v>627.00000000000034</v>
      </c>
      <c r="BZ68" s="13">
        <f>BY68*VLOOKUP('Données projet'!$B$12,Paramètres!$A$1:$I$89,3,0)*VLOOKUP('Données projet'!$B$12,Paramètres!$A$1:$I$89,5,0)</f>
        <v>374.94600000000025</v>
      </c>
      <c r="CA68" s="13">
        <f t="shared" si="39"/>
        <v>86.678388834633466</v>
      </c>
      <c r="CB68" s="20">
        <f t="shared" ref="CB68:CB131" si="64">(BZ68+CA68)*0.475*44/12</f>
        <v>803.99581055365354</v>
      </c>
      <c r="CC68" s="59">
        <f t="shared" ref="CC68:CC131" si="65">CB68+(BT68+BU68)*44/12</f>
        <v>1067.9390166701087</v>
      </c>
      <c r="CD68" s="59">
        <f ca="1">AVERAGE(OFFSET($CC$3,0,0,'Données projet'!$E$12+1,1))-AVERAGE(OFFSET($H$3,0,0,'Données projet'!$E$12+1,1))</f>
        <v>435.81281313761326</v>
      </c>
      <c r="CE68" s="59">
        <f t="shared" si="40"/>
        <v>460.93390058676493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627</v>
      </c>
      <c r="CH68" s="16">
        <f>IF(ISNA(VLOOKUP(A68,'Données projet'!$A$113:$I$133,5,0)),0%,VLOOKUP(A68,'Données projet'!$A$113:$I$133,5,0)*VLOOKUP('Données projet'!$B$12,Paramètres!$A$1:$I$89,7,0))</f>
        <v>0.36000000000000004</v>
      </c>
      <c r="CI68" s="16">
        <f>IF(ISNA(VLOOKUP(A68,'Données projet'!$A$113:$I$133,6,0)),0%,VLOOKUP(A68,'Données projet'!$A$113:$I$133,6,0)*VLOOKUP('Données projet'!$B$12,Paramètres!$A$1:$I$89,7,0))</f>
        <v>4.9500000000000002E-2</v>
      </c>
      <c r="CJ68" s="16">
        <f>IF(ISNA(VLOOKUP(A68,'Données projet'!$A$113:$I$133,7,0)),0%,VLOOKUP(A68,'Données projet'!$A$113:$I$133,7,0))</f>
        <v>0.09</v>
      </c>
      <c r="CK68" s="21">
        <f>EXP(-LN(2)/35)*CK67+(1-EXP(-LN(2)/35))/(LN(2)/35)*CG68*CH68*VLOOKUP('Données projet'!$B$12,Paramètres!$A$1:$I$89,3,0)*0.475*44/12</f>
        <v>233.02467831711144</v>
      </c>
      <c r="CL68" s="21">
        <f>EXP(-LN(2)/25)*CL67+(1-EXP(-LN(2)/25))/(LN(2)/25)*Calculateur!CG68*Calculateur!CI68*VLOOKUP('Données projet'!$B$12,Paramètres!$A$1:$I$89,3,0)*0.475*44/12</f>
        <v>51.929009245802533</v>
      </c>
      <c r="CM68" s="21">
        <f>EXP(-LN(2)/2)*CM67+(1-EXP(-LN(2)/2))/(LN(2)/2)*CG68*CJ68*VLOOKUP('Données projet'!$B$12,Paramètres!$A$1:$I$89,3,0)*0.475*44/12</f>
        <v>39.03200005078719</v>
      </c>
      <c r="CN68" s="22">
        <f t="shared" ref="CN68:CN131" si="66">SUM(CK68:CM68)</f>
        <v>323.98568761370115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12</v>
      </c>
      <c r="CT68" s="12">
        <f>IF('Données projet'!$A$140&gt;35,CT67+CS68-DB67,IF(A68&lt;'Données projet'!$A$140,$CQ$205^A68,IF(A68='Données projet'!$A$140,'Données projet'!$B$140,CT67+CS68-DB67)))</f>
        <v>490</v>
      </c>
      <c r="CU68" s="17">
        <f>CT68*VLOOKUP('Données projet'!$B$13,Paramètres!$A$1:$I$89,3,0)*VLOOKUP('Données projet'!$B$13,Paramètres!$A$1:$I$89,5,0)</f>
        <v>229.32000000000002</v>
      </c>
      <c r="CV68" s="13">
        <f t="shared" si="41"/>
        <v>56.135624305144624</v>
      </c>
      <c r="CW68" s="20">
        <f t="shared" ref="CW68:CW131" si="67">(CU68+CV68)*0.475*44/12</f>
        <v>497.16854566479356</v>
      </c>
      <c r="CX68" s="59">
        <f t="shared" ref="CX68:CX131" si="68">CW68+(CO68+CP68)*44/12</f>
        <v>761.11175178124881</v>
      </c>
      <c r="CY68" s="59">
        <f ca="1">AVERAGE(OFFSET($CX$3,0,0,'Données projet'!$E$13+1,1))-AVERAGE(OFFSET($H$3,0,0,'Données projet'!$E$13+1,1))</f>
        <v>379.16472924112111</v>
      </c>
      <c r="CZ68" s="59">
        <f t="shared" si="42"/>
        <v>273.18950868898253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16.088468364213718</v>
      </c>
      <c r="DG68" s="21">
        <f>EXP(-LN(2)/25)*DG67+(1-EXP(-LN(2)/25))/(LN(2)/25)*Calculateur!DB68*Calculateur!DD68*VLOOKUP('Données projet'!$B$13,Paramètres!$A$1:$I$89,3,0)*0.475*44/12</f>
        <v>16.243369785492373</v>
      </c>
      <c r="DH68" s="21">
        <f>EXP(-LN(2)/2)*DH67+(1-EXP(-LN(2)/2))/(LN(2)/2)*DB68*DE68*VLOOKUP('Données projet'!$B$13,Paramètres!$A$1:$I$89,3,0)*0.475*44/12</f>
        <v>0.86383059258609618</v>
      </c>
      <c r="DI68" s="22">
        <f t="shared" ref="DI68:DI131" si="69">SUM(DF68:DH68)</f>
        <v>33.195668742292185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734</v>
      </c>
      <c r="DM68" s="12">
        <f>VLOOKUP(A68,'Données projet'!$A$165:$I$185,9,0)</f>
        <v>20</v>
      </c>
      <c r="DN68" s="12">
        <f t="array" ref="DN68">INDEX(DM:DM,MIN(IF(ISNUMBER(DM68:DM264),ROW(DM68:DM264),"")))</f>
        <v>20</v>
      </c>
      <c r="DO68" s="12">
        <f>IF('Données projet'!$A$166&gt;35,DO67+DN68-DW67,IF(A68&lt;'Données projet'!$A$166,$DL$205^A68,IF(A68='Données projet'!$A$166,'Données projet'!$B$166,DO67+DN68-DW67)))</f>
        <v>734.00000000000034</v>
      </c>
      <c r="DP68" s="17">
        <f>DO68*VLOOKUP('Données projet'!$B$14,Paramètres!$A$1:$I$89,3,0)*VLOOKUP('Données projet'!$B$14,Paramètres!$A$1:$I$89,5,0)</f>
        <v>295.80200000000013</v>
      </c>
      <c r="DQ68" s="13">
        <f t="shared" si="43"/>
        <v>70.295680935455152</v>
      </c>
      <c r="DR68" s="20">
        <f t="shared" ref="DR68:DR131" si="70">(DP68+DQ68)*0.475*44/12</f>
        <v>637.62012762925121</v>
      </c>
      <c r="DS68" s="59">
        <f t="shared" ref="DS68:DS131" si="71">DR68+(DJ68+DK68)*44/12</f>
        <v>901.56333374570636</v>
      </c>
      <c r="DT68" s="59">
        <f ca="1">AVERAGE(OFFSET($DS$3,0,0,'Données projet'!$E$14+1,1))-AVERAGE(OFFSET($H$3,0,0,'Données projet'!$E$14+1,1))</f>
        <v>419.35339339286082</v>
      </c>
      <c r="DU68" s="59">
        <f t="shared" si="44"/>
        <v>359.03308141414709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52</v>
      </c>
      <c r="DX68" s="16">
        <f>IF(ISNA(VLOOKUP(A68,'Données projet'!$A$165:$I$185,5,0)),0%,VLOOKUP(A68,'Données projet'!$A$165:$I$185,5,0)*VLOOKUP('Données projet'!$B$14,Paramètres!$A$1:$I$89,7,0))</f>
        <v>0.44000000000000006</v>
      </c>
      <c r="DY68" s="16">
        <f>IF(ISNA(VLOOKUP(A68,'Données projet'!$A$165:$I$185,6,0)),0%,VLOOKUP(A68,'Données projet'!$A$165:$I$185,6,0)*VLOOKUP('Données projet'!$B$14,Paramètres!$A$1:$I$89,7,0))</f>
        <v>6.0500000000000005E-2</v>
      </c>
      <c r="DZ68" s="16">
        <f>IF(ISNA(VLOOKUP(A68,'Données projet'!$A$165:$I$185,7,0)),0%,VLOOKUP(A68,'Données projet'!$A$165:$I$185,7,0))</f>
        <v>0.09</v>
      </c>
      <c r="EA68" s="21">
        <f>EXP(-LN(2)/35)*EA67+(1-EXP(-LN(2)/35))/(LN(2)/35)*DW68*DX68*VLOOKUP('Données projet'!$B$14,Paramètres!$A$1:$I$89,3,0)*0.475*44/12</f>
        <v>66.247148854881658</v>
      </c>
      <c r="EB68" s="21">
        <f>EXP(-LN(2)/25)*EB67+(1-EXP(-LN(2)/25))/(LN(2)/25)*Calculateur!DW68*Calculateur!DY68*VLOOKUP('Données projet'!$B$14,Paramètres!$A$1:$I$89,3,0)*0.475*44/12</f>
        <v>25.859125350310308</v>
      </c>
      <c r="EC68" s="21">
        <f>EXP(-LN(2)/2)*EC67+(1-EXP(-LN(2)/2))/(LN(2)/2)*DW68*DZ68*VLOOKUP('Données projet'!$B$14,Paramètres!$A$1:$I$89,3,0)*0.475*44/12</f>
        <v>2.9244918416740293</v>
      </c>
      <c r="ED68" s="22">
        <f t="shared" ref="ED68:ED131" si="72">SUM(EA68:EC68)</f>
        <v>95.030766046865992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942</v>
      </c>
      <c r="EH68" s="12">
        <f>VLOOKUP(A68,'Données projet'!$A$191:$I$211,9,0)</f>
        <v>19</v>
      </c>
      <c r="EI68" s="12">
        <f t="array" ref="EI68">INDEX(EH:EH,MIN(IF(ISNUMBER(EH68:EH264),ROW(EH68:EH264),"")))</f>
        <v>19</v>
      </c>
      <c r="EJ68" s="12">
        <f>IF('Données projet'!$A$192&gt;35,EJ67+EI68-ER67,IF(A68&lt;'Données projet'!$A$192,$EG$205^A68,IF(A68='Données projet'!$A$192,'Données projet'!$B$192,EJ67+EI68-ER67)))</f>
        <v>942.00000000000034</v>
      </c>
      <c r="EK68" s="17">
        <f>EJ68*VLOOKUP('Données projet'!$B$15,Paramètres!$A$1:$I$89,3,0)*VLOOKUP('Données projet'!$B$15,Paramètres!$A$1:$I$89,5,0)</f>
        <v>416.3640000000002</v>
      </c>
      <c r="EL68" s="13">
        <f t="shared" si="45"/>
        <v>95.086433845702857</v>
      </c>
      <c r="EM68" s="20">
        <f t="shared" ref="EM68:EM131" si="73">(EK68+EL68)*0.475*44/12</f>
        <v>890.7761722812661</v>
      </c>
      <c r="EN68" s="59">
        <f t="shared" ref="EN68:EN131" si="74">EM68+(EE68+EF68)*44/12</f>
        <v>1154.7193783977214</v>
      </c>
      <c r="EO68" s="59">
        <f ca="1">AVERAGE(OFFSET($EN$3,0,0,'Données projet'!$E$15+1,1))-AVERAGE(OFFSET($H$3,0,0,'Données projet'!$E$15+1,1))</f>
        <v>561.50881628354409</v>
      </c>
      <c r="EP68" s="59">
        <f t="shared" si="46"/>
        <v>468.67708352238458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43</v>
      </c>
      <c r="ES68" s="16">
        <f>IF(ISNA(VLOOKUP(A68,'Données projet'!$A$191:$I$211,5,0)),0%,VLOOKUP(A68,'Données projet'!$A$191:$I$211,5,0)*VLOOKUP('Données projet'!$B$15,Paramètres!$A$1:$I$89,7,0))</f>
        <v>0.44000000000000006</v>
      </c>
      <c r="ET68" s="16">
        <f>IF(ISNA(VLOOKUP(A68,'Données projet'!$A$191:$I$211,6,0)),0%,VLOOKUP(A68,'Données projet'!$A$191:$I$211,6,0)*VLOOKUP('Données projet'!$B$15,Paramètres!$A$1:$I$89,7,0))</f>
        <v>6.0500000000000005E-2</v>
      </c>
      <c r="EU68" s="16">
        <f>IF(ISNA(VLOOKUP(A68,'Données projet'!$A$191:$I$211,7,0)),0%,VLOOKUP(A68,'Données projet'!$A$191:$I$211,7,0))</f>
        <v>0.09</v>
      </c>
      <c r="EV68" s="21">
        <f>EXP(-LN(2)/35)*EV67+(1-EXP(-LN(2)/35))/(LN(2)/35)*ER68*ES68*VLOOKUP('Données projet'!$B$15,Paramètres!$A$1:$I$89,3,0)*0.475*44/12</f>
        <v>74.332441442380997</v>
      </c>
      <c r="EW68" s="21">
        <f>EXP(-LN(2)/25)*EW67+(1-EXP(-LN(2)/25))/(LN(2)/25)*Calculateur!ER68*Calculateur!ET68*VLOOKUP('Données projet'!$B$15,Paramètres!$A$1:$I$89,3,0)*0.475*44/12</f>
        <v>33.997483596822249</v>
      </c>
      <c r="EX68" s="21">
        <f>EXP(-LN(2)/2)*EX67+(1-EXP(-LN(2)/2))/(LN(2)/2)*ER68*EU68*VLOOKUP('Données projet'!$B$15,Paramètres!$A$1:$I$89,3,0)*0.475*44/12</f>
        <v>2.6850681486142185</v>
      </c>
      <c r="EY68" s="22">
        <f t="shared" ref="EY68:EY131" si="75">SUM(EV68:EX68)</f>
        <v>111.01499318781747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269.19999999999993</v>
      </c>
      <c r="O69" s="13">
        <f>N69*VLOOKUP('Données projet'!$B$9,Paramètres!$A$1:$I$89,3,0)*VLOOKUP('Données projet'!$B$9,Paramètres!$A$1:$I$89,5,0)</f>
        <v>243.57215999999991</v>
      </c>
      <c r="P69" s="13">
        <f t="shared" ref="P69:P132" si="87">EXP(-1.0587+0.8836*LN(O69)+0.284)</f>
        <v>59.207435995642292</v>
      </c>
      <c r="Q69" s="20">
        <f t="shared" si="54"/>
        <v>527.34112969241005</v>
      </c>
      <c r="R69" s="59">
        <f t="shared" si="55"/>
        <v>791.79418880959713</v>
      </c>
      <c r="S69" s="59">
        <f ca="1">AVERAGE(OFFSET($R$3,0,0,'Données projet'!$E$9+1,1))-AVERAGE(OFFSET($H$3,0,0,'Données projet'!$E$9+1,1))</f>
        <v>484.04602944257209</v>
      </c>
      <c r="T69" s="59">
        <f t="shared" ref="T69:T132" si="88">$T$3</f>
        <v>297.32483725004124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214.79999999999995</v>
      </c>
      <c r="AJ69" s="13">
        <f>AI69*VLOOKUP('Données projet'!$B$10,Paramètres!$A$1:$I$89,3,0)*VLOOKUP('Données projet'!$B$10,Paramètres!$A$1:$I$89,5,0)</f>
        <v>244.61423999999997</v>
      </c>
      <c r="AK69" s="13">
        <f t="shared" ref="AK69:AK132" si="89">EXP(-1.0587+0.8836*LN(AJ69)+0.284)</f>
        <v>59.431203693842654</v>
      </c>
      <c r="AL69" s="20">
        <f t="shared" si="58"/>
        <v>529.5458144334425</v>
      </c>
      <c r="AM69" s="59">
        <f t="shared" si="59"/>
        <v>793.99887355062958</v>
      </c>
      <c r="AN69" s="59">
        <f ca="1">AVERAGE(OFFSET($AM$3,0,0,'Données projet'!$E$10+1,1))-AVERAGE(OFFSET($H$3,0,0,'Données projet'!$E$10+1,1))</f>
        <v>493.74122500490859</v>
      </c>
      <c r="AO69" s="59">
        <f t="shared" ref="AO69:AO132" si="90">$AO$3</f>
        <v>299.43985151679692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16.581367838329644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16.581367838329644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189.57120000000003</v>
      </c>
      <c r="BF69" s="13">
        <f t="shared" ref="BF69:BF132" si="91">EXP(-1.0587+0.8836*LN(BE69)+0.284)</f>
        <v>47.44513879693244</v>
      </c>
      <c r="BG69" s="20">
        <f t="shared" si="61"/>
        <v>412.8034567379907</v>
      </c>
      <c r="BH69" s="59">
        <f t="shared" si="62"/>
        <v>677.25651585517778</v>
      </c>
      <c r="BI69" s="59">
        <f ca="1">AVERAGE(OFFSET($BH$3,0,0,'Données projet'!$E$11+1,1))-AVERAGE(OFFSET($H$3,0,0,'Données projet'!$E$11+1,1))</f>
        <v>364.64276939439014</v>
      </c>
      <c r="BJ69" s="59">
        <f t="shared" ref="BJ69:BJ132" si="92">$BJ$3</f>
        <v>341.7578598026638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20.379441336861632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20.379441336861632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3.4106051316484809E-13</v>
      </c>
      <c r="BZ69" s="13">
        <f>BY69*VLOOKUP('Données projet'!$B$12,Paramètres!$A$1:$I$89,3,0)*VLOOKUP('Données projet'!$B$12,Paramètres!$A$1:$I$89,5,0)</f>
        <v>2.0395418687257919E-13</v>
      </c>
      <c r="CA69" s="13">
        <f t="shared" ref="CA69:CA132" si="93">EXP(-1.0587+0.8836*LN(BZ69)+0.284)</f>
        <v>2.8200388570161721E-12</v>
      </c>
      <c r="CB69" s="20">
        <f t="shared" si="64"/>
        <v>5.2667878847729083E-12</v>
      </c>
      <c r="CC69" s="59">
        <f t="shared" si="65"/>
        <v>264.45305911719237</v>
      </c>
      <c r="CD69" s="59">
        <f ca="1">AVERAGE(OFFSET($CC$3,0,0,'Données projet'!$E$12+1,1))-AVERAGE(OFFSET($H$3,0,0,'Données projet'!$E$12+1,1))</f>
        <v>435.81281313761326</v>
      </c>
      <c r="CE69" s="59">
        <f t="shared" ref="CE69:CE132" si="94">$CE$3</f>
        <v>460.93390058676493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228.45520650633239</v>
      </c>
      <c r="CL69" s="21">
        <f>EXP(-LN(2)/25)*CL68+(1-EXP(-LN(2)/25))/(LN(2)/25)*Calculateur!CG69*Calculateur!CI69*VLOOKUP('Données projet'!$B$12,Paramètres!$A$1:$I$89,3,0)*0.475*44/12</f>
        <v>50.509007757148154</v>
      </c>
      <c r="CM69" s="21">
        <f>EXP(-LN(2)/2)*CM68+(1-EXP(-LN(2)/2))/(LN(2)/2)*CG69*CJ69*VLOOKUP('Données projet'!$B$12,Paramètres!$A$1:$I$89,3,0)*0.475*44/12</f>
        <v>27.599791919185289</v>
      </c>
      <c r="CN69" s="22">
        <f t="shared" si="66"/>
        <v>306.56400618266582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12</v>
      </c>
      <c r="CT69" s="12">
        <f>IF('Données projet'!$A$140&gt;35,CT68+CS69-DB68,IF(A69&lt;'Données projet'!$A$140,$CQ$205^A69,IF(A69='Données projet'!$A$140,'Données projet'!$B$140,CT68+CS69-DB68)))</f>
        <v>502</v>
      </c>
      <c r="CU69" s="17">
        <f>CT69*VLOOKUP('Données projet'!$B$13,Paramètres!$A$1:$I$89,3,0)*VLOOKUP('Données projet'!$B$13,Paramètres!$A$1:$I$89,5,0)</f>
        <v>234.93600000000001</v>
      </c>
      <c r="CV69" s="13">
        <f t="shared" ref="CV69:CV132" si="95">EXP(-1.0587+0.8836*LN(CU69)+0.284)</f>
        <v>57.34863760662617</v>
      </c>
      <c r="CW69" s="20">
        <f t="shared" si="67"/>
        <v>509.06241049820727</v>
      </c>
      <c r="CX69" s="59">
        <f t="shared" si="68"/>
        <v>773.5154696153943</v>
      </c>
      <c r="CY69" s="59">
        <f ca="1">AVERAGE(OFFSET($CX$3,0,0,'Données projet'!$E$13+1,1))-AVERAGE(OFFSET($H$3,0,0,'Données projet'!$E$13+1,1))</f>
        <v>379.16472924112111</v>
      </c>
      <c r="CZ69" s="59">
        <f t="shared" ref="CZ69:CZ132" si="96">$CZ$3</f>
        <v>273.18950868898253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15.772983312588236</v>
      </c>
      <c r="DG69" s="21">
        <f>EXP(-LN(2)/25)*DG68+(1-EXP(-LN(2)/25))/(LN(2)/25)*Calculateur!DB69*Calculateur!DD69*VLOOKUP('Données projet'!$B$13,Paramètres!$A$1:$I$89,3,0)*0.475*44/12</f>
        <v>15.799193984506392</v>
      </c>
      <c r="DH69" s="21">
        <f>EXP(-LN(2)/2)*DH68+(1-EXP(-LN(2)/2))/(LN(2)/2)*DB69*DE69*VLOOKUP('Données projet'!$B$13,Paramètres!$A$1:$I$89,3,0)*0.475*44/12</f>
        <v>0.61082046981402238</v>
      </c>
      <c r="DI69" s="22">
        <f t="shared" si="69"/>
        <v>32.182997766908649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18.2</v>
      </c>
      <c r="DO69" s="12">
        <f>IF('Données projet'!$A$166&gt;35,DO68+DN69-DW68,IF(A69&lt;'Données projet'!$A$166,$DL$205^A69,IF(A69='Données projet'!$A$166,'Données projet'!$B$166,DO68+DN69-DW68)))</f>
        <v>700.20000000000039</v>
      </c>
      <c r="DP69" s="17">
        <f>DO69*VLOOKUP('Données projet'!$B$14,Paramètres!$A$1:$I$89,3,0)*VLOOKUP('Données projet'!$B$14,Paramètres!$A$1:$I$89,5,0)</f>
        <v>282.1806000000002</v>
      </c>
      <c r="DQ69" s="13">
        <f t="shared" ref="DQ69:DQ132" si="97">EXP(-1.0587+0.8836*LN(DP69)+0.284)</f>
        <v>67.427624079036946</v>
      </c>
      <c r="DR69" s="20">
        <f t="shared" si="70"/>
        <v>608.90099027098961</v>
      </c>
      <c r="DS69" s="59">
        <f t="shared" si="71"/>
        <v>873.35404938817669</v>
      </c>
      <c r="DT69" s="59">
        <f ca="1">AVERAGE(OFFSET($DS$3,0,0,'Données projet'!$E$14+1,1))-AVERAGE(OFFSET($H$3,0,0,'Données projet'!$E$14+1,1))</f>
        <v>419.35339339286082</v>
      </c>
      <c r="DU69" s="59">
        <f t="shared" ref="DU69:DU132" si="98">$DU$3</f>
        <v>359.03308141414709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64.948082672608393</v>
      </c>
      <c r="EB69" s="21">
        <f>EXP(-LN(2)/25)*EB68+(1-EXP(-LN(2)/25))/(LN(2)/25)*Calculateur!DW69*Calculateur!DY69*VLOOKUP('Données projet'!$B$14,Paramètres!$A$1:$I$89,3,0)*0.475*44/12</f>
        <v>25.152006207733773</v>
      </c>
      <c r="EC69" s="21">
        <f>EXP(-LN(2)/2)*EC68+(1-EXP(-LN(2)/2))/(LN(2)/2)*DW69*DZ69*VLOOKUP('Données projet'!$B$14,Paramètres!$A$1:$I$89,3,0)*0.475*44/12</f>
        <v>2.0679280127724415</v>
      </c>
      <c r="ED69" s="22">
        <f t="shared" si="72"/>
        <v>92.168016893114611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15.8</v>
      </c>
      <c r="EJ69" s="12">
        <f>IF('Données projet'!$A$192&gt;35,EJ68+EI69-ER68,IF(A69&lt;'Données projet'!$A$192,$EG$205^A69,IF(A69='Données projet'!$A$192,'Données projet'!$B$192,EJ68+EI69-ER68)))</f>
        <v>914.8000000000003</v>
      </c>
      <c r="EK69" s="17">
        <f>EJ69*VLOOKUP('Données projet'!$B$15,Paramètres!$A$1:$I$89,3,0)*VLOOKUP('Données projet'!$B$15,Paramètres!$A$1:$I$89,5,0)</f>
        <v>404.34160000000014</v>
      </c>
      <c r="EL69" s="13">
        <f t="shared" ref="EL69:EL132" si="99">EXP(-1.0587+0.8836*LN(EK69)+0.284)</f>
        <v>92.65630420555884</v>
      </c>
      <c r="EM69" s="20">
        <f t="shared" si="73"/>
        <v>865.60468315801518</v>
      </c>
      <c r="EN69" s="59">
        <f t="shared" si="74"/>
        <v>1130.0577422752021</v>
      </c>
      <c r="EO69" s="59">
        <f ca="1">AVERAGE(OFFSET($EN$3,0,0,'Données projet'!$E$15+1,1))-AVERAGE(OFFSET($H$3,0,0,'Données projet'!$E$15+1,1))</f>
        <v>561.50881628354409</v>
      </c>
      <c r="EP69" s="59">
        <f t="shared" ref="EP69:EP132" si="100">$EP$3</f>
        <v>468.67708352238458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72.874827604008402</v>
      </c>
      <c r="EW69" s="21">
        <f>EXP(-LN(2)/25)*EW68+(1-EXP(-LN(2)/25))/(LN(2)/25)*Calculateur!ER69*Calculateur!ET69*VLOOKUP('Données projet'!$B$15,Paramètres!$A$1:$I$89,3,0)*0.475*44/12</f>
        <v>33.067820620017187</v>
      </c>
      <c r="EX69" s="21">
        <f>EXP(-LN(2)/2)*EX68+(1-EXP(-LN(2)/2))/(LN(2)/2)*ER69*EU69*VLOOKUP('Données projet'!$B$15,Paramètres!$A$1:$I$89,3,0)*0.475*44/12</f>
        <v>1.8986298958331227</v>
      </c>
      <c r="EY69" s="22">
        <f t="shared" si="75"/>
        <v>107.84127811985871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277.39999999999992</v>
      </c>
      <c r="O70" s="13">
        <f>N70*VLOOKUP('Données projet'!$B$9,Paramètres!$A$1:$I$89,3,0)*VLOOKUP('Données projet'!$B$9,Paramètres!$A$1:$I$89,5,0)</f>
        <v>250.99151999999992</v>
      </c>
      <c r="P70" s="13">
        <f t="shared" si="87"/>
        <v>60.798211000769349</v>
      </c>
      <c r="Q70" s="20">
        <f t="shared" si="54"/>
        <v>543.03378149300647</v>
      </c>
      <c r="R70" s="59">
        <f t="shared" si="55"/>
        <v>807.98784880122344</v>
      </c>
      <c r="S70" s="59">
        <f ca="1">AVERAGE(OFFSET($R$3,0,0,'Données projet'!$E$9+1,1))-AVERAGE(OFFSET($H$3,0,0,'Données projet'!$E$9+1,1))</f>
        <v>484.04602944257209</v>
      </c>
      <c r="T70" s="59">
        <f t="shared" si="88"/>
        <v>297.32483725004124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221.59999999999997</v>
      </c>
      <c r="AJ70" s="13">
        <f>AI70*VLOOKUP('Données projet'!$B$10,Paramètres!$A$1:$I$89,3,0)*VLOOKUP('Données projet'!$B$10,Paramètres!$A$1:$I$89,5,0)</f>
        <v>252.35807999999997</v>
      </c>
      <c r="AK70" s="13">
        <f t="shared" si="89"/>
        <v>61.09061196544927</v>
      </c>
      <c r="AL70" s="20">
        <f t="shared" si="58"/>
        <v>545.92313850649077</v>
      </c>
      <c r="AM70" s="59">
        <f t="shared" si="59"/>
        <v>810.87720581470762</v>
      </c>
      <c r="AN70" s="59">
        <f ca="1">AVERAGE(OFFSET($AM$3,0,0,'Données projet'!$E$10+1,1))-AVERAGE(OFFSET($H$3,0,0,'Données projet'!$E$10+1,1))</f>
        <v>493.74122500490859</v>
      </c>
      <c r="AO70" s="59">
        <f t="shared" si="90"/>
        <v>299.43985151679692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16.256217328655744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16.256217328655744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193.93920000000003</v>
      </c>
      <c r="BF70" s="13">
        <f t="shared" si="91"/>
        <v>48.409811198069384</v>
      </c>
      <c r="BG70" s="20">
        <f t="shared" si="61"/>
        <v>422.09119450330417</v>
      </c>
      <c r="BH70" s="59">
        <f t="shared" si="62"/>
        <v>687.04526181152107</v>
      </c>
      <c r="BI70" s="59">
        <f ca="1">AVERAGE(OFFSET($BH$3,0,0,'Données projet'!$E$11+1,1))-AVERAGE(OFFSET($H$3,0,0,'Données projet'!$E$11+1,1))</f>
        <v>364.64276939439014</v>
      </c>
      <c r="BJ70" s="59">
        <f t="shared" si="92"/>
        <v>341.7578598026638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19.979812922477606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19.979812922477606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3.4106051316484809E-13</v>
      </c>
      <c r="BZ70" s="13">
        <f>BY70*VLOOKUP('Données projet'!$B$12,Paramètres!$A$1:$I$89,3,0)*VLOOKUP('Données projet'!$B$12,Paramètres!$A$1:$I$89,5,0)</f>
        <v>2.0395418687257919E-13</v>
      </c>
      <c r="CA70" s="13">
        <f t="shared" si="93"/>
        <v>2.8200388570161721E-12</v>
      </c>
      <c r="CB70" s="20">
        <f t="shared" si="64"/>
        <v>5.2667878847729083E-12</v>
      </c>
      <c r="CC70" s="59">
        <f t="shared" si="65"/>
        <v>264.95406730822219</v>
      </c>
      <c r="CD70" s="59">
        <f ca="1">AVERAGE(OFFSET($CC$3,0,0,'Données projet'!$E$12+1,1))-AVERAGE(OFFSET($H$3,0,0,'Données projet'!$E$12+1,1))</f>
        <v>435.81281313761326</v>
      </c>
      <c r="CE70" s="59">
        <f t="shared" si="94"/>
        <v>460.93390058676493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223.97533925066011</v>
      </c>
      <c r="CL70" s="21">
        <f>EXP(-LN(2)/25)*CL69+(1-EXP(-LN(2)/25))/(LN(2)/25)*Calculateur!CG70*Calculateur!CI70*VLOOKUP('Données projet'!$B$12,Paramètres!$A$1:$I$89,3,0)*0.475*44/12</f>
        <v>49.127836283875659</v>
      </c>
      <c r="CM70" s="21">
        <f>EXP(-LN(2)/2)*CM69+(1-EXP(-LN(2)/2))/(LN(2)/2)*CG70*CJ70*VLOOKUP('Données projet'!$B$12,Paramètres!$A$1:$I$89,3,0)*0.475*44/12</f>
        <v>19.516000025393595</v>
      </c>
      <c r="CN70" s="22">
        <f t="shared" si="66"/>
        <v>292.61917555992932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</v>
      </c>
      <c r="CT70" s="12">
        <f>IF('Données projet'!$A$140&gt;35,CT69+CS70-DB69,IF(A70&lt;'Données projet'!$A$140,$CQ$205^A70,IF(A70='Données projet'!$A$140,'Données projet'!$B$140,CT69+CS70-DB69)))</f>
        <v>514</v>
      </c>
      <c r="CU70" s="17">
        <f>CT70*VLOOKUP('Données projet'!$B$13,Paramètres!$A$1:$I$89,3,0)*VLOOKUP('Données projet'!$B$13,Paramètres!$A$1:$I$89,5,0)</f>
        <v>240.55199999999999</v>
      </c>
      <c r="CV70" s="13">
        <f t="shared" si="95"/>
        <v>58.55828008686521</v>
      </c>
      <c r="CW70" s="20">
        <f t="shared" si="67"/>
        <v>520.9504044846235</v>
      </c>
      <c r="CX70" s="59">
        <f t="shared" si="68"/>
        <v>785.90447179284047</v>
      </c>
      <c r="CY70" s="59">
        <f ca="1">AVERAGE(OFFSET($CX$3,0,0,'Données projet'!$E$13+1,1))-AVERAGE(OFFSET($H$3,0,0,'Données projet'!$E$13+1,1))</f>
        <v>379.16472924112111</v>
      </c>
      <c r="CZ70" s="59">
        <f t="shared" si="96"/>
        <v>273.18950868898253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15.463684730398249</v>
      </c>
      <c r="DG70" s="21">
        <f>EXP(-LN(2)/25)*DG69+(1-EXP(-LN(2)/25))/(LN(2)/25)*Calculateur!DB70*Calculateur!DD70*VLOOKUP('Données projet'!$B$13,Paramètres!$A$1:$I$89,3,0)*0.475*44/12</f>
        <v>15.367164194156562</v>
      </c>
      <c r="DH70" s="21">
        <f>EXP(-LN(2)/2)*DH69+(1-EXP(-LN(2)/2))/(LN(2)/2)*DB70*DE70*VLOOKUP('Données projet'!$B$13,Paramètres!$A$1:$I$89,3,0)*0.475*44/12</f>
        <v>0.43191529629304809</v>
      </c>
      <c r="DI70" s="22">
        <f t="shared" si="69"/>
        <v>31.26276422084786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18.2</v>
      </c>
      <c r="DO70" s="12">
        <f>IF('Données projet'!$A$166&gt;35,DO69+DN70-DW69,IF(A70&lt;'Données projet'!$A$166,$DL$205^A70,IF(A70='Données projet'!$A$166,'Données projet'!$B$166,DO69+DN70-DW69)))</f>
        <v>718.40000000000043</v>
      </c>
      <c r="DP70" s="17">
        <f>DO70*VLOOKUP('Données projet'!$B$14,Paramètres!$A$1:$I$89,3,0)*VLOOKUP('Données projet'!$B$14,Paramètres!$A$1:$I$89,5,0)</f>
        <v>289.51520000000016</v>
      </c>
      <c r="DQ70" s="13">
        <f t="shared" si="97"/>
        <v>68.973916544706199</v>
      </c>
      <c r="DR70" s="20">
        <f t="shared" si="70"/>
        <v>624.36854464869691</v>
      </c>
      <c r="DS70" s="59">
        <f t="shared" si="71"/>
        <v>889.32261195691376</v>
      </c>
      <c r="DT70" s="59">
        <f ca="1">AVERAGE(OFFSET($DS$3,0,0,'Données projet'!$E$14+1,1))-AVERAGE(OFFSET($H$3,0,0,'Données projet'!$E$14+1,1))</f>
        <v>419.35339339286082</v>
      </c>
      <c r="DU70" s="59">
        <f t="shared" si="98"/>
        <v>359.03308141414709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63.674490385817371</v>
      </c>
      <c r="EB70" s="21">
        <f>EXP(-LN(2)/25)*EB69+(1-EXP(-LN(2)/25))/(LN(2)/25)*Calculateur!DW70*Calculateur!DY70*VLOOKUP('Données projet'!$B$14,Paramètres!$A$1:$I$89,3,0)*0.475*44/12</f>
        <v>24.464223275296774</v>
      </c>
      <c r="EC70" s="21">
        <f>EXP(-LN(2)/2)*EC69+(1-EXP(-LN(2)/2))/(LN(2)/2)*DW70*DZ70*VLOOKUP('Données projet'!$B$14,Paramètres!$A$1:$I$89,3,0)*0.475*44/12</f>
        <v>1.4622459208370149</v>
      </c>
      <c r="ED70" s="22">
        <f t="shared" si="72"/>
        <v>89.600959581951159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15.8</v>
      </c>
      <c r="EJ70" s="12">
        <f>IF('Données projet'!$A$192&gt;35,EJ69+EI70-ER69,IF(A70&lt;'Données projet'!$A$192,$EG$205^A70,IF(A70='Données projet'!$A$192,'Données projet'!$B$192,EJ69+EI70-ER69)))</f>
        <v>930.60000000000025</v>
      </c>
      <c r="EK70" s="17">
        <f>EJ70*VLOOKUP('Données projet'!$B$15,Paramètres!$A$1:$I$89,3,0)*VLOOKUP('Données projet'!$B$15,Paramètres!$A$1:$I$89,5,0)</f>
        <v>411.32520000000017</v>
      </c>
      <c r="EL70" s="13">
        <f t="shared" si="99"/>
        <v>94.068931590477362</v>
      </c>
      <c r="EM70" s="20">
        <f t="shared" si="73"/>
        <v>880.22811252008171</v>
      </c>
      <c r="EN70" s="59">
        <f t="shared" si="74"/>
        <v>1145.1821798282986</v>
      </c>
      <c r="EO70" s="59">
        <f ca="1">AVERAGE(OFFSET($EN$3,0,0,'Données projet'!$E$15+1,1))-AVERAGE(OFFSET($H$3,0,0,'Données projet'!$E$15+1,1))</f>
        <v>561.50881628354409</v>
      </c>
      <c r="EP70" s="59">
        <f t="shared" si="100"/>
        <v>468.67708352238458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71.445796683949638</v>
      </c>
      <c r="EW70" s="21">
        <f>EXP(-LN(2)/25)*EW69+(1-EXP(-LN(2)/25))/(LN(2)/25)*Calculateur!ER70*Calculateur!ET70*VLOOKUP('Données projet'!$B$15,Paramètres!$A$1:$I$89,3,0)*0.475*44/12</f>
        <v>32.163579326201706</v>
      </c>
      <c r="EX70" s="21">
        <f>EXP(-LN(2)/2)*EX69+(1-EXP(-LN(2)/2))/(LN(2)/2)*ER70*EU70*VLOOKUP('Données projet'!$B$15,Paramètres!$A$1:$I$89,3,0)*0.475*44/12</f>
        <v>1.3425340743071095</v>
      </c>
      <c r="EY70" s="22">
        <f t="shared" si="75"/>
        <v>104.95191008445846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285.59999999999991</v>
      </c>
      <c r="O71" s="13">
        <f>N71*VLOOKUP('Données projet'!$B$9,Paramètres!$A$1:$I$89,3,0)*VLOOKUP('Données projet'!$B$9,Paramètres!$A$1:$I$89,5,0)</f>
        <v>258.41087999999991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824.16329923760361</v>
      </c>
      <c r="S71" s="59">
        <f ca="1">AVERAGE(OFFSET($R$3,0,0,'Données projet'!$E$9+1,1))-AVERAGE(OFFSET($H$3,0,0,'Données projet'!$E$9+1,1))</f>
        <v>484.04602944257209</v>
      </c>
      <c r="T71" s="59">
        <f t="shared" si="88"/>
        <v>297.32483725004124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228.39999999999998</v>
      </c>
      <c r="AJ71" s="13">
        <f>AI71*VLOOKUP('Données projet'!$B$10,Paramètres!$A$1:$I$89,3,0)*VLOOKUP('Données projet'!$B$10,Paramètres!$A$1:$I$89,5,0)</f>
        <v>260.10191999999995</v>
      </c>
      <c r="AK71" s="13">
        <f t="shared" si="89"/>
        <v>62.74410268590654</v>
      </c>
      <c r="AL71" s="20">
        <f t="shared" si="58"/>
        <v>562.2901561779538</v>
      </c>
      <c r="AM71" s="59">
        <f t="shared" si="59"/>
        <v>827.73654030517264</v>
      </c>
      <c r="AN71" s="59">
        <f ca="1">AVERAGE(OFFSET($AM$3,0,0,'Données projet'!$E$10+1,1))-AVERAGE(OFFSET($H$3,0,0,'Données projet'!$E$10+1,1))</f>
        <v>493.74122500490859</v>
      </c>
      <c r="AO71" s="59">
        <f t="shared" si="90"/>
        <v>299.43985151679692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15.937442822154319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15.937442822154319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198.30720000000002</v>
      </c>
      <c r="BF71" s="13">
        <f t="shared" si="91"/>
        <v>49.371957679623371</v>
      </c>
      <c r="BG71" s="20">
        <f t="shared" si="61"/>
        <v>431.37453295867743</v>
      </c>
      <c r="BH71" s="59">
        <f t="shared" si="62"/>
        <v>696.82091708589633</v>
      </c>
      <c r="BI71" s="59">
        <f ca="1">AVERAGE(OFFSET($BH$3,0,0,'Données projet'!$E$11+1,1))-AVERAGE(OFFSET($H$3,0,0,'Données projet'!$E$11+1,1))</f>
        <v>364.64276939439014</v>
      </c>
      <c r="BJ71" s="59">
        <f t="shared" si="92"/>
        <v>341.7578598026638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19.588020977550389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19.588020977550389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3.4106051316484809E-13</v>
      </c>
      <c r="BZ71" s="13">
        <f>BY71*VLOOKUP('Données projet'!$B$12,Paramètres!$A$1:$I$89,3,0)*VLOOKUP('Données projet'!$B$12,Paramètres!$A$1:$I$89,5,0)</f>
        <v>2.0395418687257919E-13</v>
      </c>
      <c r="CA71" s="13">
        <f t="shared" si="93"/>
        <v>2.8200388570161721E-12</v>
      </c>
      <c r="CB71" s="20">
        <f t="shared" si="64"/>
        <v>5.2667878847729083E-12</v>
      </c>
      <c r="CC71" s="59">
        <f t="shared" si="65"/>
        <v>265.44638412722412</v>
      </c>
      <c r="CD71" s="59">
        <f ca="1">AVERAGE(OFFSET($CC$3,0,0,'Données projet'!$E$12+1,1))-AVERAGE(OFFSET($H$3,0,0,'Données projet'!$E$12+1,1))</f>
        <v>435.81281313761326</v>
      </c>
      <c r="CE71" s="59">
        <f t="shared" si="94"/>
        <v>460.93390058676493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219.58331945942234</v>
      </c>
      <c r="CL71" s="21">
        <f>EXP(-LN(2)/25)*CL70+(1-EXP(-LN(2)/25))/(LN(2)/25)*Calculateur!CG71*Calculateur!CI71*VLOOKUP('Données projet'!$B$12,Paramètres!$A$1:$I$89,3,0)*0.475*44/12</f>
        <v>47.784433017172454</v>
      </c>
      <c r="CM71" s="21">
        <f>EXP(-LN(2)/2)*CM70+(1-EXP(-LN(2)/2))/(LN(2)/2)*CG71*CJ71*VLOOKUP('Données projet'!$B$12,Paramètres!$A$1:$I$89,3,0)*0.475*44/12</f>
        <v>13.799895959592645</v>
      </c>
      <c r="CN71" s="22">
        <f t="shared" si="66"/>
        <v>281.16764843618739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</v>
      </c>
      <c r="CT71" s="12">
        <f>IF('Données projet'!$A$140&gt;35,CT70+CS71-DB70,IF(A71&lt;'Données projet'!$A$140,$CQ$205^A71,IF(A71='Données projet'!$A$140,'Données projet'!$B$140,CT70+CS71-DB70)))</f>
        <v>526</v>
      </c>
      <c r="CU71" s="17">
        <f>CT71*VLOOKUP('Données projet'!$B$13,Paramètres!$A$1:$I$89,3,0)*VLOOKUP('Données projet'!$B$13,Paramètres!$A$1:$I$89,5,0)</f>
        <v>246.16799999999998</v>
      </c>
      <c r="CV71" s="13">
        <f t="shared" si="95"/>
        <v>59.764639499163827</v>
      </c>
      <c r="CW71" s="20">
        <f t="shared" si="67"/>
        <v>532.83268046104365</v>
      </c>
      <c r="CX71" s="59">
        <f t="shared" si="68"/>
        <v>798.27906458826249</v>
      </c>
      <c r="CY71" s="59">
        <f ca="1">AVERAGE(OFFSET($CX$3,0,0,'Données projet'!$E$13+1,1))-AVERAGE(OFFSET($H$3,0,0,'Données projet'!$E$13+1,1))</f>
        <v>379.16472924112111</v>
      </c>
      <c r="CZ71" s="59">
        <f t="shared" si="96"/>
        <v>273.18950868898253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15.160451304751501</v>
      </c>
      <c r="DG71" s="21">
        <f>EXP(-LN(2)/25)*DG70+(1-EXP(-LN(2)/25))/(LN(2)/25)*Calculateur!DB71*Calculateur!DD71*VLOOKUP('Données projet'!$B$13,Paramètres!$A$1:$I$89,3,0)*0.475*44/12</f>
        <v>14.946948281143309</v>
      </c>
      <c r="DH71" s="21">
        <f>EXP(-LN(2)/2)*DH70+(1-EXP(-LN(2)/2))/(LN(2)/2)*DB71*DE71*VLOOKUP('Données projet'!$B$13,Paramètres!$A$1:$I$89,3,0)*0.475*44/12</f>
        <v>0.30541023490701119</v>
      </c>
      <c r="DI71" s="22">
        <f t="shared" si="69"/>
        <v>30.412809820801822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18.2</v>
      </c>
      <c r="DO71" s="12">
        <f>IF('Données projet'!$A$166&gt;35,DO70+DN71-DW70,IF(A71&lt;'Données projet'!$A$166,$DL$205^A71,IF(A71='Données projet'!$A$166,'Données projet'!$B$166,DO70+DN71-DW70)))</f>
        <v>736.60000000000048</v>
      </c>
      <c r="DP71" s="17">
        <f>DO71*VLOOKUP('Données projet'!$B$14,Paramètres!$A$1:$I$89,3,0)*VLOOKUP('Données projet'!$B$14,Paramètres!$A$1:$I$89,5,0)</f>
        <v>296.84980000000019</v>
      </c>
      <c r="DQ71" s="13">
        <f t="shared" si="97"/>
        <v>70.515655371384696</v>
      </c>
      <c r="DR71" s="20">
        <f t="shared" si="70"/>
        <v>639.82816810516192</v>
      </c>
      <c r="DS71" s="59">
        <f t="shared" si="71"/>
        <v>905.27455223238076</v>
      </c>
      <c r="DT71" s="59">
        <f ca="1">AVERAGE(OFFSET($DS$3,0,0,'Données projet'!$E$14+1,1))-AVERAGE(OFFSET($H$3,0,0,'Données projet'!$E$14+1,1))</f>
        <v>419.35339339286082</v>
      </c>
      <c r="DU71" s="59">
        <f t="shared" si="98"/>
        <v>359.03308141414709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62.425872466955731</v>
      </c>
      <c r="EB71" s="21">
        <f>EXP(-LN(2)/25)*EB70+(1-EXP(-LN(2)/25))/(LN(2)/25)*Calculateur!DW71*Calculateur!DY71*VLOOKUP('Données projet'!$B$14,Paramètres!$A$1:$I$89,3,0)*0.475*44/12</f>
        <v>23.795247803316197</v>
      </c>
      <c r="EC71" s="21">
        <f>EXP(-LN(2)/2)*EC70+(1-EXP(-LN(2)/2))/(LN(2)/2)*DW71*DZ71*VLOOKUP('Données projet'!$B$14,Paramètres!$A$1:$I$89,3,0)*0.475*44/12</f>
        <v>1.0339640063862208</v>
      </c>
      <c r="ED71" s="22">
        <f t="shared" si="72"/>
        <v>87.255084276658152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15.8</v>
      </c>
      <c r="EJ71" s="12">
        <f>IF('Données projet'!$A$192&gt;35,EJ70+EI71-ER70,IF(A71&lt;'Données projet'!$A$192,$EG$205^A71,IF(A71='Données projet'!$A$192,'Données projet'!$B$192,EJ70+EI71-ER70)))</f>
        <v>946.4000000000002</v>
      </c>
      <c r="EK71" s="17">
        <f>EJ71*VLOOKUP('Données projet'!$B$15,Paramètres!$A$1:$I$89,3,0)*VLOOKUP('Données projet'!$B$15,Paramètres!$A$1:$I$89,5,0)</f>
        <v>418.30880000000008</v>
      </c>
      <c r="EL71" s="13">
        <f t="shared" si="99"/>
        <v>95.478769852644163</v>
      </c>
      <c r="EM71" s="20">
        <f t="shared" si="73"/>
        <v>894.84668416002194</v>
      </c>
      <c r="EN71" s="59">
        <f t="shared" si="74"/>
        <v>1160.2930682872407</v>
      </c>
      <c r="EO71" s="59">
        <f ca="1">AVERAGE(OFFSET($EN$3,0,0,'Données projet'!$E$15+1,1))-AVERAGE(OFFSET($H$3,0,0,'Données projet'!$E$15+1,1))</f>
        <v>561.50881628354409</v>
      </c>
      <c r="EP71" s="59">
        <f t="shared" si="100"/>
        <v>468.67708352238458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70.044788188610426</v>
      </c>
      <c r="EW71" s="21">
        <f>EXP(-LN(2)/25)*EW70+(1-EXP(-LN(2)/25))/(LN(2)/25)*Calculateur!ER71*Calculateur!ET71*VLOOKUP('Données projet'!$B$15,Paramètres!$A$1:$I$89,3,0)*0.475*44/12</f>
        <v>31.284064558117596</v>
      </c>
      <c r="EX71" s="21">
        <f>EXP(-LN(2)/2)*EX70+(1-EXP(-LN(2)/2))/(LN(2)/2)*ER71*EU71*VLOOKUP('Données projet'!$B$15,Paramètres!$A$1:$I$89,3,0)*0.475*44/12</f>
        <v>0.94931494791656146</v>
      </c>
      <c r="EY71" s="22">
        <f t="shared" si="75"/>
        <v>102.27816769464458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</v>
      </c>
      <c r="O72" s="13">
        <f>N72*VLOOKUP('Données projet'!$B$9,Paramètres!$A$1:$I$89,3,0)*VLOOKUP('Données projet'!$B$9,Paramètres!$A$1:$I$89,5,0)</f>
        <v>265.83023999999989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840.32099556129981</v>
      </c>
      <c r="S72" s="59">
        <f ca="1">AVERAGE(OFFSET($R$3,0,0,'Données projet'!$E$9+1,1))-AVERAGE(OFFSET($H$3,0,0,'Données projet'!$E$9+1,1))</f>
        <v>484.04602944257209</v>
      </c>
      <c r="T72" s="59">
        <f t="shared" si="88"/>
        <v>297.32483725004124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235.2</v>
      </c>
      <c r="AJ72" s="13">
        <f>AI72*VLOOKUP('Données projet'!$B$10,Paramètres!$A$1:$I$89,3,0)*VLOOKUP('Données projet'!$B$10,Paramètres!$A$1:$I$89,5,0)</f>
        <v>267.84575999999998</v>
      </c>
      <c r="AK72" s="13">
        <f t="shared" si="89"/>
        <v>64.391872260181472</v>
      </c>
      <c r="AL72" s="20">
        <f t="shared" si="58"/>
        <v>578.64720951981599</v>
      </c>
      <c r="AM72" s="59">
        <f t="shared" si="59"/>
        <v>844.57736986988255</v>
      </c>
      <c r="AN72" s="59">
        <f ca="1">AVERAGE(OFFSET($AM$3,0,0,'Données projet'!$E$10+1,1))-AVERAGE(OFFSET($H$3,0,0,'Données projet'!$E$10+1,1))</f>
        <v>493.74122500490859</v>
      </c>
      <c r="AO72" s="59">
        <f t="shared" si="90"/>
        <v>299.43985151679692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15.624919289292137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15.624919289292137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202.67520000000002</v>
      </c>
      <c r="BF72" s="13">
        <f t="shared" si="91"/>
        <v>50.331640285313689</v>
      </c>
      <c r="BG72" s="20">
        <f t="shared" si="61"/>
        <v>440.653580163588</v>
      </c>
      <c r="BH72" s="59">
        <f t="shared" si="62"/>
        <v>706.58374051365456</v>
      </c>
      <c r="BI72" s="59">
        <f ca="1">AVERAGE(OFFSET($BH$3,0,0,'Données projet'!$E$11+1,1))-AVERAGE(OFFSET($H$3,0,0,'Données projet'!$E$11+1,1))</f>
        <v>364.64276939439014</v>
      </c>
      <c r="BJ72" s="59">
        <f t="shared" si="92"/>
        <v>341.7578598026638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19.203911833693702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19.203911833693702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3.4106051316484809E-13</v>
      </c>
      <c r="BZ72" s="13">
        <f>BY72*VLOOKUP('Données projet'!$B$12,Paramètres!$A$1:$I$89,3,0)*VLOOKUP('Données projet'!$B$12,Paramètres!$A$1:$I$89,5,0)</f>
        <v>2.0395418687257919E-13</v>
      </c>
      <c r="CA72" s="13">
        <f t="shared" si="93"/>
        <v>2.8200388570161721E-12</v>
      </c>
      <c r="CB72" s="20">
        <f t="shared" si="64"/>
        <v>5.2667878847729083E-12</v>
      </c>
      <c r="CC72" s="59">
        <f t="shared" si="65"/>
        <v>265.93016035007184</v>
      </c>
      <c r="CD72" s="59">
        <f ca="1">AVERAGE(OFFSET($CC$3,0,0,'Données projet'!$E$12+1,1))-AVERAGE(OFFSET($H$3,0,0,'Données projet'!$E$12+1,1))</f>
        <v>435.81281313761326</v>
      </c>
      <c r="CE72" s="59">
        <f t="shared" si="94"/>
        <v>460.93390058676493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215.2774244974232</v>
      </c>
      <c r="CL72" s="21">
        <f>EXP(-LN(2)/25)*CL71+(1-EXP(-LN(2)/25))/(LN(2)/25)*Calculateur!CG72*Calculateur!CI72*VLOOKUP('Données projet'!$B$12,Paramètres!$A$1:$I$89,3,0)*0.475*44/12</f>
        <v>46.477765183443751</v>
      </c>
      <c r="CM72" s="21">
        <f>EXP(-LN(2)/2)*CM71+(1-EXP(-LN(2)/2))/(LN(2)/2)*CG72*CJ72*VLOOKUP('Données projet'!$B$12,Paramètres!$A$1:$I$89,3,0)*0.475*44/12</f>
        <v>9.7580000126967974</v>
      </c>
      <c r="CN72" s="22">
        <f t="shared" si="66"/>
        <v>271.51318969356373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</v>
      </c>
      <c r="CT72" s="12">
        <f>IF('Données projet'!$A$140&gt;35,CT71+CS72-DB71,IF(A72&lt;'Données projet'!$A$140,$CQ$205^A72,IF(A72='Données projet'!$A$140,'Données projet'!$B$140,CT71+CS72-DB71)))</f>
        <v>538</v>
      </c>
      <c r="CU72" s="17">
        <f>CT72*VLOOKUP('Données projet'!$B$13,Paramètres!$A$1:$I$89,3,0)*VLOOKUP('Données projet'!$B$13,Paramètres!$A$1:$I$89,5,0)</f>
        <v>251.78400000000002</v>
      </c>
      <c r="CV72" s="13">
        <f t="shared" si="95"/>
        <v>60.967799364357568</v>
      </c>
      <c r="CW72" s="20">
        <f t="shared" si="67"/>
        <v>544.7093838929228</v>
      </c>
      <c r="CX72" s="59">
        <f t="shared" si="68"/>
        <v>810.63954424298936</v>
      </c>
      <c r="CY72" s="59">
        <f ca="1">AVERAGE(OFFSET($CX$3,0,0,'Données projet'!$E$13+1,1))-AVERAGE(OFFSET($H$3,0,0,'Données projet'!$E$13+1,1))</f>
        <v>379.16472924112111</v>
      </c>
      <c r="CZ72" s="59">
        <f t="shared" si="96"/>
        <v>273.18950868898253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14.863164101627557</v>
      </c>
      <c r="DG72" s="21">
        <f>EXP(-LN(2)/25)*DG71+(1-EXP(-LN(2)/25))/(LN(2)/25)*Calculateur!DB72*Calculateur!DD72*VLOOKUP('Données projet'!$B$13,Paramètres!$A$1:$I$89,3,0)*0.475*44/12</f>
        <v>14.538223194369596</v>
      </c>
      <c r="DH72" s="21">
        <f>EXP(-LN(2)/2)*DH71+(1-EXP(-LN(2)/2))/(LN(2)/2)*DB72*DE72*VLOOKUP('Données projet'!$B$13,Paramètres!$A$1:$I$89,3,0)*0.475*44/12</f>
        <v>0.21595764814652404</v>
      </c>
      <c r="DI72" s="22">
        <f t="shared" si="69"/>
        <v>29.617344944143678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18.2</v>
      </c>
      <c r="DO72" s="12">
        <f>IF('Données projet'!$A$166&gt;35,DO71+DN72-DW71,IF(A72&lt;'Données projet'!$A$166,$DL$205^A72,IF(A72='Données projet'!$A$166,'Données projet'!$B$166,DO71+DN72-DW71)))</f>
        <v>754.80000000000052</v>
      </c>
      <c r="DP72" s="17">
        <f>DO72*VLOOKUP('Données projet'!$B$14,Paramètres!$A$1:$I$89,3,0)*VLOOKUP('Données projet'!$B$14,Paramètres!$A$1:$I$89,5,0)</f>
        <v>304.18440000000021</v>
      </c>
      <c r="DQ72" s="13">
        <f t="shared" si="97"/>
        <v>72.052966012669543</v>
      </c>
      <c r="DR72" s="20">
        <f t="shared" si="70"/>
        <v>655.28007913873319</v>
      </c>
      <c r="DS72" s="59">
        <f t="shared" si="71"/>
        <v>921.21023948879974</v>
      </c>
      <c r="DT72" s="59">
        <f ca="1">AVERAGE(OFFSET($DS$3,0,0,'Données projet'!$E$14+1,1))-AVERAGE(OFFSET($H$3,0,0,'Données projet'!$E$14+1,1))</f>
        <v>419.35339339286082</v>
      </c>
      <c r="DU72" s="59">
        <f t="shared" si="98"/>
        <v>359.03308141414709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61.201739183901239</v>
      </c>
      <c r="EB72" s="21">
        <f>EXP(-LN(2)/25)*EB71+(1-EXP(-LN(2)/25))/(LN(2)/25)*Calculateur!DW72*Calculateur!DY72*VLOOKUP('Données projet'!$B$14,Paramètres!$A$1:$I$89,3,0)*0.475*44/12</f>
        <v>23.144565500796819</v>
      </c>
      <c r="EC72" s="21">
        <f>EXP(-LN(2)/2)*EC71+(1-EXP(-LN(2)/2))/(LN(2)/2)*DW72*DZ72*VLOOKUP('Données projet'!$B$14,Paramètres!$A$1:$I$89,3,0)*0.475*44/12</f>
        <v>0.73112296041850744</v>
      </c>
      <c r="ED72" s="22">
        <f t="shared" si="72"/>
        <v>85.077427645116558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15.8</v>
      </c>
      <c r="EJ72" s="12">
        <f>IF('Données projet'!$A$192&gt;35,EJ71+EI72-ER71,IF(A72&lt;'Données projet'!$A$192,$EG$205^A72,IF(A72='Données projet'!$A$192,'Données projet'!$B$192,EJ71+EI72-ER71)))</f>
        <v>962.20000000000016</v>
      </c>
      <c r="EK72" s="17">
        <f>EJ72*VLOOKUP('Données projet'!$B$15,Paramètres!$A$1:$I$89,3,0)*VLOOKUP('Données projet'!$B$15,Paramètres!$A$1:$I$89,5,0)</f>
        <v>425.2924000000001</v>
      </c>
      <c r="EL72" s="13">
        <f t="shared" si="99"/>
        <v>96.885870930458339</v>
      </c>
      <c r="EM72" s="20">
        <f t="shared" si="73"/>
        <v>909.46048853721504</v>
      </c>
      <c r="EN72" s="59">
        <f t="shared" si="74"/>
        <v>1175.3906488872817</v>
      </c>
      <c r="EO72" s="59">
        <f ca="1">AVERAGE(OFFSET($EN$3,0,0,'Données projet'!$E$15+1,1))-AVERAGE(OFFSET($H$3,0,0,'Données projet'!$E$15+1,1))</f>
        <v>561.50881628354409</v>
      </c>
      <c r="EP72" s="59">
        <f t="shared" si="100"/>
        <v>468.67708352238458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68.671252615334012</v>
      </c>
      <c r="EW72" s="21">
        <f>EXP(-LN(2)/25)*EW71+(1-EXP(-LN(2)/25))/(LN(2)/25)*Calculateur!ER72*Calculateur!ET72*VLOOKUP('Données projet'!$B$15,Paramètres!$A$1:$I$89,3,0)*0.475*44/12</f>
        <v>30.428600167618416</v>
      </c>
      <c r="EX72" s="21">
        <f>EXP(-LN(2)/2)*EX71+(1-EXP(-LN(2)/2))/(LN(2)/2)*ER72*EU72*VLOOKUP('Données projet'!$B$15,Paramètres!$A$1:$I$89,3,0)*0.475*44/12</f>
        <v>0.67126703715355485</v>
      </c>
      <c r="EY72" s="22">
        <f t="shared" si="75"/>
        <v>99.77111982010598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301.99999999999989</v>
      </c>
      <c r="O73" s="13">
        <f>N73*VLOOKUP('Données projet'!$B$9,Paramètres!$A$1:$I$89,3,0)*VLOOKUP('Données projet'!$B$9,Paramètres!$A$1:$I$89,5,0)</f>
        <v>273.24959999999987</v>
      </c>
      <c r="P73" s="13">
        <f t="shared" si="87"/>
        <v>65.538435495514321</v>
      </c>
      <c r="Q73" s="20">
        <f t="shared" si="54"/>
        <v>590.05582848802044</v>
      </c>
      <c r="R73" s="59">
        <f t="shared" si="55"/>
        <v>856.46137262502998</v>
      </c>
      <c r="S73" s="59">
        <f ca="1">AVERAGE(OFFSET($R$3,0,0,'Données projet'!$E$9+1,1))-AVERAGE(OFFSET($H$3,0,0,'Données projet'!$E$9+1,1))</f>
        <v>484.04602944257209</v>
      </c>
      <c r="T73" s="59">
        <f t="shared" si="88"/>
        <v>297.32483725004124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242</v>
      </c>
      <c r="AJ73" s="13">
        <f>AI73*VLOOKUP('Données projet'!$B$10,Paramètres!$A$1:$I$89,3,0)*VLOOKUP('Données projet'!$B$10,Paramètres!$A$1:$I$89,5,0)</f>
        <v>275.58960000000002</v>
      </c>
      <c r="AK73" s="13">
        <f t="shared" si="89"/>
        <v>66.034105090666486</v>
      </c>
      <c r="AL73" s="20">
        <f t="shared" si="58"/>
        <v>594.99461969957736</v>
      </c>
      <c r="AM73" s="59">
        <f t="shared" si="59"/>
        <v>861.4001638365869</v>
      </c>
      <c r="AN73" s="59">
        <f ca="1">AVERAGE(OFFSET($AM$3,0,0,'Données projet'!$E$10+1,1))-AVERAGE(OFFSET($H$3,0,0,'Données projet'!$E$10+1,1))</f>
        <v>493.74122500490859</v>
      </c>
      <c r="AO73" s="59">
        <f t="shared" si="90"/>
        <v>299.43985151679692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21.002501304266588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21.002501304266588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207.04320000000001</v>
      </c>
      <c r="BF73" s="13">
        <f t="shared" si="91"/>
        <v>51.288918231806321</v>
      </c>
      <c r="BG73" s="20">
        <f t="shared" si="61"/>
        <v>449.92843925372944</v>
      </c>
      <c r="BH73" s="59">
        <f t="shared" si="62"/>
        <v>716.33398339073892</v>
      </c>
      <c r="BI73" s="59">
        <f ca="1">AVERAGE(OFFSET($BH$3,0,0,'Données projet'!$E$11+1,1))-AVERAGE(OFFSET($H$3,0,0,'Données projet'!$E$11+1,1))</f>
        <v>364.64276939439014</v>
      </c>
      <c r="BJ73" s="59">
        <f t="shared" si="92"/>
        <v>341.7578598026638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0.25800000000000001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23.312226396877172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23.312226396877172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3.4106051316484809E-13</v>
      </c>
      <c r="BZ73" s="13">
        <f>BY73*VLOOKUP('Données projet'!$B$12,Paramètres!$A$1:$I$89,3,0)*VLOOKUP('Données projet'!$B$12,Paramètres!$A$1:$I$89,5,0)</f>
        <v>2.0395418687257919E-13</v>
      </c>
      <c r="CA73" s="13">
        <f t="shared" si="93"/>
        <v>2.8200388570161721E-12</v>
      </c>
      <c r="CB73" s="20">
        <f t="shared" si="64"/>
        <v>5.2667878847729083E-12</v>
      </c>
      <c r="CC73" s="59">
        <f t="shared" si="65"/>
        <v>266.40554413701477</v>
      </c>
      <c r="CD73" s="59">
        <f ca="1">AVERAGE(OFFSET($CC$3,0,0,'Données projet'!$E$12+1,1))-AVERAGE(OFFSET($H$3,0,0,'Données projet'!$E$12+1,1))</f>
        <v>435.81281313761326</v>
      </c>
      <c r="CE73" s="59">
        <f t="shared" si="94"/>
        <v>460.93390058676493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211.05596550929226</v>
      </c>
      <c r="CL73" s="21">
        <f>EXP(-LN(2)/25)*CL72+(1-EXP(-LN(2)/25))/(LN(2)/25)*Calculateur!CG73*Calculateur!CI73*VLOOKUP('Données projet'!$B$12,Paramètres!$A$1:$I$89,3,0)*0.475*44/12</f>
        <v>45.206828250343037</v>
      </c>
      <c r="CM73" s="21">
        <f>EXP(-LN(2)/2)*CM72+(1-EXP(-LN(2)/2))/(LN(2)/2)*CG73*CJ73*VLOOKUP('Données projet'!$B$12,Paramètres!$A$1:$I$89,3,0)*0.475*44/12</f>
        <v>6.8999479797963224</v>
      </c>
      <c r="CN73" s="22">
        <f t="shared" si="66"/>
        <v>263.16274173943162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550</v>
      </c>
      <c r="CR73" s="12">
        <f>VLOOKUP(A73,'Données projet'!$A$139:$I$159,9,0)</f>
        <v>12</v>
      </c>
      <c r="CS73" s="12">
        <f t="array" ref="CS73">INDEX(CR:CR,MIN(IF(ISNUMBER(CR73:CR269),ROW(CR73:CR269),"")))</f>
        <v>12</v>
      </c>
      <c r="CT73" s="12">
        <f>IF('Données projet'!$A$140&gt;35,CT72+CS73-DB72,IF(A73&lt;'Données projet'!$A$140,$CQ$205^A73,IF(A73='Données projet'!$A$140,'Données projet'!$B$140,CT72+CS73-DB72)))</f>
        <v>550</v>
      </c>
      <c r="CU73" s="17">
        <f>CT73*VLOOKUP('Données projet'!$B$13,Paramètres!$A$1:$I$89,3,0)*VLOOKUP('Données projet'!$B$13,Paramètres!$A$1:$I$89,5,0)</f>
        <v>257.40000000000003</v>
      </c>
      <c r="CV73" s="13">
        <f t="shared" si="95"/>
        <v>62.167839264733466</v>
      </c>
      <c r="CW73" s="20">
        <f t="shared" si="67"/>
        <v>556.58065338607753</v>
      </c>
      <c r="CX73" s="59">
        <f t="shared" si="68"/>
        <v>822.98619752308696</v>
      </c>
      <c r="CY73" s="59">
        <f ca="1">AVERAGE(OFFSET($CX$3,0,0,'Données projet'!$E$13+1,1))-AVERAGE(OFFSET($H$3,0,0,'Données projet'!$E$13+1,1))</f>
        <v>379.16472924112111</v>
      </c>
      <c r="CZ73" s="59">
        <f t="shared" si="96"/>
        <v>273.18950868898253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40</v>
      </c>
      <c r="DC73" s="16">
        <f>IF(ISNA(VLOOKUP(A73,'Données projet'!$A$139:$I$159,5,0)),0%,VLOOKUP(A73,'Données projet'!$A$139:$I$159,5,0)*VLOOKUP('Données projet'!$B$13,Paramètres!$A$1:$I$89,7,0))</f>
        <v>0.33</v>
      </c>
      <c r="DD73" s="16">
        <f>IF(ISNA(VLOOKUP(A73,'Données projet'!$A$139:$I$159,6,0)),0%,VLOOKUP(A73,'Données projet'!$A$139:$I$159,6,0)*VLOOKUP('Données projet'!$B$13,Paramètres!$A$1:$I$89,7,0))</f>
        <v>0.12100000000000001</v>
      </c>
      <c r="DE73" s="16">
        <f>IF(ISNA(VLOOKUP(A73,'Données projet'!$A$139:$I$159,7,0)),0%,VLOOKUP(A73,'Données projet'!$A$139:$I$159,7,0))</f>
        <v>0.18</v>
      </c>
      <c r="DF73" s="21">
        <f>EXP(-LN(2)/35)*DF72+(1-EXP(-LN(2)/35))/(LN(2)/35)*DB73*DC73*VLOOKUP('Données projet'!$B$13,Paramètres!$A$1:$I$89,3,0)*0.475*44/12</f>
        <v>22.766691099152887</v>
      </c>
      <c r="DG73" s="21">
        <f>EXP(-LN(2)/25)*DG72+(1-EXP(-LN(2)/25))/(LN(2)/25)*Calculateur!DB73*Calculateur!DD73*VLOOKUP('Données projet'!$B$13,Paramètres!$A$1:$I$89,3,0)*0.475*44/12</f>
        <v>17.133671244390307</v>
      </c>
      <c r="DH73" s="21">
        <f>EXP(-LN(2)/2)*DH72+(1-EXP(-LN(2)/2))/(LN(2)/2)*DB73*DE73*VLOOKUP('Données projet'!$B$13,Paramètres!$A$1:$I$89,3,0)*0.475*44/12</f>
        <v>3.9678750671986851</v>
      </c>
      <c r="DI73" s="22">
        <f t="shared" si="69"/>
        <v>43.868237410741877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773</v>
      </c>
      <c r="DM73" s="12">
        <f>VLOOKUP(A73,'Données projet'!$A$165:$I$185,9,0)</f>
        <v>18.2</v>
      </c>
      <c r="DN73" s="12">
        <f t="array" ref="DN73">INDEX(DM:DM,MIN(IF(ISNUMBER(DM73:DM269),ROW(DM73:DM269),"")))</f>
        <v>18.2</v>
      </c>
      <c r="DO73" s="12">
        <f>IF('Données projet'!$A$166&gt;35,DO72+DN73-DW72,IF(A73&lt;'Données projet'!$A$166,$DL$205^A73,IF(A73='Données projet'!$A$166,'Données projet'!$B$166,DO72+DN73-DW72)))</f>
        <v>773.00000000000057</v>
      </c>
      <c r="DP73" s="17">
        <f>DO73*VLOOKUP('Données projet'!$B$14,Paramètres!$A$1:$I$89,3,0)*VLOOKUP('Données projet'!$B$14,Paramètres!$A$1:$I$89,5,0)</f>
        <v>311.51900000000023</v>
      </c>
      <c r="DQ73" s="13">
        <f t="shared" si="97"/>
        <v>73.58596752719825</v>
      </c>
      <c r="DR73" s="20">
        <f t="shared" si="70"/>
        <v>670.72448510987067</v>
      </c>
      <c r="DS73" s="59">
        <f t="shared" si="71"/>
        <v>937.13002924688021</v>
      </c>
      <c r="DT73" s="59">
        <f ca="1">AVERAGE(OFFSET($DS$3,0,0,'Données projet'!$E$14+1,1))-AVERAGE(OFFSET($H$3,0,0,'Données projet'!$E$14+1,1))</f>
        <v>419.35339339286082</v>
      </c>
      <c r="DU73" s="59">
        <f t="shared" si="98"/>
        <v>359.03308141414709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49</v>
      </c>
      <c r="DX73" s="16">
        <f>IF(ISNA(VLOOKUP(A73,'Données projet'!$A$165:$I$185,5,0)),0%,VLOOKUP(A73,'Données projet'!$A$165:$I$185,5,0)*VLOOKUP('Données projet'!$B$14,Paramètres!$A$1:$I$89,7,0))</f>
        <v>0.44000000000000006</v>
      </c>
      <c r="DY73" s="16">
        <f>IF(ISNA(VLOOKUP(A73,'Données projet'!$A$165:$I$185,6,0)),0%,VLOOKUP(A73,'Données projet'!$A$165:$I$185,6,0)*VLOOKUP('Données projet'!$B$14,Paramètres!$A$1:$I$89,7,0))</f>
        <v>6.0500000000000005E-2</v>
      </c>
      <c r="DZ73" s="16">
        <f>IF(ISNA(VLOOKUP(A73,'Données projet'!$A$165:$I$185,7,0)),0%,VLOOKUP(A73,'Données projet'!$A$165:$I$185,7,0))</f>
        <v>0.09</v>
      </c>
      <c r="EA73" s="21">
        <f>EXP(-LN(2)/35)*EA72+(1-EXP(-LN(2)/35))/(LN(2)/35)*DW73*DX73*VLOOKUP('Données projet'!$B$14,Paramètres!$A$1:$I$89,3,0)*0.475*44/12</f>
        <v>71.527704460568287</v>
      </c>
      <c r="EB73" s="21">
        <f>EXP(-LN(2)/25)*EB72+(1-EXP(-LN(2)/25))/(LN(2)/25)*Calculateur!DW73*Calculateur!DY73*VLOOKUP('Données projet'!$B$14,Paramètres!$A$1:$I$89,3,0)*0.475*44/12</f>
        <v>24.090273961492542</v>
      </c>
      <c r="EC73" s="21">
        <f>EXP(-LN(2)/2)*EC72+(1-EXP(-LN(2)/2))/(LN(2)/2)*DW73*DZ73*VLOOKUP('Données projet'!$B$14,Paramètres!$A$1:$I$89,3,0)*0.475*44/12</f>
        <v>2.5292192093260706</v>
      </c>
      <c r="ED73" s="22">
        <f t="shared" si="72"/>
        <v>98.147197631386902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978</v>
      </c>
      <c r="EH73" s="12">
        <f>VLOOKUP(A73,'Données projet'!$A$191:$I$211,9,0)</f>
        <v>15.8</v>
      </c>
      <c r="EI73" s="12">
        <f t="array" ref="EI73">INDEX(EH:EH,MIN(IF(ISNUMBER(EH73:EH269),ROW(EH73:EH269),"")))</f>
        <v>15.8</v>
      </c>
      <c r="EJ73" s="12">
        <f>IF('Données projet'!$A$192&gt;35,EJ72+EI73-ER72,IF(A73&lt;'Données projet'!$A$192,$EG$205^A73,IF(A73='Données projet'!$A$192,'Données projet'!$B$192,EJ72+EI73-ER72)))</f>
        <v>978.00000000000011</v>
      </c>
      <c r="EK73" s="17">
        <f>EJ73*VLOOKUP('Données projet'!$B$15,Paramètres!$A$1:$I$89,3,0)*VLOOKUP('Données projet'!$B$15,Paramètres!$A$1:$I$89,5,0)</f>
        <v>432.27600000000007</v>
      </c>
      <c r="EL73" s="13">
        <f t="shared" si="99"/>
        <v>98.290284958796846</v>
      </c>
      <c r="EM73" s="20">
        <f t="shared" si="73"/>
        <v>924.0696129699046</v>
      </c>
      <c r="EN73" s="59">
        <f t="shared" si="74"/>
        <v>1190.4751571069141</v>
      </c>
      <c r="EO73" s="59">
        <f ca="1">AVERAGE(OFFSET($EN$3,0,0,'Données projet'!$E$15+1,1))-AVERAGE(OFFSET($H$3,0,0,'Données projet'!$E$15+1,1))</f>
        <v>561.50881628354409</v>
      </c>
      <c r="EP73" s="59">
        <f t="shared" si="100"/>
        <v>468.67708352238458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38</v>
      </c>
      <c r="ES73" s="16">
        <f>IF(ISNA(VLOOKUP(A73,'Données projet'!$A$191:$I$211,5,0)),0%,VLOOKUP(A73,'Données projet'!$A$191:$I$211,5,0)*VLOOKUP('Données projet'!$B$15,Paramètres!$A$1:$I$89,7,0))</f>
        <v>0.44000000000000006</v>
      </c>
      <c r="ET73" s="16">
        <f>IF(ISNA(VLOOKUP(A73,'Données projet'!$A$191:$I$211,6,0)),0%,VLOOKUP(A73,'Données projet'!$A$191:$I$211,6,0)*VLOOKUP('Données projet'!$B$15,Paramètres!$A$1:$I$89,7,0))</f>
        <v>6.0500000000000005E-2</v>
      </c>
      <c r="EU73" s="16">
        <f>IF(ISNA(VLOOKUP(A73,'Données projet'!$A$191:$I$211,7,0)),0%,VLOOKUP(A73,'Données projet'!$A$191:$I$211,7,0))</f>
        <v>0.09</v>
      </c>
      <c r="EV73" s="21">
        <f>EXP(-LN(2)/35)*EV72+(1-EXP(-LN(2)/35))/(LN(2)/35)*ER73*ES73*VLOOKUP('Données projet'!$B$15,Paramètres!$A$1:$I$89,3,0)*0.475*44/12</f>
        <v>77.12828093804309</v>
      </c>
      <c r="EW73" s="21">
        <f>EXP(-LN(2)/25)*EW72+(1-EXP(-LN(2)/25))/(LN(2)/25)*Calculateur!ER73*Calculateur!ET73*VLOOKUP('Données projet'!$B$15,Paramètres!$A$1:$I$89,3,0)*0.475*44/12</f>
        <v>30.939219993753614</v>
      </c>
      <c r="EX73" s="21">
        <f>EXP(-LN(2)/2)*EX72+(1-EXP(-LN(2)/2))/(LN(2)/2)*ER73*EU73*VLOOKUP('Données projet'!$B$15,Paramètres!$A$1:$I$89,3,0)*0.475*44/12</f>
        <v>2.1861851041911877</v>
      </c>
      <c r="EY73" s="22">
        <f t="shared" si="75"/>
        <v>110.25368603598788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281.59999999999991</v>
      </c>
      <c r="O74" s="13">
        <f>N74*VLOOKUP('Données projet'!$B$9,Paramètres!$A$1:$I$89,3,0)*VLOOKUP('Données projet'!$B$9,Paramètres!$A$1:$I$89,5,0)</f>
        <v>254.79167999999993</v>
      </c>
      <c r="P74" s="13">
        <f t="shared" si="87"/>
        <v>61.610870508448471</v>
      </c>
      <c r="Q74" s="20">
        <f t="shared" si="54"/>
        <v>551.06777546888088</v>
      </c>
      <c r="R74" s="59">
        <f t="shared" si="55"/>
        <v>817.94045654692877</v>
      </c>
      <c r="S74" s="59">
        <f ca="1">AVERAGE(OFFSET($R$3,0,0,'Données projet'!$E$9+1,1))-AVERAGE(OFFSET($H$3,0,0,'Données projet'!$E$9+1,1))</f>
        <v>484.04602944257209</v>
      </c>
      <c r="T74" s="59">
        <f t="shared" si="88"/>
        <v>297.32483725004124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227.2</v>
      </c>
      <c r="AJ74" s="13">
        <f>AI74*VLOOKUP('Données projet'!$B$10,Paramètres!$A$1:$I$89,3,0)*VLOOKUP('Données projet'!$B$10,Paramètres!$A$1:$I$89,5,0)</f>
        <v>258.73536000000001</v>
      </c>
      <c r="AK74" s="13">
        <f t="shared" si="89"/>
        <v>62.452731363728276</v>
      </c>
      <c r="AL74" s="20">
        <f t="shared" si="58"/>
        <v>559.40259245849336</v>
      </c>
      <c r="AM74" s="59">
        <f t="shared" si="59"/>
        <v>826.27527353654136</v>
      </c>
      <c r="AN74" s="59">
        <f ca="1">AVERAGE(OFFSET($AM$3,0,0,'Données projet'!$E$10+1,1))-AVERAGE(OFFSET($H$3,0,0,'Données projet'!$E$10+1,1))</f>
        <v>493.74122500490859</v>
      </c>
      <c r="AO74" s="59">
        <f t="shared" si="90"/>
        <v>299.43985151679692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20.590655063950805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20.590655063950805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195.16224000000003</v>
      </c>
      <c r="BF74" s="13">
        <f t="shared" si="91"/>
        <v>48.67946410296608</v>
      </c>
      <c r="BG74" s="20">
        <f t="shared" si="61"/>
        <v>424.69096797933258</v>
      </c>
      <c r="BH74" s="59">
        <f t="shared" si="62"/>
        <v>691.56364905738053</v>
      </c>
      <c r="BI74" s="59">
        <f ca="1">AVERAGE(OFFSET($BH$3,0,0,'Données projet'!$E$11+1,1))-AVERAGE(OFFSET($H$3,0,0,'Données projet'!$E$11+1,1))</f>
        <v>364.64276939439014</v>
      </c>
      <c r="BJ74" s="59">
        <f t="shared" si="92"/>
        <v>341.7578598026638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22.855087856288499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22.855087856288499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3.4106051316484809E-13</v>
      </c>
      <c r="BZ74" s="13">
        <f>BY74*VLOOKUP('Données projet'!$B$12,Paramètres!$A$1:$I$89,3,0)*VLOOKUP('Données projet'!$B$12,Paramètres!$A$1:$I$89,5,0)</f>
        <v>2.0395418687257919E-13</v>
      </c>
      <c r="CA74" s="13">
        <f t="shared" si="93"/>
        <v>2.8200388570161721E-12</v>
      </c>
      <c r="CB74" s="20">
        <f t="shared" si="64"/>
        <v>5.2667878847729083E-12</v>
      </c>
      <c r="CC74" s="59">
        <f t="shared" si="65"/>
        <v>266.87268107805323</v>
      </c>
      <c r="CD74" s="59">
        <f ca="1">AVERAGE(OFFSET($CC$3,0,0,'Données projet'!$E$12+1,1))-AVERAGE(OFFSET($H$3,0,0,'Données projet'!$E$12+1,1))</f>
        <v>435.81281313761326</v>
      </c>
      <c r="CE74" s="59">
        <f t="shared" si="94"/>
        <v>460.93390058676493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206.91728675708282</v>
      </c>
      <c r="CL74" s="21">
        <f>EXP(-LN(2)/25)*CL73+(1-EXP(-LN(2)/25))/(LN(2)/25)*Calculateur!CG74*Calculateur!CI74*VLOOKUP('Données projet'!$B$12,Paramètres!$A$1:$I$89,3,0)*0.475*44/12</f>
        <v>43.970645154513633</v>
      </c>
      <c r="CM74" s="21">
        <f>EXP(-LN(2)/2)*CM73+(1-EXP(-LN(2)/2))/(LN(2)/2)*CG74*CJ74*VLOOKUP('Données projet'!$B$12,Paramètres!$A$1:$I$89,3,0)*0.475*44/12</f>
        <v>4.8790000063483987</v>
      </c>
      <c r="CN74" s="22">
        <f t="shared" si="66"/>
        <v>255.76693191794487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10</v>
      </c>
      <c r="CT74" s="12">
        <f>IF('Données projet'!$A$140&gt;35,CT73+CS74-DB73,IF(A74&lt;'Données projet'!$A$140,$CQ$205^A74,IF(A74='Données projet'!$A$140,'Données projet'!$B$140,CT73+CS74-DB73)))</f>
        <v>520</v>
      </c>
      <c r="CU74" s="17">
        <f>CT74*VLOOKUP('Données projet'!$B$13,Paramètres!$A$1:$I$89,3,0)*VLOOKUP('Données projet'!$B$13,Paramètres!$A$1:$I$89,5,0)</f>
        <v>243.35999999999999</v>
      </c>
      <c r="CV74" s="13">
        <f t="shared" si="95"/>
        <v>59.161864860837127</v>
      </c>
      <c r="CW74" s="20">
        <f t="shared" si="67"/>
        <v>526.89224796595806</v>
      </c>
      <c r="CX74" s="59">
        <f t="shared" si="68"/>
        <v>793.76492904400607</v>
      </c>
      <c r="CY74" s="59">
        <f ca="1">AVERAGE(OFFSET($CX$3,0,0,'Données projet'!$E$13+1,1))-AVERAGE(OFFSET($H$3,0,0,'Données projet'!$E$13+1,1))</f>
        <v>379.16472924112111</v>
      </c>
      <c r="CZ74" s="59">
        <f t="shared" si="96"/>
        <v>273.18950868898253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22.320250173008908</v>
      </c>
      <c r="DG74" s="21">
        <f>EXP(-LN(2)/25)*DG73+(1-EXP(-LN(2)/25))/(LN(2)/25)*Calculateur!DB74*Calculateur!DD74*VLOOKUP('Données projet'!$B$13,Paramètres!$A$1:$I$89,3,0)*0.475*44/12</f>
        <v>16.665150103191841</v>
      </c>
      <c r="DH74" s="21">
        <f>EXP(-LN(2)/2)*DH73+(1-EXP(-LN(2)/2))/(LN(2)/2)*DB74*DE74*VLOOKUP('Données projet'!$B$13,Paramètres!$A$1:$I$89,3,0)*0.475*44/12</f>
        <v>2.8057113669172185</v>
      </c>
      <c r="DI74" s="22">
        <f t="shared" si="69"/>
        <v>41.791111643117965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17</v>
      </c>
      <c r="DO74" s="12">
        <f>IF('Données projet'!$A$166&gt;35,DO73+DN74-DW73,IF(A74&lt;'Données projet'!$A$166,$DL$205^A74,IF(A74='Données projet'!$A$166,'Données projet'!$B$166,DO73+DN74-DW73)))</f>
        <v>741.00000000000057</v>
      </c>
      <c r="DP74" s="17">
        <f>DO74*VLOOKUP('Données projet'!$B$14,Paramètres!$A$1:$I$89,3,0)*VLOOKUP('Données projet'!$B$14,Paramètres!$A$1:$I$89,5,0)</f>
        <v>298.62300000000022</v>
      </c>
      <c r="DQ74" s="13">
        <f t="shared" si="97"/>
        <v>70.88771413720896</v>
      </c>
      <c r="DR74" s="20">
        <f t="shared" si="70"/>
        <v>643.56449378897264</v>
      </c>
      <c r="DS74" s="59">
        <f t="shared" si="71"/>
        <v>910.43717486702053</v>
      </c>
      <c r="DT74" s="59">
        <f ca="1">AVERAGE(OFFSET($DS$3,0,0,'Données projet'!$E$14+1,1))-AVERAGE(OFFSET($H$3,0,0,'Données projet'!$E$14+1,1))</f>
        <v>419.35339339286082</v>
      </c>
      <c r="DU74" s="59">
        <f t="shared" si="98"/>
        <v>359.03308141414709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70.125089803688397</v>
      </c>
      <c r="EB74" s="21">
        <f>EXP(-LN(2)/25)*EB73+(1-EXP(-LN(2)/25))/(LN(2)/25)*Calculateur!DW74*Calculateur!DY74*VLOOKUP('Données projet'!$B$14,Paramètres!$A$1:$I$89,3,0)*0.475*44/12</f>
        <v>23.431524153163082</v>
      </c>
      <c r="EC74" s="21">
        <f>EXP(-LN(2)/2)*EC73+(1-EXP(-LN(2)/2))/(LN(2)/2)*DW74*DZ74*VLOOKUP('Données projet'!$B$14,Paramètres!$A$1:$I$89,3,0)*0.475*44/12</f>
        <v>1.7884280540217428</v>
      </c>
      <c r="ED74" s="22">
        <f t="shared" si="72"/>
        <v>95.345042010873215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13</v>
      </c>
      <c r="EJ74" s="12">
        <f>IF('Données projet'!$A$192&gt;35,EJ73+EI74-ER73,IF(A74&lt;'Données projet'!$A$192,$EG$205^A74,IF(A74='Données projet'!$A$192,'Données projet'!$B$192,EJ73+EI74-ER73)))</f>
        <v>953.00000000000011</v>
      </c>
      <c r="EK74" s="17">
        <f>EJ74*VLOOKUP('Données projet'!$B$15,Paramètres!$A$1:$I$89,3,0)*VLOOKUP('Données projet'!$B$15,Paramètres!$A$1:$I$89,5,0)</f>
        <v>421.22600000000006</v>
      </c>
      <c r="EL74" s="13">
        <f t="shared" si="99"/>
        <v>96.066876213923777</v>
      </c>
      <c r="EM74" s="20">
        <f t="shared" si="73"/>
        <v>900.95175940591719</v>
      </c>
      <c r="EN74" s="59">
        <f t="shared" si="74"/>
        <v>1167.8244404839652</v>
      </c>
      <c r="EO74" s="59">
        <f ca="1">AVERAGE(OFFSET($EN$3,0,0,'Données projet'!$E$15+1,1))-AVERAGE(OFFSET($H$3,0,0,'Données projet'!$E$15+1,1))</f>
        <v>561.50881628354409</v>
      </c>
      <c r="EP74" s="59">
        <f t="shared" si="100"/>
        <v>468.67708352238458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75.615842392454269</v>
      </c>
      <c r="EW74" s="21">
        <f>EXP(-LN(2)/25)*EW73+(1-EXP(-LN(2)/25))/(LN(2)/25)*Calculateur!ER74*Calculateur!ET74*VLOOKUP('Données projet'!$B$15,Paramètres!$A$1:$I$89,3,0)*0.475*44/12</f>
        <v>30.093185396001555</v>
      </c>
      <c r="EX74" s="21">
        <f>EXP(-LN(2)/2)*EX73+(1-EXP(-LN(2)/2))/(LN(2)/2)*ER74*EU74*VLOOKUP('Données projet'!$B$15,Paramètres!$A$1:$I$89,3,0)*0.475*44/12</f>
        <v>1.5458663121026079</v>
      </c>
      <c r="EY74" s="22">
        <f t="shared" si="75"/>
        <v>107.25489410055843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289.19999999999993</v>
      </c>
      <c r="O75" s="13">
        <f>N75*VLOOKUP('Données projet'!$B$9,Paramètres!$A$1:$I$89,3,0)*VLOOKUP('Données projet'!$B$9,Paramètres!$A$1:$I$89,5,0)</f>
        <v>261.66815999999994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832.93097979380696</v>
      </c>
      <c r="S75" s="59">
        <f ca="1">AVERAGE(OFFSET($R$3,0,0,'Données projet'!$E$9+1,1))-AVERAGE(OFFSET($H$3,0,0,'Données projet'!$E$9+1,1))</f>
        <v>484.04602944257209</v>
      </c>
      <c r="T75" s="59">
        <f t="shared" si="88"/>
        <v>297.32483725004124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233.39999999999998</v>
      </c>
      <c r="AJ75" s="13">
        <f>AI75*VLOOKUP('Données projet'!$B$10,Paramètres!$A$1:$I$89,3,0)*VLOOKUP('Données projet'!$B$10,Paramètres!$A$1:$I$89,5,0)</f>
        <v>265.79591999999997</v>
      </c>
      <c r="AK75" s="13">
        <f t="shared" si="89"/>
        <v>63.95624415023898</v>
      </c>
      <c r="AL75" s="20">
        <f t="shared" si="58"/>
        <v>574.31835256166607</v>
      </c>
      <c r="AM75" s="59">
        <f t="shared" si="59"/>
        <v>841.65006679918724</v>
      </c>
      <c r="AN75" s="59">
        <f ca="1">AVERAGE(OFFSET($AM$3,0,0,'Données projet'!$E$10+1,1))-AVERAGE(OFFSET($H$3,0,0,'Données projet'!$E$10+1,1))</f>
        <v>493.74122500490859</v>
      </c>
      <c r="AO75" s="59">
        <f t="shared" si="90"/>
        <v>299.43985151679692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20.186884877206214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20.186884877206214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199.00608000000003</v>
      </c>
      <c r="BF75" s="13">
        <f t="shared" si="91"/>
        <v>49.525670897515027</v>
      </c>
      <c r="BG75" s="20">
        <f t="shared" si="61"/>
        <v>432.85946614650538</v>
      </c>
      <c r="BH75" s="59">
        <f t="shared" si="62"/>
        <v>700.19118038402644</v>
      </c>
      <c r="BI75" s="59">
        <f ca="1">AVERAGE(OFFSET($BH$3,0,0,'Données projet'!$E$11+1,1))-AVERAGE(OFFSET($H$3,0,0,'Données projet'!$E$11+1,1))</f>
        <v>364.64276939439014</v>
      </c>
      <c r="BJ75" s="59">
        <f t="shared" si="92"/>
        <v>341.7578598026638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22.406913523653792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22.406913523653792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3.4106051316484809E-13</v>
      </c>
      <c r="BZ75" s="13">
        <f>BY75*VLOOKUP('Données projet'!$B$12,Paramètres!$A$1:$I$89,3,0)*VLOOKUP('Données projet'!$B$12,Paramètres!$A$1:$I$89,5,0)</f>
        <v>2.0395418687257919E-13</v>
      </c>
      <c r="CA75" s="13">
        <f t="shared" si="93"/>
        <v>2.8200388570161721E-12</v>
      </c>
      <c r="CB75" s="20">
        <f t="shared" si="64"/>
        <v>5.2667878847729083E-12</v>
      </c>
      <c r="CC75" s="59">
        <f t="shared" si="65"/>
        <v>267.3317142375264</v>
      </c>
      <c r="CD75" s="59">
        <f ca="1">AVERAGE(OFFSET($CC$3,0,0,'Données projet'!$E$12+1,1))-AVERAGE(OFFSET($H$3,0,0,'Données projet'!$E$12+1,1))</f>
        <v>435.81281313761326</v>
      </c>
      <c r="CE75" s="59">
        <f t="shared" si="94"/>
        <v>460.93390058676493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202.85976497085943</v>
      </c>
      <c r="CL75" s="21">
        <f>EXP(-LN(2)/25)*CL74+(1-EXP(-LN(2)/25))/(LN(2)/25)*Calculateur!CG75*Calculateur!CI75*VLOOKUP('Données projet'!$B$12,Paramètres!$A$1:$I$89,3,0)*0.475*44/12</f>
        <v>42.768265550447722</v>
      </c>
      <c r="CM75" s="21">
        <f>EXP(-LN(2)/2)*CM74+(1-EXP(-LN(2)/2))/(LN(2)/2)*CG75*CJ75*VLOOKUP('Données projet'!$B$12,Paramètres!$A$1:$I$89,3,0)*0.475*44/12</f>
        <v>3.4499739898981612</v>
      </c>
      <c r="CN75" s="22">
        <f t="shared" si="66"/>
        <v>249.07800451120531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10</v>
      </c>
      <c r="CT75" s="12">
        <f>IF('Données projet'!$A$140&gt;35,CT74+CS75-DB74,IF(A75&lt;'Données projet'!$A$140,$CQ$205^A75,IF(A75='Données projet'!$A$140,'Données projet'!$B$140,CT74+CS75-DB74)))</f>
        <v>530</v>
      </c>
      <c r="CU75" s="17">
        <f>CT75*VLOOKUP('Données projet'!$B$13,Paramètres!$A$1:$I$89,3,0)*VLOOKUP('Données projet'!$B$13,Paramètres!$A$1:$I$89,5,0)</f>
        <v>248.04</v>
      </c>
      <c r="CV75" s="13">
        <f t="shared" si="95"/>
        <v>60.166044284441391</v>
      </c>
      <c r="CW75" s="20">
        <f t="shared" si="67"/>
        <v>536.792193795402</v>
      </c>
      <c r="CX75" s="59">
        <f t="shared" si="68"/>
        <v>804.12390803292305</v>
      </c>
      <c r="CY75" s="59">
        <f ca="1">AVERAGE(OFFSET($CX$3,0,0,'Données projet'!$E$13+1,1))-AVERAGE(OFFSET($H$3,0,0,'Données projet'!$E$13+1,1))</f>
        <v>379.16472924112111</v>
      </c>
      <c r="CZ75" s="59">
        <f t="shared" si="96"/>
        <v>273.18950868898253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21.882563681124537</v>
      </c>
      <c r="DG75" s="21">
        <f>EXP(-LN(2)/25)*DG74+(1-EXP(-LN(2)/25))/(LN(2)/25)*Calculateur!DB75*Calculateur!DD75*VLOOKUP('Données projet'!$B$13,Paramètres!$A$1:$I$89,3,0)*0.475*44/12</f>
        <v>16.209440697237905</v>
      </c>
      <c r="DH75" s="21">
        <f>EXP(-LN(2)/2)*DH74+(1-EXP(-LN(2)/2))/(LN(2)/2)*DB75*DE75*VLOOKUP('Données projet'!$B$13,Paramètres!$A$1:$I$89,3,0)*0.475*44/12</f>
        <v>1.9839375335993428</v>
      </c>
      <c r="DI75" s="22">
        <f t="shared" si="69"/>
        <v>40.075941911961792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17</v>
      </c>
      <c r="DO75" s="12">
        <f>IF('Données projet'!$A$166&gt;35,DO74+DN75-DW74,IF(A75&lt;'Données projet'!$A$166,$DL$205^A75,IF(A75='Données projet'!$A$166,'Données projet'!$B$166,DO74+DN75-DW74)))</f>
        <v>758.00000000000057</v>
      </c>
      <c r="DP75" s="17">
        <f>DO75*VLOOKUP('Données projet'!$B$14,Paramètres!$A$1:$I$89,3,0)*VLOOKUP('Données projet'!$B$14,Paramètres!$A$1:$I$89,5,0)</f>
        <v>305.47400000000027</v>
      </c>
      <c r="DQ75" s="13">
        <f t="shared" si="97"/>
        <v>72.322813671358773</v>
      </c>
      <c r="DR75" s="20">
        <f t="shared" si="70"/>
        <v>657.99611714428363</v>
      </c>
      <c r="DS75" s="59">
        <f t="shared" si="71"/>
        <v>925.3278313818048</v>
      </c>
      <c r="DT75" s="59">
        <f ca="1">AVERAGE(OFFSET($DS$3,0,0,'Données projet'!$E$14+1,1))-AVERAGE(OFFSET($H$3,0,0,'Données projet'!$E$14+1,1))</f>
        <v>419.35339339286082</v>
      </c>
      <c r="DU75" s="59">
        <f t="shared" si="98"/>
        <v>359.03308141414709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68.749979564719453</v>
      </c>
      <c r="EB75" s="21">
        <f>EXP(-LN(2)/25)*EB74+(1-EXP(-LN(2)/25))/(LN(2)/25)*Calculateur!DW75*Calculateur!DY75*VLOOKUP('Données projet'!$B$14,Paramètres!$A$1:$I$89,3,0)*0.475*44/12</f>
        <v>22.790787892984536</v>
      </c>
      <c r="EC75" s="21">
        <f>EXP(-LN(2)/2)*EC74+(1-EXP(-LN(2)/2))/(LN(2)/2)*DW75*DZ75*VLOOKUP('Données projet'!$B$14,Paramètres!$A$1:$I$89,3,0)*0.475*44/12</f>
        <v>1.2646096046630355</v>
      </c>
      <c r="ED75" s="22">
        <f t="shared" si="72"/>
        <v>92.805377062367029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13</v>
      </c>
      <c r="EJ75" s="12">
        <f>IF('Données projet'!$A$192&gt;35,EJ74+EI75-ER74,IF(A75&lt;'Données projet'!$A$192,$EG$205^A75,IF(A75='Données projet'!$A$192,'Données projet'!$B$192,EJ74+EI75-ER74)))</f>
        <v>966.00000000000011</v>
      </c>
      <c r="EK75" s="17">
        <f>EJ75*VLOOKUP('Données projet'!$B$15,Paramètres!$A$1:$I$89,3,0)*VLOOKUP('Données projet'!$B$15,Paramètres!$A$1:$I$89,5,0)</f>
        <v>426.97200000000009</v>
      </c>
      <c r="EL75" s="13">
        <f t="shared" si="99"/>
        <v>97.223884948776018</v>
      </c>
      <c r="EM75" s="20">
        <f t="shared" si="73"/>
        <v>912.97449961911832</v>
      </c>
      <c r="EN75" s="59">
        <f t="shared" si="74"/>
        <v>1180.3062138566395</v>
      </c>
      <c r="EO75" s="59">
        <f ca="1">AVERAGE(OFFSET($EN$3,0,0,'Données projet'!$E$15+1,1))-AVERAGE(OFFSET($H$3,0,0,'Données projet'!$E$15+1,1))</f>
        <v>561.50881628354409</v>
      </c>
      <c r="EP75" s="59">
        <f t="shared" si="100"/>
        <v>468.67708352238458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74.133061844248019</v>
      </c>
      <c r="EW75" s="21">
        <f>EXP(-LN(2)/25)*EW74+(1-EXP(-LN(2)/25))/(LN(2)/25)*Calculateur!ER75*Calculateur!ET75*VLOOKUP('Données projet'!$B$15,Paramètres!$A$1:$I$89,3,0)*0.475*44/12</f>
        <v>29.27028565881605</v>
      </c>
      <c r="EX75" s="21">
        <f>EXP(-LN(2)/2)*EX74+(1-EXP(-LN(2)/2))/(LN(2)/2)*ER75*EU75*VLOOKUP('Données projet'!$B$15,Paramètres!$A$1:$I$89,3,0)*0.475*44/12</f>
        <v>1.0930925520955941</v>
      </c>
      <c r="EY75" s="22">
        <f t="shared" si="75"/>
        <v>104.49644005515967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296.79999999999995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847.90573543037658</v>
      </c>
      <c r="S76" s="59">
        <f ca="1">AVERAGE(OFFSET($R$3,0,0,'Données projet'!$E$9+1,1))-AVERAGE(OFFSET($H$3,0,0,'Données projet'!$E$9+1,1))</f>
        <v>484.04602944257209</v>
      </c>
      <c r="T76" s="59">
        <f t="shared" si="88"/>
        <v>297.32483725004124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239.59999999999997</v>
      </c>
      <c r="AJ76" s="13">
        <f>AI76*VLOOKUP('Données projet'!$B$10,Paramètres!$A$1:$I$89,3,0)*VLOOKUP('Données projet'!$B$10,Paramètres!$A$1:$I$89,5,0)</f>
        <v>272.85647999999992</v>
      </c>
      <c r="AK76" s="13">
        <f t="shared" si="89"/>
        <v>65.455114631769092</v>
      </c>
      <c r="AL76" s="20">
        <f t="shared" si="58"/>
        <v>589.2260273169976</v>
      </c>
      <c r="AM76" s="59">
        <f t="shared" si="59"/>
        <v>857.00881151491944</v>
      </c>
      <c r="AN76" s="59">
        <f ca="1">AVERAGE(OFFSET($AM$3,0,0,'Données projet'!$E$10+1,1))-AVERAGE(OFFSET($H$3,0,0,'Données projet'!$E$10+1,1))</f>
        <v>493.74122500490859</v>
      </c>
      <c r="AO76" s="59">
        <f t="shared" si="90"/>
        <v>299.43985151679692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19.791032377548188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19.791032377548188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202.84992000000003</v>
      </c>
      <c r="BF76" s="13">
        <f t="shared" si="91"/>
        <v>50.369977187686075</v>
      </c>
      <c r="BG76" s="20">
        <f t="shared" si="61"/>
        <v>441.02465426855332</v>
      </c>
      <c r="BH76" s="59">
        <f t="shared" si="62"/>
        <v>708.80743846647511</v>
      </c>
      <c r="BI76" s="59">
        <f ca="1">AVERAGE(OFFSET($BH$3,0,0,'Données projet'!$E$11+1,1))-AVERAGE(OFFSET($H$3,0,0,'Données projet'!$E$11+1,1))</f>
        <v>364.64276939439014</v>
      </c>
      <c r="BJ76" s="59">
        <f t="shared" si="92"/>
        <v>341.7578598026638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21.967527616322698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21.967527616322698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3.4106051316484809E-13</v>
      </c>
      <c r="BZ76" s="13">
        <f>BY76*VLOOKUP('Données projet'!$B$12,Paramètres!$A$1:$I$89,3,0)*VLOOKUP('Données projet'!$B$12,Paramètres!$A$1:$I$89,5,0)</f>
        <v>2.0395418687257919E-13</v>
      </c>
      <c r="CA76" s="13">
        <f t="shared" si="93"/>
        <v>2.8200388570161721E-12</v>
      </c>
      <c r="CB76" s="20">
        <f t="shared" si="64"/>
        <v>5.2667878847729083E-12</v>
      </c>
      <c r="CC76" s="59">
        <f t="shared" si="65"/>
        <v>267.78278419792707</v>
      </c>
      <c r="CD76" s="59">
        <f ca="1">AVERAGE(OFFSET($CC$3,0,0,'Données projet'!$E$12+1,1))-AVERAGE(OFFSET($H$3,0,0,'Données projet'!$E$12+1,1))</f>
        <v>435.81281313761326</v>
      </c>
      <c r="CE76" s="59">
        <f t="shared" si="94"/>
        <v>460.93390058676493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198.88180871201996</v>
      </c>
      <c r="CL76" s="21">
        <f>EXP(-LN(2)/25)*CL75+(1-EXP(-LN(2)/25))/(LN(2)/25)*Calculateur!CG76*Calculateur!CI76*VLOOKUP('Données projet'!$B$12,Paramètres!$A$1:$I$89,3,0)*0.475*44/12</f>
        <v>41.598765079885389</v>
      </c>
      <c r="CM76" s="21">
        <f>EXP(-LN(2)/2)*CM75+(1-EXP(-LN(2)/2))/(LN(2)/2)*CG76*CJ76*VLOOKUP('Données projet'!$B$12,Paramètres!$A$1:$I$89,3,0)*0.475*44/12</f>
        <v>2.4395000031741993</v>
      </c>
      <c r="CN76" s="22">
        <f t="shared" si="66"/>
        <v>242.92007379507956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10</v>
      </c>
      <c r="CT76" s="12">
        <f>IF('Données projet'!$A$140&gt;35,CT75+CS76-DB75,IF(A76&lt;'Données projet'!$A$140,$CQ$205^A76,IF(A76='Données projet'!$A$140,'Données projet'!$B$140,CT75+CS76-DB75)))</f>
        <v>540</v>
      </c>
      <c r="CU76" s="17">
        <f>CT76*VLOOKUP('Données projet'!$B$13,Paramètres!$A$1:$I$89,3,0)*VLOOKUP('Données projet'!$B$13,Paramètres!$A$1:$I$89,5,0)</f>
        <v>252.72000000000003</v>
      </c>
      <c r="CV76" s="13">
        <f t="shared" si="95"/>
        <v>61.168020584496823</v>
      </c>
      <c r="CW76" s="20">
        <f t="shared" si="67"/>
        <v>546.68830251799864</v>
      </c>
      <c r="CX76" s="59">
        <f t="shared" si="68"/>
        <v>814.47108671592036</v>
      </c>
      <c r="CY76" s="59">
        <f ca="1">AVERAGE(OFFSET($CX$3,0,0,'Données projet'!$E$13+1,1))-AVERAGE(OFFSET($H$3,0,0,'Données projet'!$E$13+1,1))</f>
        <v>379.16472924112111</v>
      </c>
      <c r="CZ76" s="59">
        <f t="shared" si="96"/>
        <v>273.18950868898253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21.453459954383618</v>
      </c>
      <c r="DG76" s="21">
        <f>EXP(-LN(2)/25)*DG75+(1-EXP(-LN(2)/25))/(LN(2)/25)*Calculateur!DB76*Calculateur!DD76*VLOOKUP('Données projet'!$B$13,Paramètres!$A$1:$I$89,3,0)*0.475*44/12</f>
        <v>15.766192688954495</v>
      </c>
      <c r="DH76" s="21">
        <f>EXP(-LN(2)/2)*DH75+(1-EXP(-LN(2)/2))/(LN(2)/2)*DB76*DE76*VLOOKUP('Données projet'!$B$13,Paramètres!$A$1:$I$89,3,0)*0.475*44/12</f>
        <v>1.4028556834586094</v>
      </c>
      <c r="DI76" s="22">
        <f t="shared" si="69"/>
        <v>38.622508326796726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17</v>
      </c>
      <c r="DO76" s="12">
        <f>IF('Données projet'!$A$166&gt;35,DO75+DN76-DW75,IF(A76&lt;'Données projet'!$A$166,$DL$205^A76,IF(A76='Données projet'!$A$166,'Données projet'!$B$166,DO75+DN76-DW75)))</f>
        <v>775.00000000000057</v>
      </c>
      <c r="DP76" s="17">
        <f>DO76*VLOOKUP('Données projet'!$B$14,Paramètres!$A$1:$I$89,3,0)*VLOOKUP('Données projet'!$B$14,Paramètres!$A$1:$I$89,5,0)</f>
        <v>312.32500000000022</v>
      </c>
      <c r="DQ76" s="13">
        <f t="shared" si="97"/>
        <v>73.754171354844971</v>
      </c>
      <c r="DR76" s="20">
        <f t="shared" si="70"/>
        <v>672.42122344302209</v>
      </c>
      <c r="DS76" s="59">
        <f t="shared" si="71"/>
        <v>940.20400764094393</v>
      </c>
      <c r="DT76" s="59">
        <f ca="1">AVERAGE(OFFSET($DS$3,0,0,'Données projet'!$E$14+1,1))-AVERAGE(OFFSET($H$3,0,0,'Données projet'!$E$14+1,1))</f>
        <v>419.35339339286082</v>
      </c>
      <c r="DU76" s="59">
        <f t="shared" si="98"/>
        <v>359.03308141414709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67.401834398802265</v>
      </c>
      <c r="EB76" s="21">
        <f>EXP(-LN(2)/25)*EB75+(1-EXP(-LN(2)/25))/(LN(2)/25)*Calculateur!DW76*Calculateur!DY76*VLOOKUP('Données projet'!$B$14,Paramètres!$A$1:$I$89,3,0)*0.475*44/12</f>
        <v>22.167572599535429</v>
      </c>
      <c r="EC76" s="21">
        <f>EXP(-LN(2)/2)*EC75+(1-EXP(-LN(2)/2))/(LN(2)/2)*DW76*DZ76*VLOOKUP('Données projet'!$B$14,Paramètres!$A$1:$I$89,3,0)*0.475*44/12</f>
        <v>0.89421402701087149</v>
      </c>
      <c r="ED76" s="22">
        <f t="shared" si="72"/>
        <v>90.463621025348573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13</v>
      </c>
      <c r="EJ76" s="12">
        <f>IF('Données projet'!$A$192&gt;35,EJ75+EI76-ER75,IF(A76&lt;'Données projet'!$A$192,$EG$205^A76,IF(A76='Données projet'!$A$192,'Données projet'!$B$192,EJ75+EI76-ER75)))</f>
        <v>979.00000000000011</v>
      </c>
      <c r="EK76" s="17">
        <f>EJ76*VLOOKUP('Données projet'!$B$15,Paramètres!$A$1:$I$89,3,0)*VLOOKUP('Données projet'!$B$15,Paramètres!$A$1:$I$89,5,0)</f>
        <v>432.71800000000013</v>
      </c>
      <c r="EL76" s="13">
        <f t="shared" si="99"/>
        <v>98.379082637143185</v>
      </c>
      <c r="EM76" s="20">
        <f t="shared" si="73"/>
        <v>924.99408559302458</v>
      </c>
      <c r="EN76" s="59">
        <f t="shared" si="74"/>
        <v>1192.7768697909464</v>
      </c>
      <c r="EO76" s="59">
        <f ca="1">AVERAGE(OFFSET($EN$3,0,0,'Données projet'!$E$15+1,1))-AVERAGE(OFFSET($H$3,0,0,'Données projet'!$E$15+1,1))</f>
        <v>561.50881628354409</v>
      </c>
      <c r="EP76" s="59">
        <f t="shared" si="100"/>
        <v>468.67708352238458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72.679357718185258</v>
      </c>
      <c r="EW76" s="21">
        <f>EXP(-LN(2)/25)*EW75+(1-EXP(-LN(2)/25))/(LN(2)/25)*Calculateur!ER76*Calculateur!ET76*VLOOKUP('Données projet'!$B$15,Paramètres!$A$1:$I$89,3,0)*0.475*44/12</f>
        <v>28.4698881582183</v>
      </c>
      <c r="EX76" s="21">
        <f>EXP(-LN(2)/2)*EX75+(1-EXP(-LN(2)/2))/(LN(2)/2)*ER76*EU76*VLOOKUP('Données projet'!$B$15,Paramètres!$A$1:$I$89,3,0)*0.475*44/12</f>
        <v>0.77293315605130408</v>
      </c>
      <c r="EY76" s="22">
        <f t="shared" si="75"/>
        <v>101.92217903245486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304.39999999999998</v>
      </c>
      <c r="O77" s="13">
        <f>N77*VLOOKUP('Données projet'!$B$9,Paramètres!$A$1:$I$89,3,0)*VLOOKUP('Données projet'!$B$9,Paramètres!$A$1:$I$89,5,0)</f>
        <v>275.42111999999997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862.86508442263937</v>
      </c>
      <c r="S77" s="59">
        <f ca="1">AVERAGE(OFFSET($R$3,0,0,'Données projet'!$E$9+1,1))-AVERAGE(OFFSET($H$3,0,0,'Données projet'!$E$9+1,1))</f>
        <v>484.04602944257209</v>
      </c>
      <c r="T77" s="59">
        <f t="shared" si="88"/>
        <v>297.32483725004124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245.79999999999995</v>
      </c>
      <c r="AJ77" s="13">
        <f>AI77*VLOOKUP('Données projet'!$B$10,Paramètres!$A$1:$I$89,3,0)*VLOOKUP('Données projet'!$B$10,Paramètres!$A$1:$I$89,5,0)</f>
        <v>279.91703999999999</v>
      </c>
      <c r="AK77" s="13">
        <f t="shared" si="89"/>
        <v>66.949476745941027</v>
      </c>
      <c r="AL77" s="20">
        <f t="shared" si="58"/>
        <v>604.12584999918056</v>
      </c>
      <c r="AM77" s="59">
        <f t="shared" si="59"/>
        <v>872.35187910213142</v>
      </c>
      <c r="AN77" s="59">
        <f ca="1">AVERAGE(OFFSET($AM$3,0,0,'Données projet'!$E$10+1,1))-AVERAGE(OFFSET($H$3,0,0,'Données projet'!$E$10+1,1))</f>
        <v>493.74122500490859</v>
      </c>
      <c r="AO77" s="59">
        <f t="shared" si="90"/>
        <v>299.43985151679692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19.402942303962273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19.402942303962273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206.69376000000005</v>
      </c>
      <c r="BF77" s="13">
        <f t="shared" si="91"/>
        <v>51.212423138937325</v>
      </c>
      <c r="BG77" s="20">
        <f t="shared" si="61"/>
        <v>449.18660230031583</v>
      </c>
      <c r="BH77" s="59">
        <f t="shared" si="62"/>
        <v>717.41263140326669</v>
      </c>
      <c r="BI77" s="59">
        <f ca="1">AVERAGE(OFFSET($BH$3,0,0,'Données projet'!$E$11+1,1))-AVERAGE(OFFSET($H$3,0,0,'Données projet'!$E$11+1,1))</f>
        <v>364.64276939439014</v>
      </c>
      <c r="BJ77" s="59">
        <f t="shared" si="92"/>
        <v>341.7578598026638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21.536757798635428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21.536757798635428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3.4106051316484809E-13</v>
      </c>
      <c r="BZ77" s="13">
        <f>BY77*VLOOKUP('Données projet'!$B$12,Paramètres!$A$1:$I$89,3,0)*VLOOKUP('Données projet'!$B$12,Paramètres!$A$1:$I$89,5,0)</f>
        <v>2.0395418687257919E-13</v>
      </c>
      <c r="CA77" s="13">
        <f t="shared" si="93"/>
        <v>2.8200388570161721E-12</v>
      </c>
      <c r="CB77" s="20">
        <f t="shared" si="64"/>
        <v>5.2667878847729083E-12</v>
      </c>
      <c r="CC77" s="59">
        <f t="shared" si="65"/>
        <v>268.22602910295615</v>
      </c>
      <c r="CD77" s="59">
        <f ca="1">AVERAGE(OFFSET($CC$3,0,0,'Données projet'!$E$12+1,1))-AVERAGE(OFFSET($H$3,0,0,'Données projet'!$E$12+1,1))</f>
        <v>435.81281313761326</v>
      </c>
      <c r="CE77" s="59">
        <f t="shared" si="94"/>
        <v>460.93390058676493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194.9818577491026</v>
      </c>
      <c r="CL77" s="21">
        <f>EXP(-LN(2)/25)*CL76+(1-EXP(-LN(2)/25))/(LN(2)/25)*Calculateur!CG77*Calculateur!CI77*VLOOKUP('Données projet'!$B$12,Paramètres!$A$1:$I$89,3,0)*0.475*44/12</f>
        <v>40.461244661191941</v>
      </c>
      <c r="CM77" s="21">
        <f>EXP(-LN(2)/2)*CM76+(1-EXP(-LN(2)/2))/(LN(2)/2)*CG77*CJ77*VLOOKUP('Données projet'!$B$12,Paramètres!$A$1:$I$89,3,0)*0.475*44/12</f>
        <v>1.7249869949490806</v>
      </c>
      <c r="CN77" s="22">
        <f t="shared" si="66"/>
        <v>237.16808940524365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10</v>
      </c>
      <c r="CT77" s="12">
        <f>IF('Données projet'!$A$140&gt;35,CT76+CS77-DB76,IF(A77&lt;'Données projet'!$A$140,$CQ$205^A77,IF(A77='Données projet'!$A$140,'Données projet'!$B$140,CT76+CS77-DB76)))</f>
        <v>550</v>
      </c>
      <c r="CU77" s="17">
        <f>CT77*VLOOKUP('Données projet'!$B$13,Paramètres!$A$1:$I$89,3,0)*VLOOKUP('Données projet'!$B$13,Paramètres!$A$1:$I$89,5,0)</f>
        <v>257.40000000000003</v>
      </c>
      <c r="CV77" s="13">
        <f t="shared" si="95"/>
        <v>62.167839264733466</v>
      </c>
      <c r="CW77" s="20">
        <f t="shared" si="67"/>
        <v>556.58065338607753</v>
      </c>
      <c r="CX77" s="59">
        <f t="shared" si="68"/>
        <v>824.80668248902839</v>
      </c>
      <c r="CY77" s="59">
        <f ca="1">AVERAGE(OFFSET($CX$3,0,0,'Données projet'!$E$13+1,1))-AVERAGE(OFFSET($H$3,0,0,'Données projet'!$E$13+1,1))</f>
        <v>379.16472924112111</v>
      </c>
      <c r="CZ77" s="59">
        <f t="shared" si="96"/>
        <v>273.18950868898253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21.03277068999666</v>
      </c>
      <c r="DG77" s="21">
        <f>EXP(-LN(2)/25)*DG76+(1-EXP(-LN(2)/25))/(LN(2)/25)*Calculateur!DB77*Calculateur!DD77*VLOOKUP('Données projet'!$B$13,Paramètres!$A$1:$I$89,3,0)*0.475*44/12</f>
        <v>15.335065320766995</v>
      </c>
      <c r="DH77" s="21">
        <f>EXP(-LN(2)/2)*DH76+(1-EXP(-LN(2)/2))/(LN(2)/2)*DB77*DE77*VLOOKUP('Données projet'!$B$13,Paramètres!$A$1:$I$89,3,0)*0.475*44/12</f>
        <v>0.99196876679967161</v>
      </c>
      <c r="DI77" s="22">
        <f t="shared" si="69"/>
        <v>37.359804777563326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17</v>
      </c>
      <c r="DO77" s="12">
        <f>IF('Données projet'!$A$166&gt;35,DO76+DN77-DW76,IF(A77&lt;'Données projet'!$A$166,$DL$205^A77,IF(A77='Données projet'!$A$166,'Données projet'!$B$166,DO76+DN77-DW76)))</f>
        <v>792.00000000000057</v>
      </c>
      <c r="DP77" s="17">
        <f>DO77*VLOOKUP('Données projet'!$B$14,Paramètres!$A$1:$I$89,3,0)*VLOOKUP('Données projet'!$B$14,Paramètres!$A$1:$I$89,5,0)</f>
        <v>319.17600000000027</v>
      </c>
      <c r="DQ77" s="13">
        <f t="shared" si="97"/>
        <v>75.181878718947743</v>
      </c>
      <c r="DR77" s="20">
        <f t="shared" si="70"/>
        <v>686.83997210216785</v>
      </c>
      <c r="DS77" s="59">
        <f t="shared" si="71"/>
        <v>955.06600120511871</v>
      </c>
      <c r="DT77" s="59">
        <f ca="1">AVERAGE(OFFSET($DS$3,0,0,'Données projet'!$E$14+1,1))-AVERAGE(OFFSET($H$3,0,0,'Données projet'!$E$14+1,1))</f>
        <v>419.35339339286082</v>
      </c>
      <c r="DU77" s="59">
        <f t="shared" si="98"/>
        <v>359.03308141414709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66.080125537301356</v>
      </c>
      <c r="EB77" s="21">
        <f>EXP(-LN(2)/25)*EB76+(1-EXP(-LN(2)/25))/(LN(2)/25)*Calculateur!DW77*Calculateur!DY77*VLOOKUP('Données projet'!$B$14,Paramètres!$A$1:$I$89,3,0)*0.475*44/12</f>
        <v>21.561399161059153</v>
      </c>
      <c r="EC77" s="21">
        <f>EXP(-LN(2)/2)*EC76+(1-EXP(-LN(2)/2))/(LN(2)/2)*DW77*DZ77*VLOOKUP('Données projet'!$B$14,Paramètres!$A$1:$I$89,3,0)*0.475*44/12</f>
        <v>0.63230480233151787</v>
      </c>
      <c r="ED77" s="22">
        <f t="shared" si="72"/>
        <v>88.273829500692031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13</v>
      </c>
      <c r="EJ77" s="12">
        <f>IF('Données projet'!$A$192&gt;35,EJ76+EI77-ER76,IF(A77&lt;'Données projet'!$A$192,$EG$205^A77,IF(A77='Données projet'!$A$192,'Données projet'!$B$192,EJ76+EI77-ER76)))</f>
        <v>992.00000000000011</v>
      </c>
      <c r="EK77" s="17">
        <f>EJ77*VLOOKUP('Données projet'!$B$15,Paramètres!$A$1:$I$89,3,0)*VLOOKUP('Données projet'!$B$15,Paramètres!$A$1:$I$89,5,0)</f>
        <v>438.46400000000011</v>
      </c>
      <c r="EL77" s="13">
        <f t="shared" si="99"/>
        <v>99.532496107759272</v>
      </c>
      <c r="EM77" s="20">
        <f t="shared" si="73"/>
        <v>937.01056405434758</v>
      </c>
      <c r="EN77" s="59">
        <f t="shared" si="74"/>
        <v>1205.2365931572986</v>
      </c>
      <c r="EO77" s="59">
        <f ca="1">AVERAGE(OFFSET($EN$3,0,0,'Données projet'!$E$15+1,1))-AVERAGE(OFFSET($H$3,0,0,'Données projet'!$E$15+1,1))</f>
        <v>561.50881628354409</v>
      </c>
      <c r="EP77" s="59">
        <f t="shared" si="100"/>
        <v>468.67708352238458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71.254159843362629</v>
      </c>
      <c r="EW77" s="21">
        <f>EXP(-LN(2)/25)*EW76+(1-EXP(-LN(2)/25))/(LN(2)/25)*Calculateur!ER77*Calculateur!ET77*VLOOKUP('Données projet'!$B$15,Paramètres!$A$1:$I$89,3,0)*0.475*44/12</f>
        <v>27.691377569365471</v>
      </c>
      <c r="EX77" s="21">
        <f>EXP(-LN(2)/2)*EX76+(1-EXP(-LN(2)/2))/(LN(2)/2)*ER77*EU77*VLOOKUP('Données projet'!$B$15,Paramètres!$A$1:$I$89,3,0)*0.475*44/12</f>
        <v>0.54654627604779715</v>
      </c>
      <c r="EY77" s="22">
        <f t="shared" si="75"/>
        <v>99.492083688775892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</v>
      </c>
      <c r="O78" s="13">
        <f>N78*VLOOKUP('Données projet'!$B$9,Paramètres!$A$1:$I$89,3,0)*VLOOKUP('Données projet'!$B$9,Paramètres!$A$1:$I$89,5,0)</f>
        <v>282.29759999999999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877.80937357948528</v>
      </c>
      <c r="S78" s="59">
        <f ca="1">AVERAGE(OFFSET($R$3,0,0,'Données projet'!$E$9+1,1))-AVERAGE(OFFSET($H$3,0,0,'Données projet'!$E$9+1,1))</f>
        <v>484.04602944257209</v>
      </c>
      <c r="T78" s="59">
        <f t="shared" si="88"/>
        <v>297.32483725004124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251.99999999999994</v>
      </c>
      <c r="AJ78" s="13">
        <f>AI78*VLOOKUP('Données projet'!$B$10,Paramètres!$A$1:$I$89,3,0)*VLOOKUP('Données projet'!$B$10,Paramètres!$A$1:$I$89,5,0)</f>
        <v>286.97759999999994</v>
      </c>
      <c r="AK78" s="13">
        <f t="shared" si="89"/>
        <v>68.43945728851196</v>
      </c>
      <c r="AL78" s="20">
        <f t="shared" si="58"/>
        <v>619.01804144415826</v>
      </c>
      <c r="AM78" s="59">
        <f t="shared" si="59"/>
        <v>887.67962614398311</v>
      </c>
      <c r="AN78" s="59">
        <f ca="1">AVERAGE(OFFSET($AM$3,0,0,'Données projet'!$E$10+1,1))-AVERAGE(OFFSET($H$3,0,0,'Données projet'!$E$10+1,1))</f>
        <v>493.74122500490859</v>
      </c>
      <c r="AO78" s="59">
        <f t="shared" si="90"/>
        <v>299.43985151679692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24.706439591985546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24.706439591985546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210.53760000000005</v>
      </c>
      <c r="BF78" s="13">
        <f t="shared" si="91"/>
        <v>52.053047337322276</v>
      </c>
      <c r="BG78" s="20">
        <f t="shared" si="61"/>
        <v>457.34537744583628</v>
      </c>
      <c r="BH78" s="59">
        <f t="shared" si="62"/>
        <v>726.00696214566108</v>
      </c>
      <c r="BI78" s="59">
        <f ca="1">AVERAGE(OFFSET($BH$3,0,0,'Données projet'!$E$11+1,1))-AVERAGE(OFFSET($H$3,0,0,'Données projet'!$E$11+1,1))</f>
        <v>364.64276939439014</v>
      </c>
      <c r="BJ78" s="59">
        <f t="shared" si="92"/>
        <v>341.7578598026638</v>
      </c>
      <c r="BK78" s="15">
        <f>IF(ISNA(VLOOKUP(A78,'Données projet'!$A$87:$I$107,3,0)),0,VLOOKUP(A78,'Données projet'!$A$87:$I$107,3,0))</f>
        <v>14</v>
      </c>
      <c r="BL78" s="15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0.25800000000000001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25.10100539078498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25.10100539078498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3.4106051316484809E-13</v>
      </c>
      <c r="BZ78" s="13">
        <f>BY78*VLOOKUP('Données projet'!$B$12,Paramètres!$A$1:$I$89,3,0)*VLOOKUP('Données projet'!$B$12,Paramètres!$A$1:$I$89,5,0)</f>
        <v>2.0395418687257919E-13</v>
      </c>
      <c r="CA78" s="13">
        <f t="shared" si="93"/>
        <v>2.8200388570161721E-12</v>
      </c>
      <c r="CB78" s="20">
        <f t="shared" si="64"/>
        <v>5.2667878847729083E-12</v>
      </c>
      <c r="CC78" s="59">
        <f t="shared" si="65"/>
        <v>268.66158469983009</v>
      </c>
      <c r="CD78" s="59">
        <f ca="1">AVERAGE(OFFSET($CC$3,0,0,'Données projet'!$E$12+1,1))-AVERAGE(OFFSET($H$3,0,0,'Données projet'!$E$12+1,1))</f>
        <v>435.81281313761326</v>
      </c>
      <c r="CE78" s="59">
        <f t="shared" si="94"/>
        <v>460.93390058676493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191.15838244583284</v>
      </c>
      <c r="CL78" s="21">
        <f>EXP(-LN(2)/25)*CL77+(1-EXP(-LN(2)/25))/(LN(2)/25)*Calculateur!CG78*Calculateur!CI78*VLOOKUP('Données projet'!$B$12,Paramètres!$A$1:$I$89,3,0)*0.475*44/12</f>
        <v>39.354829798167266</v>
      </c>
      <c r="CM78" s="21">
        <f>EXP(-LN(2)/2)*CM77+(1-EXP(-LN(2)/2))/(LN(2)/2)*CG78*CJ78*VLOOKUP('Données projet'!$B$12,Paramètres!$A$1:$I$89,3,0)*0.475*44/12</f>
        <v>1.2197500015870997</v>
      </c>
      <c r="CN78" s="22">
        <f t="shared" si="66"/>
        <v>231.7329622455872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10</v>
      </c>
      <c r="CT78" s="12">
        <f>IF('Données projet'!$A$140&gt;35,CT77+CS78-DB77,IF(A78&lt;'Données projet'!$A$140,$CQ$205^A78,IF(A78='Données projet'!$A$140,'Données projet'!$B$140,CT77+CS78-DB77)))</f>
        <v>560</v>
      </c>
      <c r="CU78" s="17">
        <f>CT78*VLOOKUP('Données projet'!$B$13,Paramètres!$A$1:$I$89,3,0)*VLOOKUP('Données projet'!$B$13,Paramètres!$A$1:$I$89,5,0)</f>
        <v>262.08</v>
      </c>
      <c r="CV78" s="13">
        <f t="shared" si="95"/>
        <v>63.165544079460766</v>
      </c>
      <c r="CW78" s="20">
        <f t="shared" si="67"/>
        <v>566.46932260506071</v>
      </c>
      <c r="CX78" s="59">
        <f t="shared" si="68"/>
        <v>835.13090730488557</v>
      </c>
      <c r="CY78" s="59">
        <f ca="1">AVERAGE(OFFSET($CX$3,0,0,'Données projet'!$E$13+1,1))-AVERAGE(OFFSET($H$3,0,0,'Données projet'!$E$13+1,1))</f>
        <v>379.16472924112111</v>
      </c>
      <c r="CZ78" s="59">
        <f t="shared" si="96"/>
        <v>273.18950868898253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20.620330885489214</v>
      </c>
      <c r="DG78" s="21">
        <f>EXP(-LN(2)/25)*DG77+(1-EXP(-LN(2)/25))/(LN(2)/25)*Calculateur!DB78*Calculateur!DD78*VLOOKUP('Données projet'!$B$13,Paramètres!$A$1:$I$89,3,0)*0.475*44/12</f>
        <v>14.915727153134586</v>
      </c>
      <c r="DH78" s="21">
        <f>EXP(-LN(2)/2)*DH77+(1-EXP(-LN(2)/2))/(LN(2)/2)*DB78*DE78*VLOOKUP('Données projet'!$B$13,Paramètres!$A$1:$I$89,3,0)*0.475*44/12</f>
        <v>0.70142784172930484</v>
      </c>
      <c r="DI78" s="22">
        <f t="shared" si="69"/>
        <v>36.237485880353105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809</v>
      </c>
      <c r="DM78" s="12">
        <f>VLOOKUP(A78,'Données projet'!$A$165:$I$185,9,0)</f>
        <v>17</v>
      </c>
      <c r="DN78" s="12">
        <f t="array" ref="DN78">INDEX(DM:DM,MIN(IF(ISNUMBER(DM78:DM274),ROW(DM78:DM274),"")))</f>
        <v>17</v>
      </c>
      <c r="DO78" s="12">
        <f>IF('Données projet'!$A$166&gt;35,DO77+DN78-DW77,IF(A78&lt;'Données projet'!$A$166,$DL$205^A78,IF(A78='Données projet'!$A$166,'Données projet'!$B$166,DO77+DN78-DW77)))</f>
        <v>809.00000000000057</v>
      </c>
      <c r="DP78" s="17">
        <f>DO78*VLOOKUP('Données projet'!$B$14,Paramètres!$A$1:$I$89,3,0)*VLOOKUP('Données projet'!$B$14,Paramètres!$A$1:$I$89,5,0)</f>
        <v>326.02700000000021</v>
      </c>
      <c r="DQ78" s="13">
        <f t="shared" si="97"/>
        <v>76.606023141116538</v>
      </c>
      <c r="DR78" s="20">
        <f t="shared" si="70"/>
        <v>701.25251530411163</v>
      </c>
      <c r="DS78" s="59">
        <f t="shared" si="71"/>
        <v>969.91410000393648</v>
      </c>
      <c r="DT78" s="59">
        <f ca="1">AVERAGE(OFFSET($DS$3,0,0,'Données projet'!$E$14+1,1))-AVERAGE(OFFSET($H$3,0,0,'Données projet'!$E$14+1,1))</f>
        <v>419.35339339286082</v>
      </c>
      <c r="DU78" s="59">
        <f t="shared" si="98"/>
        <v>359.03308141414709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47</v>
      </c>
      <c r="DX78" s="16">
        <f>IF(ISNA(VLOOKUP(A78,'Données projet'!$A$165:$I$185,5,0)),0%,VLOOKUP(A78,'Données projet'!$A$165:$I$185,5,0)*VLOOKUP('Données projet'!$B$14,Paramètres!$A$1:$I$89,7,0))</f>
        <v>0.44000000000000006</v>
      </c>
      <c r="DY78" s="16">
        <f>IF(ISNA(VLOOKUP(A78,'Données projet'!$A$165:$I$185,6,0)),0%,VLOOKUP(A78,'Données projet'!$A$165:$I$185,6,0)*VLOOKUP('Données projet'!$B$14,Paramètres!$A$1:$I$89,7,0))</f>
        <v>6.0500000000000005E-2</v>
      </c>
      <c r="DZ78" s="16">
        <f>IF(ISNA(VLOOKUP(A78,'Données projet'!$A$165:$I$185,7,0)),0%,VLOOKUP(A78,'Données projet'!$A$165:$I$185,7,0))</f>
        <v>0.09</v>
      </c>
      <c r="EA78" s="21">
        <f>EXP(-LN(2)/35)*EA77+(1-EXP(-LN(2)/35))/(LN(2)/35)*DW78*DX78*VLOOKUP('Données projet'!$B$14,Paramètres!$A$1:$I$89,3,0)*0.475*44/12</f>
        <v>75.839975814623031</v>
      </c>
      <c r="EB78" s="21">
        <f>EXP(-LN(2)/25)*EB77+(1-EXP(-LN(2)/25))/(LN(2)/25)*Calculateur!DW78*Calculateur!DY78*VLOOKUP('Données projet'!$B$14,Paramètres!$A$1:$I$89,3,0)*0.475*44/12</f>
        <v>22.485966824429909</v>
      </c>
      <c r="EC78" s="21">
        <f>EXP(-LN(2)/2)*EC77+(1-EXP(-LN(2)/2))/(LN(2)/2)*DW78*DZ78*VLOOKUP('Données projet'!$B$14,Paramètres!$A$1:$I$89,3,0)*0.475*44/12</f>
        <v>2.3772120887758268</v>
      </c>
      <c r="ED78" s="22">
        <f t="shared" si="72"/>
        <v>100.70315472782876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1005</v>
      </c>
      <c r="EH78" s="12">
        <f>VLOOKUP(A78,'Données projet'!$A$191:$I$211,9,0)</f>
        <v>13</v>
      </c>
      <c r="EI78" s="12">
        <f t="array" ref="EI78">INDEX(EH:EH,MIN(IF(ISNUMBER(EH78:EH274),ROW(EH78:EH274),"")))</f>
        <v>13</v>
      </c>
      <c r="EJ78" s="12">
        <f>IF('Données projet'!$A$192&gt;35,EJ77+EI78-ER77,IF(A78&lt;'Données projet'!$A$192,$EG$205^A78,IF(A78='Données projet'!$A$192,'Données projet'!$B$192,EJ77+EI78-ER77)))</f>
        <v>1005.0000000000001</v>
      </c>
      <c r="EK78" s="17">
        <f>EJ78*VLOOKUP('Données projet'!$B$15,Paramètres!$A$1:$I$89,3,0)*VLOOKUP('Données projet'!$B$15,Paramètres!$A$1:$I$89,5,0)</f>
        <v>444.21000000000009</v>
      </c>
      <c r="EL78" s="13">
        <f t="shared" si="99"/>
        <v>100.68415144576424</v>
      </c>
      <c r="EM78" s="20">
        <f t="shared" si="73"/>
        <v>949.02398043470623</v>
      </c>
      <c r="EN78" s="59">
        <f t="shared" si="74"/>
        <v>1217.6855651345311</v>
      </c>
      <c r="EO78" s="59">
        <f ca="1">AVERAGE(OFFSET($EN$3,0,0,'Données projet'!$E$15+1,1))-AVERAGE(OFFSET($H$3,0,0,'Données projet'!$E$15+1,1))</f>
        <v>561.50881628354409</v>
      </c>
      <c r="EP78" s="59">
        <f t="shared" si="100"/>
        <v>468.67708352238458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33</v>
      </c>
      <c r="ES78" s="16">
        <f>IF(ISNA(VLOOKUP(A78,'Données projet'!$A$191:$I$211,5,0)),0%,VLOOKUP(A78,'Données projet'!$A$191:$I$211,5,0)*VLOOKUP('Données projet'!$B$15,Paramètres!$A$1:$I$89,7,0))</f>
        <v>0.44000000000000006</v>
      </c>
      <c r="ET78" s="16">
        <f>IF(ISNA(VLOOKUP(A78,'Données projet'!$A$191:$I$211,6,0)),0%,VLOOKUP(A78,'Données projet'!$A$191:$I$211,6,0)*VLOOKUP('Données projet'!$B$15,Paramètres!$A$1:$I$89,7,0))</f>
        <v>6.0500000000000005E-2</v>
      </c>
      <c r="EU78" s="16">
        <f>IF(ISNA(VLOOKUP(A78,'Données projet'!$A$191:$I$211,7,0)),0%,VLOOKUP(A78,'Données projet'!$A$191:$I$211,7,0))</f>
        <v>0.09</v>
      </c>
      <c r="EV78" s="21">
        <f>EXP(-LN(2)/35)*EV77+(1-EXP(-LN(2)/35))/(LN(2)/35)*ER78*ES78*VLOOKUP('Données projet'!$B$15,Paramètres!$A$1:$I$89,3,0)*0.475*44/12</f>
        <v>78.370587654278495</v>
      </c>
      <c r="EW78" s="21">
        <f>EXP(-LN(2)/25)*EW77+(1-EXP(-LN(2)/25))/(LN(2)/25)*Calculateur!ER78*Calculateur!ET78*VLOOKUP('Données projet'!$B$15,Paramètres!$A$1:$I$89,3,0)*0.475*44/12</f>
        <v>28.100176957461379</v>
      </c>
      <c r="EX78" s="21">
        <f>EXP(-LN(2)/2)*EX77+(1-EXP(-LN(2)/2))/(LN(2)/2)*ER78*EU78*VLOOKUP('Données projet'!$B$15,Paramètres!$A$1:$I$89,3,0)*0.475*44/12</f>
        <v>1.8727932042805449</v>
      </c>
      <c r="EY78" s="22">
        <f t="shared" si="75"/>
        <v>108.34355781602041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</v>
      </c>
      <c r="O79" s="13">
        <f>N79*VLOOKUP('Données projet'!$B$9,Paramètres!$A$1:$I$89,3,0)*VLOOKUP('Données projet'!$B$9,Paramètres!$A$1:$I$89,5,0)</f>
        <v>263.47775999999999</v>
      </c>
      <c r="P79" s="13">
        <f t="shared" si="87"/>
        <v>63.46312159763346</v>
      </c>
      <c r="Q79" s="20">
        <f t="shared" si="54"/>
        <v>569.42203544921153</v>
      </c>
      <c r="R79" s="59">
        <f t="shared" si="55"/>
        <v>838.51161983006091</v>
      </c>
      <c r="S79" s="59">
        <f ca="1">AVERAGE(OFFSET($R$3,0,0,'Données projet'!$E$9+1,1))-AVERAGE(OFFSET($H$3,0,0,'Données projet'!$E$9+1,1))</f>
        <v>484.04602944257209</v>
      </c>
      <c r="T79" s="59">
        <f t="shared" si="88"/>
        <v>297.32483725004124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236.99999999999994</v>
      </c>
      <c r="AJ79" s="13">
        <f>AI79*VLOOKUP('Données projet'!$B$10,Paramètres!$A$1:$I$89,3,0)*VLOOKUP('Données projet'!$B$10,Paramètres!$A$1:$I$89,5,0)</f>
        <v>269.89559999999994</v>
      </c>
      <c r="AK79" s="13">
        <f t="shared" si="89"/>
        <v>64.827112474282075</v>
      </c>
      <c r="AL79" s="20">
        <f t="shared" si="58"/>
        <v>582.97539089270788</v>
      </c>
      <c r="AM79" s="59">
        <f t="shared" si="59"/>
        <v>852.06497527355737</v>
      </c>
      <c r="AN79" s="59">
        <f ca="1">AVERAGE(OFFSET($AM$3,0,0,'Données projet'!$E$10+1,1))-AVERAGE(OFFSET($H$3,0,0,'Données projet'!$E$10+1,1))</f>
        <v>493.74122500490859</v>
      </c>
      <c r="AO79" s="59">
        <f t="shared" si="90"/>
        <v>299.43985151679692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24.221961381026876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24.221961381026876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200.05440000000007</v>
      </c>
      <c r="BF79" s="13">
        <f t="shared" si="91"/>
        <v>49.756123009618236</v>
      </c>
      <c r="BG79" s="20">
        <f t="shared" si="61"/>
        <v>435.08666090841854</v>
      </c>
      <c r="BH79" s="59">
        <f t="shared" si="62"/>
        <v>704.17624528926797</v>
      </c>
      <c r="BI79" s="59">
        <f ca="1">AVERAGE(OFFSET($BH$3,0,0,'Données projet'!$E$11+1,1))-AVERAGE(OFFSET($H$3,0,0,'Données projet'!$E$11+1,1))</f>
        <v>364.64276939439014</v>
      </c>
      <c r="BJ79" s="59">
        <f t="shared" si="92"/>
        <v>341.7578598026638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24.608789985173228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24.608789985173228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3.4106051316484809E-13</v>
      </c>
      <c r="BZ79" s="13">
        <f>BY79*VLOOKUP('Données projet'!$B$12,Paramètres!$A$1:$I$89,3,0)*VLOOKUP('Données projet'!$B$12,Paramètres!$A$1:$I$89,5,0)</f>
        <v>2.0395418687257919E-13</v>
      </c>
      <c r="CA79" s="13">
        <f t="shared" si="93"/>
        <v>2.8200388570161721E-12</v>
      </c>
      <c r="CB79" s="20">
        <f t="shared" si="64"/>
        <v>5.2667878847729083E-12</v>
      </c>
      <c r="CC79" s="59">
        <f t="shared" si="65"/>
        <v>269.08958438085472</v>
      </c>
      <c r="CD79" s="59">
        <f ca="1">AVERAGE(OFFSET($CC$3,0,0,'Données projet'!$E$12+1,1))-AVERAGE(OFFSET($H$3,0,0,'Données projet'!$E$12+1,1))</f>
        <v>435.81281313761326</v>
      </c>
      <c r="CE79" s="59">
        <f t="shared" si="94"/>
        <v>460.93390058676493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187.40988316117054</v>
      </c>
      <c r="CL79" s="21">
        <f>EXP(-LN(2)/25)*CL78+(1-EXP(-LN(2)/25))/(LN(2)/25)*Calculateur!CG79*Calculateur!CI79*VLOOKUP('Données projet'!$B$12,Paramètres!$A$1:$I$89,3,0)*0.475*44/12</f>
        <v>38.278669907755827</v>
      </c>
      <c r="CM79" s="21">
        <f>EXP(-LN(2)/2)*CM78+(1-EXP(-LN(2)/2))/(LN(2)/2)*CG79*CJ79*VLOOKUP('Données projet'!$B$12,Paramètres!$A$1:$I$89,3,0)*0.475*44/12</f>
        <v>0.86249349747454029</v>
      </c>
      <c r="CN79" s="22">
        <f t="shared" si="66"/>
        <v>226.55104656640088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</v>
      </c>
      <c r="CT79" s="12">
        <f>IF('Données projet'!$A$140&gt;35,CT78+CS79-DB78,IF(A79&lt;'Données projet'!$A$140,$CQ$205^A79,IF(A79='Données projet'!$A$140,'Données projet'!$B$140,CT78+CS79-DB78)))</f>
        <v>570</v>
      </c>
      <c r="CU79" s="17">
        <f>CT79*VLOOKUP('Données projet'!$B$13,Paramètres!$A$1:$I$89,3,0)*VLOOKUP('Données projet'!$B$13,Paramètres!$A$1:$I$89,5,0)</f>
        <v>266.76</v>
      </c>
      <c r="CV79" s="13">
        <f t="shared" si="95"/>
        <v>64.161177130842304</v>
      </c>
      <c r="CW79" s="20">
        <f t="shared" si="67"/>
        <v>576.35438350288371</v>
      </c>
      <c r="CX79" s="59">
        <f t="shared" si="68"/>
        <v>845.44396788373319</v>
      </c>
      <c r="CY79" s="59">
        <f ca="1">AVERAGE(OFFSET($CX$3,0,0,'Données projet'!$E$13+1,1))-AVERAGE(OFFSET($H$3,0,0,'Données projet'!$E$13+1,1))</f>
        <v>379.16472924112111</v>
      </c>
      <c r="CZ79" s="59">
        <f t="shared" si="96"/>
        <v>273.18950868898253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20.21597877398472</v>
      </c>
      <c r="DG79" s="21">
        <f>EXP(-LN(2)/25)*DG78+(1-EXP(-LN(2)/25))/(LN(2)/25)*Calculateur!DB79*Calculateur!DD79*VLOOKUP('Données projet'!$B$13,Paramètres!$A$1:$I$89,3,0)*0.475*44/12</f>
        <v>14.50785580974812</v>
      </c>
      <c r="DH79" s="21">
        <f>EXP(-LN(2)/2)*DH78+(1-EXP(-LN(2)/2))/(LN(2)/2)*DB79*DE79*VLOOKUP('Données projet'!$B$13,Paramètres!$A$1:$I$89,3,0)*0.475*44/12</f>
        <v>0.49598438339983586</v>
      </c>
      <c r="DI79" s="22">
        <f t="shared" si="69"/>
        <v>35.219818967132674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15.6</v>
      </c>
      <c r="DO79" s="12">
        <f>IF('Données projet'!$A$166&gt;35,DO78+DN79-DW78,IF(A79&lt;'Données projet'!$A$166,$DL$205^A79,IF(A79='Données projet'!$A$166,'Données projet'!$B$166,DO78+DN79-DW78)))</f>
        <v>777.60000000000059</v>
      </c>
      <c r="DP79" s="17">
        <f>DO79*VLOOKUP('Données projet'!$B$14,Paramètres!$A$1:$I$89,3,0)*VLOOKUP('Données projet'!$B$14,Paramètres!$A$1:$I$89,5,0)</f>
        <v>313.37280000000027</v>
      </c>
      <c r="DQ79" s="13">
        <f t="shared" si="97"/>
        <v>73.972760827003711</v>
      </c>
      <c r="DR79" s="20">
        <f t="shared" si="70"/>
        <v>674.62685177369849</v>
      </c>
      <c r="DS79" s="59">
        <f t="shared" si="71"/>
        <v>943.71643615454786</v>
      </c>
      <c r="DT79" s="59">
        <f ca="1">AVERAGE(OFFSET($DS$3,0,0,'Données projet'!$E$14+1,1))-AVERAGE(OFFSET($H$3,0,0,'Données projet'!$E$14+1,1))</f>
        <v>419.35339339286082</v>
      </c>
      <c r="DU79" s="59">
        <f t="shared" si="98"/>
        <v>359.03308141414709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74.352800146715936</v>
      </c>
      <c r="EB79" s="21">
        <f>EXP(-LN(2)/25)*EB78+(1-EXP(-LN(2)/25))/(LN(2)/25)*Calculateur!DW79*Calculateur!DY79*VLOOKUP('Données projet'!$B$14,Paramètres!$A$1:$I$89,3,0)*0.475*44/12</f>
        <v>21.871086879130271</v>
      </c>
      <c r="EC79" s="21">
        <f>EXP(-LN(2)/2)*EC78+(1-EXP(-LN(2)/2))/(LN(2)/2)*DW79*DZ79*VLOOKUP('Données projet'!$B$14,Paramètres!$A$1:$I$89,3,0)*0.475*44/12</f>
        <v>1.6809427882920243</v>
      </c>
      <c r="ED79" s="22">
        <f t="shared" si="72"/>
        <v>97.904829814138239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9.6</v>
      </c>
      <c r="EJ79" s="12">
        <f>IF('Données projet'!$A$192&gt;35,EJ78+EI79-ER78,IF(A79&lt;'Données projet'!$A$192,$EG$205^A79,IF(A79='Données projet'!$A$192,'Données projet'!$B$192,EJ78+EI79-ER78)))</f>
        <v>981.60000000000014</v>
      </c>
      <c r="EK79" s="17">
        <f>EJ79*VLOOKUP('Données projet'!$B$15,Paramètres!$A$1:$I$89,3,0)*VLOOKUP('Données projet'!$B$15,Paramètres!$A$1:$I$89,5,0)</f>
        <v>433.86720000000014</v>
      </c>
      <c r="EL79" s="13">
        <f t="shared" si="99"/>
        <v>98.609907223449028</v>
      </c>
      <c r="EM79" s="20">
        <f t="shared" si="73"/>
        <v>927.39762841417394</v>
      </c>
      <c r="EN79" s="59">
        <f t="shared" si="74"/>
        <v>1196.4872127950234</v>
      </c>
      <c r="EO79" s="59">
        <f ca="1">AVERAGE(OFFSET($EN$3,0,0,'Données projet'!$E$15+1,1))-AVERAGE(OFFSET($H$3,0,0,'Données projet'!$E$15+1,1))</f>
        <v>561.50881628354409</v>
      </c>
      <c r="EP79" s="59">
        <f t="shared" si="100"/>
        <v>468.67708352238458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76.833788231716568</v>
      </c>
      <c r="EW79" s="21">
        <f>EXP(-LN(2)/25)*EW78+(1-EXP(-LN(2)/25))/(LN(2)/25)*Calculateur!ER79*Calculateur!ET79*VLOOKUP('Données projet'!$B$15,Paramètres!$A$1:$I$89,3,0)*0.475*44/12</f>
        <v>27.331776140835515</v>
      </c>
      <c r="EX79" s="21">
        <f>EXP(-LN(2)/2)*EX78+(1-EXP(-LN(2)/2))/(LN(2)/2)*ER79*EU79*VLOOKUP('Données projet'!$B$15,Paramètres!$A$1:$I$89,3,0)*0.475*44/12</f>
        <v>1.3242647745068565</v>
      </c>
      <c r="EY79" s="22">
        <f t="shared" si="75"/>
        <v>105.48982914705894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298.39999999999998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852.68975517110425</v>
      </c>
      <c r="S80" s="59">
        <f ca="1">AVERAGE(OFFSET($R$3,0,0,'Données projet'!$E$9+1,1))-AVERAGE(OFFSET($H$3,0,0,'Données projet'!$E$9+1,1))</f>
        <v>484.04602944257209</v>
      </c>
      <c r="T80" s="59">
        <f t="shared" si="88"/>
        <v>297.32483725004124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242.99999999999994</v>
      </c>
      <c r="AJ80" s="13">
        <f>AI80*VLOOKUP('Données projet'!$B$10,Paramètres!$A$1:$I$89,3,0)*VLOOKUP('Données projet'!$B$10,Paramètres!$A$1:$I$89,5,0)</f>
        <v>276.72839999999997</v>
      </c>
      <c r="AK80" s="13">
        <f t="shared" si="89"/>
        <v>66.275153538600421</v>
      </c>
      <c r="AL80" s="20">
        <f t="shared" si="58"/>
        <v>597.39785574639575</v>
      </c>
      <c r="AM80" s="59">
        <f t="shared" si="59"/>
        <v>866.90801497066809</v>
      </c>
      <c r="AN80" s="59">
        <f ca="1">AVERAGE(OFFSET($AM$3,0,0,'Données projet'!$E$10+1,1))-AVERAGE(OFFSET($H$3,0,0,'Données projet'!$E$10+1,1))</f>
        <v>493.74122500490859</v>
      </c>
      <c r="AO80" s="59">
        <f t="shared" si="90"/>
        <v>299.43985151679692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23.746983492282578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23.746983492282578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203.54880000000003</v>
      </c>
      <c r="BF80" s="13">
        <f t="shared" si="91"/>
        <v>50.523286400023487</v>
      </c>
      <c r="BG80" s="20">
        <f t="shared" si="61"/>
        <v>442.50888381337427</v>
      </c>
      <c r="BH80" s="59">
        <f t="shared" si="62"/>
        <v>712.0190430376465</v>
      </c>
      <c r="BI80" s="59">
        <f ca="1">AVERAGE(OFFSET($BH$3,0,0,'Données projet'!$E$11+1,1))-AVERAGE(OFFSET($H$3,0,0,'Données projet'!$E$11+1,1))</f>
        <v>364.64276939439014</v>
      </c>
      <c r="BJ80" s="59">
        <f t="shared" si="92"/>
        <v>341.7578598026638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24.12622662344377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24.12622662344377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3.4106051316484809E-13</v>
      </c>
      <c r="BZ80" s="13">
        <f>BY80*VLOOKUP('Données projet'!$B$12,Paramètres!$A$1:$I$89,3,0)*VLOOKUP('Données projet'!$B$12,Paramètres!$A$1:$I$89,5,0)</f>
        <v>2.0395418687257919E-13</v>
      </c>
      <c r="CA80" s="13">
        <f t="shared" si="93"/>
        <v>2.8200388570161721E-12</v>
      </c>
      <c r="CB80" s="20">
        <f t="shared" si="64"/>
        <v>5.2667878847729083E-12</v>
      </c>
      <c r="CC80" s="59">
        <f t="shared" si="65"/>
        <v>269.51015922427757</v>
      </c>
      <c r="CD80" s="59">
        <f ca="1">AVERAGE(OFFSET($CC$3,0,0,'Données projet'!$E$12+1,1))-AVERAGE(OFFSET($H$3,0,0,'Données projet'!$E$12+1,1))</f>
        <v>435.81281313761326</v>
      </c>
      <c r="CE80" s="59">
        <f t="shared" si="94"/>
        <v>460.93390058676493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183.73488966112166</v>
      </c>
      <c r="CL80" s="21">
        <f>EXP(-LN(2)/25)*CL79+(1-EXP(-LN(2)/25))/(LN(2)/25)*Calculateur!CG80*Calculateur!CI80*VLOOKUP('Données projet'!$B$12,Paramètres!$A$1:$I$89,3,0)*0.475*44/12</f>
        <v>37.231937666140482</v>
      </c>
      <c r="CM80" s="21">
        <f>EXP(-LN(2)/2)*CM79+(1-EXP(-LN(2)/2))/(LN(2)/2)*CG80*CJ80*VLOOKUP('Données projet'!$B$12,Paramètres!$A$1:$I$89,3,0)*0.475*44/12</f>
        <v>0.60987500079354984</v>
      </c>
      <c r="CN80" s="22">
        <f t="shared" si="66"/>
        <v>221.57670232805569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</v>
      </c>
      <c r="CT80" s="12">
        <f>IF('Données projet'!$A$140&gt;35,CT79+CS80-DB79,IF(A80&lt;'Données projet'!$A$140,$CQ$205^A80,IF(A80='Données projet'!$A$140,'Données projet'!$B$140,CT79+CS80-DB79)))</f>
        <v>580</v>
      </c>
      <c r="CU80" s="17">
        <f>CT80*VLOOKUP('Données projet'!$B$13,Paramètres!$A$1:$I$89,3,0)*VLOOKUP('Données projet'!$B$13,Paramètres!$A$1:$I$89,5,0)</f>
        <v>271.44</v>
      </c>
      <c r="CV80" s="13">
        <f t="shared" si="95"/>
        <v>65.154778959151173</v>
      </c>
      <c r="CW80" s="20">
        <f t="shared" si="67"/>
        <v>586.23590668718828</v>
      </c>
      <c r="CX80" s="59">
        <f t="shared" si="68"/>
        <v>855.74606591146062</v>
      </c>
      <c r="CY80" s="59">
        <f ca="1">AVERAGE(OFFSET($CX$3,0,0,'Données projet'!$E$13+1,1))-AVERAGE(OFFSET($H$3,0,0,'Données projet'!$E$13+1,1))</f>
        <v>379.16472924112111</v>
      </c>
      <c r="CZ80" s="59">
        <f t="shared" si="96"/>
        <v>273.18950868898253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19.819555760756394</v>
      </c>
      <c r="DG80" s="21">
        <f>EXP(-LN(2)/25)*DG79+(1-EXP(-LN(2)/25))/(LN(2)/25)*Calculateur!DB80*Calculateur!DD80*VLOOKUP('Données projet'!$B$13,Paramètres!$A$1:$I$89,3,0)*0.475*44/12</f>
        <v>14.11113772969558</v>
      </c>
      <c r="DH80" s="21">
        <f>EXP(-LN(2)/2)*DH79+(1-EXP(-LN(2)/2))/(LN(2)/2)*DB80*DE80*VLOOKUP('Données projet'!$B$13,Paramètres!$A$1:$I$89,3,0)*0.475*44/12</f>
        <v>0.35071392086465247</v>
      </c>
      <c r="DI80" s="22">
        <f t="shared" si="69"/>
        <v>34.281407411316621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15.6</v>
      </c>
      <c r="DO80" s="12">
        <f>IF('Données projet'!$A$166&gt;35,DO79+DN80-DW79,IF(A80&lt;'Données projet'!$A$166,$DL$205^A80,IF(A80='Données projet'!$A$166,'Données projet'!$B$166,DO79+DN80-DW79)))</f>
        <v>793.20000000000061</v>
      </c>
      <c r="DP80" s="17">
        <f>DO80*VLOOKUP('Données projet'!$B$14,Paramètres!$A$1:$I$89,3,0)*VLOOKUP('Données projet'!$B$14,Paramètres!$A$1:$I$89,5,0)</f>
        <v>319.65960000000024</v>
      </c>
      <c r="DQ80" s="13">
        <f t="shared" si="97"/>
        <v>75.282522436153386</v>
      </c>
      <c r="DR80" s="20">
        <f t="shared" si="70"/>
        <v>687.8575299096342</v>
      </c>
      <c r="DS80" s="59">
        <f t="shared" si="71"/>
        <v>957.36768913390642</v>
      </c>
      <c r="DT80" s="59">
        <f ca="1">AVERAGE(OFFSET($DS$3,0,0,'Données projet'!$E$14+1,1))-AVERAGE(OFFSET($H$3,0,0,'Données projet'!$E$14+1,1))</f>
        <v>419.35339339286082</v>
      </c>
      <c r="DU80" s="59">
        <f t="shared" si="98"/>
        <v>359.03308141414709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72.894787086568911</v>
      </c>
      <c r="EB80" s="21">
        <f>EXP(-LN(2)/25)*EB79+(1-EXP(-LN(2)/25))/(LN(2)/25)*Calculateur!DW80*Calculateur!DY80*VLOOKUP('Données projet'!$B$14,Paramètres!$A$1:$I$89,3,0)*0.475*44/12</f>
        <v>21.27302085826998</v>
      </c>
      <c r="EC80" s="21">
        <f>EXP(-LN(2)/2)*EC79+(1-EXP(-LN(2)/2))/(LN(2)/2)*DW80*DZ80*VLOOKUP('Données projet'!$B$14,Paramètres!$A$1:$I$89,3,0)*0.475*44/12</f>
        <v>1.1886060443879136</v>
      </c>
      <c r="ED80" s="22">
        <f t="shared" si="72"/>
        <v>95.356413989226809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9.6</v>
      </c>
      <c r="EJ80" s="12">
        <f>IF('Données projet'!$A$192&gt;35,EJ79+EI80-ER79,IF(A80&lt;'Données projet'!$A$192,$EG$205^A80,IF(A80='Données projet'!$A$192,'Données projet'!$B$192,EJ79+EI80-ER79)))</f>
        <v>991.20000000000016</v>
      </c>
      <c r="EK80" s="17">
        <f>EJ80*VLOOKUP('Données projet'!$B$15,Paramètres!$A$1:$I$89,3,0)*VLOOKUP('Données projet'!$B$15,Paramètres!$A$1:$I$89,5,0)</f>
        <v>438.11040000000014</v>
      </c>
      <c r="EL80" s="13">
        <f t="shared" si="99"/>
        <v>99.461567847572979</v>
      </c>
      <c r="EM80" s="20">
        <f t="shared" si="73"/>
        <v>936.27117733452303</v>
      </c>
      <c r="EN80" s="59">
        <f t="shared" si="74"/>
        <v>1205.7813365587954</v>
      </c>
      <c r="EO80" s="59">
        <f ca="1">AVERAGE(OFFSET($EN$3,0,0,'Données projet'!$E$15+1,1))-AVERAGE(OFFSET($H$3,0,0,'Données projet'!$E$15+1,1))</f>
        <v>561.50881628354409</v>
      </c>
      <c r="EP80" s="59">
        <f t="shared" si="100"/>
        <v>468.67708352238458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75.32712450847599</v>
      </c>
      <c r="EW80" s="21">
        <f>EXP(-LN(2)/25)*EW79+(1-EXP(-LN(2)/25))/(LN(2)/25)*Calculateur!ER80*Calculateur!ET80*VLOOKUP('Données projet'!$B$15,Paramètres!$A$1:$I$89,3,0)*0.475*44/12</f>
        <v>26.584387284948729</v>
      </c>
      <c r="EX80" s="21">
        <f>EXP(-LN(2)/2)*EX79+(1-EXP(-LN(2)/2))/(LN(2)/2)*ER80*EU80*VLOOKUP('Données projet'!$B$15,Paramètres!$A$1:$I$89,3,0)*0.475*44/12</f>
        <v>0.93639660214027254</v>
      </c>
      <c r="EY80" s="22">
        <f t="shared" si="75"/>
        <v>102.847908395565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305.59999999999997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866.8538307678042</v>
      </c>
      <c r="S81" s="59">
        <f ca="1">AVERAGE(OFFSET($R$3,0,0,'Données projet'!$E$9+1,1))-AVERAGE(OFFSET($H$3,0,0,'Données projet'!$E$9+1,1))</f>
        <v>484.04602944257209</v>
      </c>
      <c r="T81" s="59">
        <f t="shared" si="88"/>
        <v>297.32483725004124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248.99999999999994</v>
      </c>
      <c r="AJ81" s="13">
        <f>AI81*VLOOKUP('Données projet'!$B$10,Paramètres!$A$1:$I$89,3,0)*VLOOKUP('Données projet'!$B$10,Paramètres!$A$1:$I$89,5,0)</f>
        <v>283.56119999999993</v>
      </c>
      <c r="AK81" s="13">
        <f t="shared" si="89"/>
        <v>67.719038354218597</v>
      </c>
      <c r="AL81" s="20">
        <f t="shared" si="58"/>
        <v>611.81308180026383</v>
      </c>
      <c r="AM81" s="59">
        <f t="shared" si="59"/>
        <v>881.73651983469006</v>
      </c>
      <c r="AN81" s="59">
        <f ca="1">AVERAGE(OFFSET($AM$3,0,0,'Données projet'!$E$10+1,1))-AVERAGE(OFFSET($H$3,0,0,'Données projet'!$E$10+1,1))</f>
        <v>493.74122500490859</v>
      </c>
      <c r="AO81" s="59">
        <f t="shared" si="90"/>
        <v>299.43985151679692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23.281319630228648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23.281319630228648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207.04320000000004</v>
      </c>
      <c r="BF81" s="13">
        <f t="shared" si="91"/>
        <v>51.288918231806321</v>
      </c>
      <c r="BG81" s="20">
        <f t="shared" si="61"/>
        <v>449.92843925372944</v>
      </c>
      <c r="BH81" s="59">
        <f t="shared" si="62"/>
        <v>719.85187728815572</v>
      </c>
      <c r="BI81" s="59">
        <f ca="1">AVERAGE(OFFSET($BH$3,0,0,'Données projet'!$E$11+1,1))-AVERAGE(OFFSET($H$3,0,0,'Données projet'!$E$11+1,1))</f>
        <v>364.64276939439014</v>
      </c>
      <c r="BJ81" s="59">
        <f t="shared" si="92"/>
        <v>341.7578598026638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23.653126034903238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23.653126034903238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3.4106051316484809E-13</v>
      </c>
      <c r="BZ81" s="13">
        <f>BY81*VLOOKUP('Données projet'!$B$12,Paramètres!$A$1:$I$89,3,0)*VLOOKUP('Données projet'!$B$12,Paramètres!$A$1:$I$89,5,0)</f>
        <v>2.0395418687257919E-13</v>
      </c>
      <c r="CA81" s="13">
        <f t="shared" si="93"/>
        <v>2.8200388570161721E-12</v>
      </c>
      <c r="CB81" s="20">
        <f t="shared" si="64"/>
        <v>5.2667878847729083E-12</v>
      </c>
      <c r="CC81" s="59">
        <f t="shared" si="65"/>
        <v>269.92343803443151</v>
      </c>
      <c r="CD81" s="59">
        <f ca="1">AVERAGE(OFFSET($CC$3,0,0,'Données projet'!$E$12+1,1))-AVERAGE(OFFSET($H$3,0,0,'Données projet'!$E$12+1,1))</f>
        <v>435.81281313761326</v>
      </c>
      <c r="CE81" s="59">
        <f t="shared" si="94"/>
        <v>460.93390058676493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180.13196054208404</v>
      </c>
      <c r="CL81" s="21">
        <f>EXP(-LN(2)/25)*CL80+(1-EXP(-LN(2)/25))/(LN(2)/25)*Calculateur!CG81*Calculateur!CI81*VLOOKUP('Données projet'!$B$12,Paramètres!$A$1:$I$89,3,0)*0.475*44/12</f>
        <v>36.213828372717366</v>
      </c>
      <c r="CM81" s="21">
        <f>EXP(-LN(2)/2)*CM80+(1-EXP(-LN(2)/2))/(LN(2)/2)*CG81*CJ81*VLOOKUP('Données projet'!$B$12,Paramètres!$A$1:$I$89,3,0)*0.475*44/12</f>
        <v>0.43124674873727015</v>
      </c>
      <c r="CN81" s="22">
        <f t="shared" si="66"/>
        <v>216.77703566353867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</v>
      </c>
      <c r="CT81" s="12">
        <f>IF('Données projet'!$A$140&gt;35,CT80+CS81-DB80,IF(A81&lt;'Données projet'!$A$140,$CQ$205^A81,IF(A81='Données projet'!$A$140,'Données projet'!$B$140,CT80+CS81-DB80)))</f>
        <v>590</v>
      </c>
      <c r="CU81" s="17">
        <f>CT81*VLOOKUP('Données projet'!$B$13,Paramètres!$A$1:$I$89,3,0)*VLOOKUP('Données projet'!$B$13,Paramètres!$A$1:$I$89,5,0)</f>
        <v>276.12</v>
      </c>
      <c r="CV81" s="13">
        <f t="shared" si="95"/>
        <v>66.146388626624258</v>
      </c>
      <c r="CW81" s="20">
        <f t="shared" si="67"/>
        <v>596.11396019137055</v>
      </c>
      <c r="CX81" s="59">
        <f t="shared" si="68"/>
        <v>866.03739822579678</v>
      </c>
      <c r="CY81" s="59">
        <f ca="1">AVERAGE(OFFSET($CX$3,0,0,'Données projet'!$E$13+1,1))-AVERAGE(OFFSET($H$3,0,0,'Données projet'!$E$13+1,1))</f>
        <v>379.16472924112111</v>
      </c>
      <c r="CZ81" s="59">
        <f t="shared" si="96"/>
        <v>273.18950868898253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19.430906361023311</v>
      </c>
      <c r="DG81" s="21">
        <f>EXP(-LN(2)/25)*DG80+(1-EXP(-LN(2)/25))/(LN(2)/25)*Calculateur!DB81*Calculateur!DD81*VLOOKUP('Données projet'!$B$13,Paramètres!$A$1:$I$89,3,0)*0.475*44/12</f>
        <v>13.725267926404573</v>
      </c>
      <c r="DH81" s="21">
        <f>EXP(-LN(2)/2)*DH80+(1-EXP(-LN(2)/2))/(LN(2)/2)*DB81*DE81*VLOOKUP('Données projet'!$B$13,Paramètres!$A$1:$I$89,3,0)*0.475*44/12</f>
        <v>0.24799219169991799</v>
      </c>
      <c r="DI81" s="22">
        <f t="shared" si="69"/>
        <v>33.404166479127802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15.6</v>
      </c>
      <c r="DO81" s="12">
        <f>IF('Données projet'!$A$166&gt;35,DO80+DN81-DW80,IF(A81&lt;'Données projet'!$A$166,$DL$205^A81,IF(A81='Données projet'!$A$166,'Données projet'!$B$166,DO80+DN81-DW80)))</f>
        <v>808.80000000000064</v>
      </c>
      <c r="DP81" s="17">
        <f>DO81*VLOOKUP('Données projet'!$B$14,Paramètres!$A$1:$I$89,3,0)*VLOOKUP('Données projet'!$B$14,Paramètres!$A$1:$I$89,5,0)</f>
        <v>325.94640000000027</v>
      </c>
      <c r="DQ81" s="13">
        <f t="shared" si="97"/>
        <v>76.589288887456121</v>
      </c>
      <c r="DR81" s="20">
        <f t="shared" si="70"/>
        <v>701.08299147898651</v>
      </c>
      <c r="DS81" s="59">
        <f t="shared" si="71"/>
        <v>971.00642951341274</v>
      </c>
      <c r="DT81" s="59">
        <f ca="1">AVERAGE(OFFSET($DS$3,0,0,'Données projet'!$E$14+1,1))-AVERAGE(OFFSET($H$3,0,0,'Données projet'!$E$14+1,1))</f>
        <v>419.35339339286082</v>
      </c>
      <c r="DU81" s="59">
        <f t="shared" si="98"/>
        <v>359.03308141414709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71.465364773231215</v>
      </c>
      <c r="EB81" s="21">
        <f>EXP(-LN(2)/25)*EB80+(1-EXP(-LN(2)/25))/(LN(2)/25)*Calculateur!DW81*Calculateur!DY81*VLOOKUP('Données projet'!$B$14,Paramètres!$A$1:$I$89,3,0)*0.475*44/12</f>
        <v>20.69130898420104</v>
      </c>
      <c r="EC81" s="21">
        <f>EXP(-LN(2)/2)*EC80+(1-EXP(-LN(2)/2))/(LN(2)/2)*DW81*DZ81*VLOOKUP('Données projet'!$B$14,Paramètres!$A$1:$I$89,3,0)*0.475*44/12</f>
        <v>0.84047139414601224</v>
      </c>
      <c r="ED81" s="22">
        <f t="shared" si="72"/>
        <v>92.997145151578266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9.6</v>
      </c>
      <c r="EJ81" s="12">
        <f>IF('Données projet'!$A$192&gt;35,EJ80+EI81-ER80,IF(A81&lt;'Données projet'!$A$192,$EG$205^A81,IF(A81='Données projet'!$A$192,'Données projet'!$B$192,EJ80+EI81-ER80)))</f>
        <v>1000.8000000000002</v>
      </c>
      <c r="EK81" s="17">
        <f>EJ81*VLOOKUP('Données projet'!$B$15,Paramètres!$A$1:$I$89,3,0)*VLOOKUP('Données projet'!$B$15,Paramètres!$A$1:$I$89,5,0)</f>
        <v>442.35360000000014</v>
      </c>
      <c r="EL81" s="13">
        <f t="shared" si="99"/>
        <v>100.31226886805121</v>
      </c>
      <c r="EM81" s="20">
        <f t="shared" si="73"/>
        <v>945.14305494518931</v>
      </c>
      <c r="EN81" s="59">
        <f t="shared" si="74"/>
        <v>1215.0664929796155</v>
      </c>
      <c r="EO81" s="59">
        <f ca="1">AVERAGE(OFFSET($EN$3,0,0,'Données projet'!$E$15+1,1))-AVERAGE(OFFSET($H$3,0,0,'Données projet'!$E$15+1,1))</f>
        <v>561.50881628354409</v>
      </c>
      <c r="EP81" s="59">
        <f t="shared" si="100"/>
        <v>468.67708352238458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73.850005541874026</v>
      </c>
      <c r="EW81" s="21">
        <f>EXP(-LN(2)/25)*EW80+(1-EXP(-LN(2)/25))/(LN(2)/25)*Calculateur!ER81*Calculateur!ET81*VLOOKUP('Données projet'!$B$15,Paramètres!$A$1:$I$89,3,0)*0.475*44/12</f>
        <v>25.857435816629639</v>
      </c>
      <c r="EX81" s="21">
        <f>EXP(-LN(2)/2)*EX80+(1-EXP(-LN(2)/2))/(LN(2)/2)*ER81*EU81*VLOOKUP('Données projet'!$B$15,Paramètres!$A$1:$I$89,3,0)*0.475*44/12</f>
        <v>0.66213238725342838</v>
      </c>
      <c r="EY81" s="22">
        <f t="shared" si="75"/>
        <v>100.36957374575709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312.79999999999995</v>
      </c>
      <c r="O82" s="13">
        <f>N82*VLOOKUP('Données projet'!$B$9,Paramètres!$A$1:$I$89,3,0)*VLOOKUP('Données projet'!$B$9,Paramètres!$A$1:$I$89,5,0)</f>
        <v>283.02143999999993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881.00415088284831</v>
      </c>
      <c r="S82" s="59">
        <f ca="1">AVERAGE(OFFSET($R$3,0,0,'Données projet'!$E$9+1,1))-AVERAGE(OFFSET($H$3,0,0,'Données projet'!$E$9+1,1))</f>
        <v>484.04602944257209</v>
      </c>
      <c r="T82" s="59">
        <f t="shared" si="88"/>
        <v>297.32483725004124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254.99999999999994</v>
      </c>
      <c r="AJ82" s="13">
        <f>AI82*VLOOKUP('Données projet'!$B$10,Paramètres!$A$1:$I$89,3,0)*VLOOKUP('Données projet'!$B$10,Paramètres!$A$1:$I$89,5,0)</f>
        <v>290.39399999999995</v>
      </c>
      <c r="AK82" s="13">
        <f t="shared" si="89"/>
        <v>69.158878594433091</v>
      </c>
      <c r="AL82" s="20">
        <f t="shared" si="58"/>
        <v>626.22126355197076</v>
      </c>
      <c r="AM82" s="59">
        <f t="shared" si="59"/>
        <v>896.55081093314766</v>
      </c>
      <c r="AN82" s="59">
        <f ca="1">AVERAGE(OFFSET($AM$3,0,0,'Données projet'!$E$10+1,1))-AVERAGE(OFFSET($H$3,0,0,'Données projet'!$E$10+1,1))</f>
        <v>493.74122500490859</v>
      </c>
      <c r="AO82" s="59">
        <f t="shared" si="90"/>
        <v>299.43985151679692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22.824787152482685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22.824787152482685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210.53760000000005</v>
      </c>
      <c r="BF82" s="13">
        <f t="shared" si="91"/>
        <v>52.053047337322276</v>
      </c>
      <c r="BG82" s="20">
        <f t="shared" si="61"/>
        <v>457.34537744583628</v>
      </c>
      <c r="BH82" s="59">
        <f t="shared" si="62"/>
        <v>727.67492482701323</v>
      </c>
      <c r="BI82" s="59">
        <f ca="1">AVERAGE(OFFSET($BH$3,0,0,'Données projet'!$E$11+1,1))-AVERAGE(OFFSET($H$3,0,0,'Données projet'!$E$11+1,1))</f>
        <v>364.64276939439014</v>
      </c>
      <c r="BJ82" s="59">
        <f t="shared" si="92"/>
        <v>341.7578598026638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23.18930266034112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23.18930266034112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3.4106051316484809E-13</v>
      </c>
      <c r="BZ82" s="13">
        <f>BY82*VLOOKUP('Données projet'!$B$12,Paramètres!$A$1:$I$89,3,0)*VLOOKUP('Données projet'!$B$12,Paramètres!$A$1:$I$89,5,0)</f>
        <v>2.0395418687257919E-13</v>
      </c>
      <c r="CA82" s="13">
        <f t="shared" si="93"/>
        <v>2.8200388570161721E-12</v>
      </c>
      <c r="CB82" s="20">
        <f t="shared" si="64"/>
        <v>5.2667878847729083E-12</v>
      </c>
      <c r="CC82" s="59">
        <f t="shared" si="65"/>
        <v>270.32954738118224</v>
      </c>
      <c r="CD82" s="59">
        <f ca="1">AVERAGE(OFFSET($CC$3,0,0,'Données projet'!$E$12+1,1))-AVERAGE(OFFSET($H$3,0,0,'Données projet'!$E$12+1,1))</f>
        <v>435.81281313761326</v>
      </c>
      <c r="CE82" s="59">
        <f t="shared" si="94"/>
        <v>460.93390058676493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176.59968266550098</v>
      </c>
      <c r="CL82" s="21">
        <f>EXP(-LN(2)/25)*CL81+(1-EXP(-LN(2)/25))/(LN(2)/25)*Calculateur!CG82*Calculateur!CI82*VLOOKUP('Données projet'!$B$12,Paramètres!$A$1:$I$89,3,0)*0.475*44/12</f>
        <v>35.223559331462944</v>
      </c>
      <c r="CM82" s="21">
        <f>EXP(-LN(2)/2)*CM81+(1-EXP(-LN(2)/2))/(LN(2)/2)*CG82*CJ82*VLOOKUP('Données projet'!$B$12,Paramètres!$A$1:$I$89,3,0)*0.475*44/12</f>
        <v>0.30493750039677492</v>
      </c>
      <c r="CN82" s="22">
        <f t="shared" si="66"/>
        <v>212.12817949736069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</v>
      </c>
      <c r="CT82" s="12">
        <f>IF('Données projet'!$A$140&gt;35,CT81+CS82-DB81,IF(A82&lt;'Données projet'!$A$140,$CQ$205^A82,IF(A82='Données projet'!$A$140,'Données projet'!$B$140,CT81+CS82-DB81)))</f>
        <v>600</v>
      </c>
      <c r="CU82" s="17">
        <f>CT82*VLOOKUP('Données projet'!$B$13,Paramètres!$A$1:$I$89,3,0)*VLOOKUP('Données projet'!$B$13,Paramètres!$A$1:$I$89,5,0)</f>
        <v>280.8</v>
      </c>
      <c r="CV82" s="13">
        <f t="shared" si="95"/>
        <v>67.136043795470286</v>
      </c>
      <c r="CW82" s="20">
        <f t="shared" si="67"/>
        <v>605.98860961044409</v>
      </c>
      <c r="CX82" s="59">
        <f t="shared" si="68"/>
        <v>876.31815699162098</v>
      </c>
      <c r="CY82" s="59">
        <f ca="1">AVERAGE(OFFSET($CX$3,0,0,'Données projet'!$E$13+1,1))-AVERAGE(OFFSET($H$3,0,0,'Données projet'!$E$13+1,1))</f>
        <v>379.16472924112111</v>
      </c>
      <c r="CZ82" s="59">
        <f t="shared" si="96"/>
        <v>273.18950868898253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19.049878138966267</v>
      </c>
      <c r="DG82" s="21">
        <f>EXP(-LN(2)/25)*DG81+(1-EXP(-LN(2)/25))/(LN(2)/25)*Calculateur!DB82*Calculateur!DD82*VLOOKUP('Données projet'!$B$13,Paramètres!$A$1:$I$89,3,0)*0.475*44/12</f>
        <v>13.349949753176569</v>
      </c>
      <c r="DH82" s="21">
        <f>EXP(-LN(2)/2)*DH81+(1-EXP(-LN(2)/2))/(LN(2)/2)*DB82*DE82*VLOOKUP('Données projet'!$B$13,Paramètres!$A$1:$I$89,3,0)*0.475*44/12</f>
        <v>0.17535696043232626</v>
      </c>
      <c r="DI82" s="22">
        <f t="shared" si="69"/>
        <v>32.575184852575163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15.6</v>
      </c>
      <c r="DO82" s="12">
        <f>IF('Données projet'!$A$166&gt;35,DO81+DN82-DW81,IF(A82&lt;'Données projet'!$A$166,$DL$205^A82,IF(A82='Données projet'!$A$166,'Données projet'!$B$166,DO81+DN82-DW81)))</f>
        <v>824.40000000000066</v>
      </c>
      <c r="DP82" s="17">
        <f>DO82*VLOOKUP('Données projet'!$B$14,Paramètres!$A$1:$I$89,3,0)*VLOOKUP('Données projet'!$B$14,Paramètres!$A$1:$I$89,5,0)</f>
        <v>332.23320000000024</v>
      </c>
      <c r="DQ82" s="13">
        <f t="shared" si="97"/>
        <v>77.893124611174727</v>
      </c>
      <c r="DR82" s="20">
        <f t="shared" si="70"/>
        <v>714.30334869779642</v>
      </c>
      <c r="DS82" s="59">
        <f t="shared" si="71"/>
        <v>984.63289607897332</v>
      </c>
      <c r="DT82" s="59">
        <f ca="1">AVERAGE(OFFSET($DS$3,0,0,'Données projet'!$E$14+1,1))-AVERAGE(OFFSET($H$3,0,0,'Données projet'!$E$14+1,1))</f>
        <v>419.35339339286082</v>
      </c>
      <c r="DU82" s="59">
        <f t="shared" si="98"/>
        <v>359.03308141414709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70.06397255959655</v>
      </c>
      <c r="EB82" s="21">
        <f>EXP(-LN(2)/25)*EB81+(1-EXP(-LN(2)/25))/(LN(2)/25)*Calculateur!DW82*Calculateur!DY82*VLOOKUP('Données projet'!$B$14,Paramètres!$A$1:$I$89,3,0)*0.475*44/12</f>
        <v>20.125504051919414</v>
      </c>
      <c r="EC82" s="21">
        <f>EXP(-LN(2)/2)*EC81+(1-EXP(-LN(2)/2))/(LN(2)/2)*DW82*DZ82*VLOOKUP('Données projet'!$B$14,Paramètres!$A$1:$I$89,3,0)*0.475*44/12</f>
        <v>0.59430302219395681</v>
      </c>
      <c r="ED82" s="22">
        <f t="shared" si="72"/>
        <v>90.783779633709926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9.6</v>
      </c>
      <c r="EJ82" s="12">
        <f>IF('Données projet'!$A$192&gt;35,EJ81+EI82-ER81,IF(A82&lt;'Données projet'!$A$192,$EG$205^A82,IF(A82='Données projet'!$A$192,'Données projet'!$B$192,EJ81+EI82-ER81)))</f>
        <v>1010.4000000000002</v>
      </c>
      <c r="EK82" s="17">
        <f>EJ82*VLOOKUP('Données projet'!$B$15,Paramètres!$A$1:$I$89,3,0)*VLOOKUP('Données projet'!$B$15,Paramètres!$A$1:$I$89,5,0)</f>
        <v>446.59680000000014</v>
      </c>
      <c r="EL82" s="13">
        <f t="shared" si="99"/>
        <v>101.16202055573901</v>
      </c>
      <c r="EM82" s="20">
        <f t="shared" si="73"/>
        <v>954.01327913457897</v>
      </c>
      <c r="EN82" s="59">
        <f t="shared" si="74"/>
        <v>1224.3428265157559</v>
      </c>
      <c r="EO82" s="59">
        <f ca="1">AVERAGE(OFFSET($EN$3,0,0,'Données projet'!$E$15+1,1))-AVERAGE(OFFSET($H$3,0,0,'Données projet'!$E$15+1,1))</f>
        <v>561.50881628354409</v>
      </c>
      <c r="EP82" s="59">
        <f t="shared" si="100"/>
        <v>468.67708352238458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72.401851977253529</v>
      </c>
      <c r="EW82" s="21">
        <f>EXP(-LN(2)/25)*EW81+(1-EXP(-LN(2)/25))/(LN(2)/25)*Calculateur!ER82*Calculateur!ET82*VLOOKUP('Données projet'!$B$15,Paramètres!$A$1:$I$89,3,0)*0.475*44/12</f>
        <v>25.15036287444045</v>
      </c>
      <c r="EX82" s="21">
        <f>EXP(-LN(2)/2)*EX81+(1-EXP(-LN(2)/2))/(LN(2)/2)*ER82*EU82*VLOOKUP('Données projet'!$B$15,Paramètres!$A$1:$I$89,3,0)*0.475*44/12</f>
        <v>0.46819830107013638</v>
      </c>
      <c r="EY82" s="22">
        <f t="shared" si="75"/>
        <v>98.020413152764107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319.99999999999994</v>
      </c>
      <c r="O83" s="13">
        <f>N83*VLOOKUP('Données projet'!$B$9,Paramètres!$A$1:$I$89,3,0)*VLOOKUP('Données projet'!$B$9,Paramètres!$A$1:$I$89,5,0)</f>
        <v>289.53599999999994</v>
      </c>
      <c r="P83" s="13">
        <f t="shared" si="87"/>
        <v>68.97829509904436</v>
      </c>
      <c r="Q83" s="20">
        <f t="shared" si="54"/>
        <v>624.41239729750214</v>
      </c>
      <c r="R83" s="59">
        <f t="shared" si="55"/>
        <v>895.1410089361882</v>
      </c>
      <c r="S83" s="59">
        <f ca="1">AVERAGE(OFFSET($R$3,0,0,'Données projet'!$E$9+1,1))-AVERAGE(OFFSET($H$3,0,0,'Données projet'!$E$9+1,1))</f>
        <v>484.04602944257209</v>
      </c>
      <c r="T83" s="59">
        <f t="shared" si="88"/>
        <v>297.32483725004124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260.99999999999994</v>
      </c>
      <c r="AJ83" s="13">
        <f>AI83*VLOOKUP('Données projet'!$B$10,Paramètres!$A$1:$I$89,3,0)*VLOOKUP('Données projet'!$B$10,Paramètres!$A$1:$I$89,5,0)</f>
        <v>297.22679999999991</v>
      </c>
      <c r="AK83" s="13">
        <f t="shared" si="89"/>
        <v>70.59478037753864</v>
      </c>
      <c r="AL83" s="20">
        <f t="shared" si="58"/>
        <v>640.62258582421293</v>
      </c>
      <c r="AM83" s="59">
        <f t="shared" si="59"/>
        <v>911.35119746289911</v>
      </c>
      <c r="AN83" s="59">
        <f ca="1">AVERAGE(OFFSET($AM$3,0,0,'Données projet'!$E$10+1,1))-AVERAGE(OFFSET($H$3,0,0,'Données projet'!$E$10+1,1))</f>
        <v>493.74122500490859</v>
      </c>
      <c r="AO83" s="59">
        <f t="shared" si="90"/>
        <v>299.43985151679692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29.19797958054129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29.19797958054129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214.03200000000004</v>
      </c>
      <c r="BF83" s="13">
        <f t="shared" si="91"/>
        <v>52.815701536972242</v>
      </c>
      <c r="BG83" s="20">
        <f t="shared" si="61"/>
        <v>464.75974684356009</v>
      </c>
      <c r="BH83" s="59">
        <f t="shared" si="62"/>
        <v>735.48835848224621</v>
      </c>
      <c r="BI83" s="59">
        <f ca="1">AVERAGE(OFFSET($BH$3,0,0,'Données projet'!$E$11+1,1))-AVERAGE(OFFSET($H$3,0,0,'Données projet'!$E$11+1,1))</f>
        <v>364.64276939439014</v>
      </c>
      <c r="BJ83" s="59">
        <f t="shared" si="92"/>
        <v>341.7578598026638</v>
      </c>
      <c r="BK83" s="15">
        <f>IF(ISNA(VLOOKUP(A83,'Données projet'!$A$87:$I$107,3,0)),0,VLOOKUP(A83,'Données projet'!$A$87:$I$107,3,0))</f>
        <v>15</v>
      </c>
      <c r="BL83" s="21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0.30099999999999999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27.094885819123174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27.094885819123174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3.4106051316484809E-13</v>
      </c>
      <c r="BZ83" s="13">
        <f>BY83*VLOOKUP('Données projet'!$B$12,Paramètres!$A$1:$I$89,3,0)*VLOOKUP('Données projet'!$B$12,Paramètres!$A$1:$I$89,5,0)</f>
        <v>2.0395418687257919E-13</v>
      </c>
      <c r="CA83" s="13">
        <f t="shared" si="93"/>
        <v>2.8200388570161721E-12</v>
      </c>
      <c r="CB83" s="20">
        <f t="shared" si="64"/>
        <v>5.2667878847729083E-12</v>
      </c>
      <c r="CC83" s="59">
        <f t="shared" si="65"/>
        <v>270.7286116386914</v>
      </c>
      <c r="CD83" s="59">
        <f ca="1">AVERAGE(OFFSET($CC$3,0,0,'Données projet'!$E$12+1,1))-AVERAGE(OFFSET($H$3,0,0,'Données projet'!$E$12+1,1))</f>
        <v>435.81281313761326</v>
      </c>
      <c r="CE83" s="59">
        <f t="shared" si="94"/>
        <v>460.93390058676493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173.13667060360095</v>
      </c>
      <c r="CL83" s="21">
        <f>EXP(-LN(2)/25)*CL82+(1-EXP(-LN(2)/25))/(LN(2)/25)*Calculateur!CG83*Calculateur!CI83*VLOOKUP('Données projet'!$B$12,Paramètres!$A$1:$I$89,3,0)*0.475*44/12</f>
        <v>34.260369249217611</v>
      </c>
      <c r="CM83" s="21">
        <f>EXP(-LN(2)/2)*CM82+(1-EXP(-LN(2)/2))/(LN(2)/2)*CG83*CJ83*VLOOKUP('Données projet'!$B$12,Paramètres!$A$1:$I$89,3,0)*0.475*44/12</f>
        <v>0.21562337436863507</v>
      </c>
      <c r="CN83" s="22">
        <f t="shared" si="66"/>
        <v>207.6126632271872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610</v>
      </c>
      <c r="CR83" s="12">
        <f>VLOOKUP(A83,'Données projet'!$A$139:$I$159,9,0)</f>
        <v>10</v>
      </c>
      <c r="CS83" s="12">
        <f t="array" ref="CS83">INDEX(CR:CR,MIN(IF(ISNUMBER(CR83:CR279),ROW(CR83:CR279),"")))</f>
        <v>10</v>
      </c>
      <c r="CT83" s="12">
        <f>IF('Données projet'!$A$140&gt;35,CT82+CS83-DB82,IF(A83&lt;'Données projet'!$A$140,$CQ$205^A83,IF(A83='Données projet'!$A$140,'Données projet'!$B$140,CT82+CS83-DB82)))</f>
        <v>610</v>
      </c>
      <c r="CU83" s="17">
        <f>CT83*VLOOKUP('Données projet'!$B$13,Paramètres!$A$1:$I$89,3,0)*VLOOKUP('Données projet'!$B$13,Paramètres!$A$1:$I$89,5,0)</f>
        <v>285.48</v>
      </c>
      <c r="CV83" s="13">
        <f t="shared" si="95"/>
        <v>68.123780800530767</v>
      </c>
      <c r="CW83" s="20">
        <f t="shared" si="67"/>
        <v>615.85991822759104</v>
      </c>
      <c r="CX83" s="59">
        <f t="shared" si="68"/>
        <v>886.58852986627721</v>
      </c>
      <c r="CY83" s="59">
        <f ca="1">AVERAGE(OFFSET($CX$3,0,0,'Données projet'!$E$13+1,1))-AVERAGE(OFFSET($H$3,0,0,'Données projet'!$E$13+1,1))</f>
        <v>379.16472924112111</v>
      </c>
      <c r="CZ83" s="59">
        <f t="shared" si="96"/>
        <v>273.18950868898253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30</v>
      </c>
      <c r="DC83" s="16">
        <f>IF(ISNA(VLOOKUP(A83,'Données projet'!$A$139:$I$159,5,0)),0%,VLOOKUP(A83,'Données projet'!$A$139:$I$159,5,0)*VLOOKUP('Données projet'!$B$13,Paramètres!$A$1:$I$89,7,0))</f>
        <v>0.38500000000000001</v>
      </c>
      <c r="DD83" s="16">
        <f>IF(ISNA(VLOOKUP(A83,'Données projet'!$A$139:$I$159,6,0)),0%,VLOOKUP(A83,'Données projet'!$A$139:$I$159,6,0)*VLOOKUP('Données projet'!$B$13,Paramètres!$A$1:$I$89,7,0))</f>
        <v>9.3500000000000014E-2</v>
      </c>
      <c r="DE83" s="16">
        <f>IF(ISNA(VLOOKUP(A83,'Données projet'!$A$139:$I$159,7,0)),0%,VLOOKUP(A83,'Données projet'!$A$139:$I$159,7,0))</f>
        <v>0.13</v>
      </c>
      <c r="DF83" s="21">
        <f>EXP(-LN(2)/35)*DF82+(1-EXP(-LN(2)/35))/(LN(2)/35)*DB83*DC83*VLOOKUP('Données projet'!$B$13,Paramètres!$A$1:$I$89,3,0)*0.475*44/12</f>
        <v>25.846933155372383</v>
      </c>
      <c r="DG83" s="21">
        <f>EXP(-LN(2)/25)*DG82+(1-EXP(-LN(2)/25))/(LN(2)/25)*Calculateur!DB83*Calculateur!DD83*VLOOKUP('Données projet'!$B$13,Paramètres!$A$1:$I$89,3,0)*0.475*44/12</f>
        <v>14.719472208290981</v>
      </c>
      <c r="DH83" s="21">
        <f>EXP(-LN(2)/2)*DH82+(1-EXP(-LN(2)/2))/(LN(2)/2)*DB83*DE83*VLOOKUP('Données projet'!$B$13,Paramètres!$A$1:$I$89,3,0)*0.475*44/12</f>
        <v>2.1905464852952643</v>
      </c>
      <c r="DI83" s="22">
        <f t="shared" si="69"/>
        <v>42.756951848958629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840</v>
      </c>
      <c r="DM83" s="12">
        <f>VLOOKUP(A83,'Données projet'!$A$165:$I$185,9,0)</f>
        <v>15.6</v>
      </c>
      <c r="DN83" s="12">
        <f t="array" ref="DN83">INDEX(DM:DM,MIN(IF(ISNUMBER(DM83:DM279),ROW(DM83:DM279),"")))</f>
        <v>15.6</v>
      </c>
      <c r="DO83" s="12">
        <f>IF('Données projet'!$A$166&gt;35,DO82+DN83-DW82,IF(A83&lt;'Données projet'!$A$166,$DL$205^A83,IF(A83='Données projet'!$A$166,'Données projet'!$B$166,DO82+DN83-DW82)))</f>
        <v>840.00000000000068</v>
      </c>
      <c r="DP83" s="17">
        <f>DO83*VLOOKUP('Données projet'!$B$14,Paramètres!$A$1:$I$89,3,0)*VLOOKUP('Données projet'!$B$14,Paramètres!$A$1:$I$89,5,0)</f>
        <v>338.52000000000027</v>
      </c>
      <c r="DQ83" s="13">
        <f t="shared" si="97"/>
        <v>79.194091459626776</v>
      </c>
      <c r="DR83" s="20">
        <f t="shared" si="70"/>
        <v>727.51870929218376</v>
      </c>
      <c r="DS83" s="59">
        <f t="shared" si="71"/>
        <v>998.24732093086982</v>
      </c>
      <c r="DT83" s="59">
        <f ca="1">AVERAGE(OFFSET($DS$3,0,0,'Données projet'!$E$14+1,1))-AVERAGE(OFFSET($H$3,0,0,'Données projet'!$E$14+1,1))</f>
        <v>419.35339339286082</v>
      </c>
      <c r="DU83" s="59">
        <f t="shared" si="98"/>
        <v>359.03308141414709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840</v>
      </c>
      <c r="DX83" s="16">
        <f>IF(ISNA(VLOOKUP(A83,'Données projet'!$A$165:$I$185,5,0)),0%,VLOOKUP(A83,'Données projet'!$A$165:$I$185,5,0)*VLOOKUP('Données projet'!$B$14,Paramètres!$A$1:$I$89,7,0))</f>
        <v>0.44000000000000006</v>
      </c>
      <c r="DY83" s="16">
        <f>IF(ISNA(VLOOKUP(A83,'Données projet'!$A$165:$I$185,6,0)),0%,VLOOKUP(A83,'Données projet'!$A$165:$I$185,6,0)*VLOOKUP('Données projet'!$B$14,Paramètres!$A$1:$I$89,7,0))</f>
        <v>6.0500000000000005E-2</v>
      </c>
      <c r="DZ83" s="16">
        <f>IF(ISNA(VLOOKUP(A83,'Données projet'!$A$165:$I$185,7,0)),0%,VLOOKUP(A83,'Données projet'!$A$165:$I$185,7,0))</f>
        <v>0.09</v>
      </c>
      <c r="EA83" s="21">
        <f>EXP(-LN(2)/35)*EA82+(1-EXP(-LN(2)/35))/(LN(2)/35)*DW83*DX83*VLOOKUP('Données projet'!$B$14,Paramètres!$A$1:$I$89,3,0)*0.475*44/12</f>
        <v>266.28024455287948</v>
      </c>
      <c r="EB83" s="21">
        <f>EXP(-LN(2)/25)*EB82+(1-EXP(-LN(2)/25))/(LN(2)/25)*Calculateur!DW83*Calculateur!DY83*VLOOKUP('Données projet'!$B$14,Paramètres!$A$1:$I$89,3,0)*0.475*44/12</f>
        <v>46.63684802414798</v>
      </c>
      <c r="EC83" s="21">
        <f>EXP(-LN(2)/2)*EC82+(1-EXP(-LN(2)/2))/(LN(2)/2)*DW83*DZ83*VLOOKUP('Données projet'!$B$14,Paramètres!$A$1:$I$89,3,0)*0.475*44/12</f>
        <v>34.915730659352327</v>
      </c>
      <c r="ED83" s="22">
        <f t="shared" si="72"/>
        <v>347.8328232363798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1020</v>
      </c>
      <c r="EH83" s="12">
        <f>VLOOKUP(A83,'Données projet'!$A$191:$I$211,9,0)</f>
        <v>9.6</v>
      </c>
      <c r="EI83" s="12">
        <f t="array" ref="EI83">INDEX(EH:EH,MIN(IF(ISNUMBER(EH83:EH279),ROW(EH83:EH279),"")))</f>
        <v>9.6</v>
      </c>
      <c r="EJ83" s="12">
        <f>IF('Données projet'!$A$192&gt;35,EJ82+EI83-ER82,IF(A83&lt;'Données projet'!$A$192,$EG$205^A83,IF(A83='Données projet'!$A$192,'Données projet'!$B$192,EJ82+EI83-ER82)))</f>
        <v>1020.0000000000002</v>
      </c>
      <c r="EK83" s="17">
        <f>EJ83*VLOOKUP('Données projet'!$B$15,Paramètres!$A$1:$I$89,3,0)*VLOOKUP('Données projet'!$B$15,Paramètres!$A$1:$I$89,5,0)</f>
        <v>450.8400000000002</v>
      </c>
      <c r="EL83" s="13">
        <f t="shared" si="99"/>
        <v>102.01083297506658</v>
      </c>
      <c r="EM83" s="20">
        <f t="shared" si="73"/>
        <v>962.88186743157473</v>
      </c>
      <c r="EN83" s="59">
        <f t="shared" si="74"/>
        <v>1233.6104790702609</v>
      </c>
      <c r="EO83" s="59">
        <f ca="1">AVERAGE(OFFSET($EN$3,0,0,'Données projet'!$E$15+1,1))-AVERAGE(OFFSET($H$3,0,0,'Données projet'!$E$15+1,1))</f>
        <v>561.50881628354409</v>
      </c>
      <c r="EP83" s="59">
        <f t="shared" si="100"/>
        <v>468.67708352238458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1020</v>
      </c>
      <c r="ES83" s="16">
        <f>IF(ISNA(VLOOKUP(A83,'Données projet'!$A$191:$I$211,5,0)),0%,VLOOKUP(A83,'Données projet'!$A$191:$I$211,5,0)*VLOOKUP('Données projet'!$B$15,Paramètres!$A$1:$I$89,7,0))</f>
        <v>0.44000000000000006</v>
      </c>
      <c r="ET83" s="16">
        <f>IF(ISNA(VLOOKUP(A83,'Données projet'!$A$191:$I$211,6,0)),0%,VLOOKUP(A83,'Données projet'!$A$191:$I$211,6,0)*VLOOKUP('Données projet'!$B$15,Paramètres!$A$1:$I$89,7,0))</f>
        <v>6.0500000000000005E-2</v>
      </c>
      <c r="EU83" s="16">
        <f>IF(ISNA(VLOOKUP(A83,'Données projet'!$A$191:$I$211,7,0)),0%,VLOOKUP(A83,'Données projet'!$A$191:$I$211,7,0))</f>
        <v>0.09</v>
      </c>
      <c r="EV83" s="21">
        <f>EXP(-LN(2)/35)*EV82+(1-EXP(-LN(2)/35))/(LN(2)/35)*ER83*ES83*VLOOKUP('Données projet'!$B$15,Paramètres!$A$1:$I$89,3,0)*0.475*44/12</f>
        <v>334.13215622050831</v>
      </c>
      <c r="EW83" s="21">
        <f>EXP(-LN(2)/25)*EW82+(1-EXP(-LN(2)/25))/(LN(2)/25)*Calculateur!ER83*Calculateur!ET83*VLOOKUP('Données projet'!$B$15,Paramètres!$A$1:$I$89,3,0)*0.475*44/12</f>
        <v>60.503291401329378</v>
      </c>
      <c r="EX83" s="21">
        <f>EXP(-LN(2)/2)*EX82+(1-EXP(-LN(2)/2))/(LN(2)/2)*ER83*EU83*VLOOKUP('Données projet'!$B$15,Paramètres!$A$1:$I$89,3,0)*0.475*44/12</f>
        <v>46.272071005141576</v>
      </c>
      <c r="EY83" s="22">
        <f t="shared" si="75"/>
        <v>440.90751862697925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298.79999999999995</v>
      </c>
      <c r="O84" s="13">
        <f>N84*VLOOKUP('Données projet'!$B$9,Paramètres!$A$1:$I$89,3,0)*VLOOKUP('Données projet'!$B$9,Paramètres!$A$1:$I$89,5,0)</f>
        <v>270.35423999999995</v>
      </c>
      <c r="P84" s="13">
        <f t="shared" si="87"/>
        <v>64.924442218534367</v>
      </c>
      <c r="Q84" s="20">
        <f t="shared" si="54"/>
        <v>583.94370486394712</v>
      </c>
      <c r="R84" s="59">
        <f t="shared" si="55"/>
        <v>855.0644578874485</v>
      </c>
      <c r="S84" s="59">
        <f ca="1">AVERAGE(OFFSET($R$3,0,0,'Données projet'!$E$9+1,1))-AVERAGE(OFFSET($H$3,0,0,'Données projet'!$E$9+1,1))</f>
        <v>484.04602944257209</v>
      </c>
      <c r="T84" s="59">
        <f t="shared" si="88"/>
        <v>297.32483725004124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245.79999999999995</v>
      </c>
      <c r="AJ84" s="13">
        <f>AI84*VLOOKUP('Données projet'!$B$10,Paramètres!$A$1:$I$89,3,0)*VLOOKUP('Données projet'!$B$10,Paramètres!$A$1:$I$89,5,0)</f>
        <v>279.91703999999999</v>
      </c>
      <c r="AK84" s="13">
        <f t="shared" si="89"/>
        <v>66.949476745941027</v>
      </c>
      <c r="AL84" s="20">
        <f t="shared" si="58"/>
        <v>604.12584999918056</v>
      </c>
      <c r="AM84" s="59">
        <f t="shared" si="59"/>
        <v>875.24660302268194</v>
      </c>
      <c r="AN84" s="59">
        <f ca="1">AVERAGE(OFFSET($AM$3,0,0,'Données projet'!$E$10+1,1))-AVERAGE(OFFSET($H$3,0,0,'Données projet'!$E$10+1,1))</f>
        <v>493.74122500490859</v>
      </c>
      <c r="AO84" s="59">
        <f t="shared" si="90"/>
        <v>299.43985151679692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28.625425009975924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28.625425009975924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204.07296000000005</v>
      </c>
      <c r="BF84" s="13">
        <f t="shared" si="91"/>
        <v>50.638228095278635</v>
      </c>
      <c r="BG84" s="20">
        <f t="shared" si="61"/>
        <v>443.62198593261041</v>
      </c>
      <c r="BH84" s="59">
        <f t="shared" si="62"/>
        <v>714.74273895611191</v>
      </c>
      <c r="BI84" s="59">
        <f ca="1">AVERAGE(OFFSET($BH$3,0,0,'Données projet'!$E$11+1,1))-AVERAGE(OFFSET($H$3,0,0,'Données projet'!$E$11+1,1))</f>
        <v>364.64276939439014</v>
      </c>
      <c r="BJ84" s="59">
        <f t="shared" si="92"/>
        <v>341.7578598026638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26.563571634458686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26.563571634458686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3.4106051316484809E-13</v>
      </c>
      <c r="BZ84" s="13">
        <f>BY84*VLOOKUP('Données projet'!$B$12,Paramètres!$A$1:$I$89,3,0)*VLOOKUP('Données projet'!$B$12,Paramètres!$A$1:$I$89,5,0)</f>
        <v>2.0395418687257919E-13</v>
      </c>
      <c r="CA84" s="13">
        <f t="shared" si="93"/>
        <v>2.8200388570161721E-12</v>
      </c>
      <c r="CB84" s="20">
        <f t="shared" si="64"/>
        <v>5.2667878847729083E-12</v>
      </c>
      <c r="CC84" s="59">
        <f t="shared" si="65"/>
        <v>271.12075302350672</v>
      </c>
      <c r="CD84" s="59">
        <f ca="1">AVERAGE(OFFSET($CC$3,0,0,'Données projet'!$E$12+1,1))-AVERAGE(OFFSET($H$3,0,0,'Données projet'!$E$12+1,1))</f>
        <v>435.81281313761326</v>
      </c>
      <c r="CE84" s="59">
        <f t="shared" si="94"/>
        <v>460.93390058676493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169.74156609600598</v>
      </c>
      <c r="CL84" s="21">
        <f>EXP(-LN(2)/25)*CL83+(1-EXP(-LN(2)/25))/(LN(2)/25)*Calculateur!CG84*Calculateur!CI84*VLOOKUP('Données projet'!$B$12,Paramètres!$A$1:$I$89,3,0)*0.475*44/12</f>
        <v>33.323517650423241</v>
      </c>
      <c r="CM84" s="21">
        <f>EXP(-LN(2)/2)*CM83+(1-EXP(-LN(2)/2))/(LN(2)/2)*CG84*CJ84*VLOOKUP('Données projet'!$B$12,Paramètres!$A$1:$I$89,3,0)*0.475*44/12</f>
        <v>0.15246875019838746</v>
      </c>
      <c r="CN84" s="22">
        <f t="shared" si="66"/>
        <v>203.2175524966276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</v>
      </c>
      <c r="CT84" s="12">
        <f>IF('Données projet'!$A$140&gt;35,CT83+CS84-DB83,IF(A84&lt;'Données projet'!$A$140,$CQ$205^A84,IF(A84='Données projet'!$A$140,'Données projet'!$B$140,CT83+CS84-DB83)))</f>
        <v>586</v>
      </c>
      <c r="CU84" s="17">
        <f>CT84*VLOOKUP('Données projet'!$B$13,Paramètres!$A$1:$I$89,3,0)*VLOOKUP('Données projet'!$B$13,Paramètres!$A$1:$I$89,5,0)</f>
        <v>274.24799999999999</v>
      </c>
      <c r="CV84" s="13">
        <f t="shared" si="95"/>
        <v>65.749981378063481</v>
      </c>
      <c r="CW84" s="20">
        <f t="shared" si="67"/>
        <v>592.16315090012722</v>
      </c>
      <c r="CX84" s="59">
        <f t="shared" si="68"/>
        <v>863.28390392362871</v>
      </c>
      <c r="CY84" s="59">
        <f ca="1">AVERAGE(OFFSET($CX$3,0,0,'Données projet'!$E$13+1,1))-AVERAGE(OFFSET($H$3,0,0,'Données projet'!$E$13+1,1))</f>
        <v>379.16472924112111</v>
      </c>
      <c r="CZ84" s="59">
        <f t="shared" si="96"/>
        <v>273.18950868898253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25.340090561268084</v>
      </c>
      <c r="DG84" s="21">
        <f>EXP(-LN(2)/25)*DG83+(1-EXP(-LN(2)/25))/(LN(2)/25)*Calculateur!DB84*Calculateur!DD84*VLOOKUP('Données projet'!$B$13,Paramètres!$A$1:$I$89,3,0)*0.475*44/12</f>
        <v>14.316967466691862</v>
      </c>
      <c r="DH84" s="21">
        <f>EXP(-LN(2)/2)*DH83+(1-EXP(-LN(2)/2))/(LN(2)/2)*DB84*DE84*VLOOKUP('Données projet'!$B$13,Paramètres!$A$1:$I$89,3,0)*0.475*44/12</f>
        <v>1.5489502742566392</v>
      </c>
      <c r="DI84" s="22">
        <f t="shared" si="69"/>
        <v>41.206008302216588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6.8212102632969618E-13</v>
      </c>
      <c r="DP84" s="17">
        <f>DO84*VLOOKUP('Données projet'!$B$14,Paramètres!$A$1:$I$89,3,0)*VLOOKUP('Données projet'!$B$14,Paramètres!$A$1:$I$89,5,0)</f>
        <v>2.7489477361086753E-13</v>
      </c>
      <c r="DQ84" s="13">
        <f t="shared" si="97"/>
        <v>3.6711283554998768E-12</v>
      </c>
      <c r="DR84" s="20">
        <f t="shared" si="70"/>
        <v>6.8726569498678791E-12</v>
      </c>
      <c r="DS84" s="59">
        <f t="shared" si="71"/>
        <v>271.12075302350831</v>
      </c>
      <c r="DT84" s="59">
        <f ca="1">AVERAGE(OFFSET($DS$3,0,0,'Données projet'!$E$14+1,1))-AVERAGE(OFFSET($H$3,0,0,'Données projet'!$E$14+1,1))</f>
        <v>419.35339339286082</v>
      </c>
      <c r="DU84" s="59">
        <f t="shared" si="98"/>
        <v>359.03308141414709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261.05865137210952</v>
      </c>
      <c r="EB84" s="21">
        <f>EXP(-LN(2)/25)*EB83+(1-EXP(-LN(2)/25))/(LN(2)/25)*Calculateur!DW84*Calculateur!DY84*VLOOKUP('Données projet'!$B$14,Paramètres!$A$1:$I$89,3,0)*0.475*44/12</f>
        <v>45.361560962402407</v>
      </c>
      <c r="EC84" s="21">
        <f>EXP(-LN(2)/2)*EC83+(1-EXP(-LN(2)/2))/(LN(2)/2)*DW84*DZ84*VLOOKUP('Données projet'!$B$14,Paramètres!$A$1:$I$89,3,0)*0.475*44/12</f>
        <v>24.689149919311077</v>
      </c>
      <c r="ED84" s="22">
        <f t="shared" si="72"/>
        <v>331.10936225382301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2.2737367544323206E-13</v>
      </c>
      <c r="EK84" s="17">
        <f>EJ84*VLOOKUP('Données projet'!$B$15,Paramètres!$A$1:$I$89,3,0)*VLOOKUP('Données projet'!$B$15,Paramètres!$A$1:$I$89,5,0)</f>
        <v>1.0049916454590858E-13</v>
      </c>
      <c r="EL84" s="13">
        <f t="shared" si="99"/>
        <v>1.5089081593838289E-12</v>
      </c>
      <c r="EM84" s="20">
        <f t="shared" si="73"/>
        <v>2.8030510891776262E-12</v>
      </c>
      <c r="EN84" s="59">
        <f t="shared" si="74"/>
        <v>271.12075302350422</v>
      </c>
      <c r="EO84" s="59">
        <f ca="1">AVERAGE(OFFSET($EN$3,0,0,'Données projet'!$E$15+1,1))-AVERAGE(OFFSET($H$3,0,0,'Données projet'!$E$15+1,1))</f>
        <v>561.50881628354409</v>
      </c>
      <c r="EP84" s="59">
        <f t="shared" si="100"/>
        <v>468.67708352238458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327.58002843751581</v>
      </c>
      <c r="EW84" s="21">
        <f>EXP(-LN(2)/25)*EW83+(1-EXP(-LN(2)/25))/(LN(2)/25)*Calculateur!ER84*Calculateur!ET84*VLOOKUP('Données projet'!$B$15,Paramètres!$A$1:$I$89,3,0)*0.475*44/12</f>
        <v>58.848825716230216</v>
      </c>
      <c r="EX84" s="21">
        <f>EXP(-LN(2)/2)*EX83+(1-EXP(-LN(2)/2))/(LN(2)/2)*ER84*EU84*VLOOKUP('Données projet'!$B$15,Paramètres!$A$1:$I$89,3,0)*0.475*44/12</f>
        <v>32.719295187281034</v>
      </c>
      <c r="EY84" s="22">
        <f t="shared" si="75"/>
        <v>419.14814934102708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305.59999999999997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868.436484365365</v>
      </c>
      <c r="S85" s="59">
        <f ca="1">AVERAGE(OFFSET($R$3,0,0,'Données projet'!$E$9+1,1))-AVERAGE(OFFSET($H$3,0,0,'Données projet'!$E$9+1,1))</f>
        <v>484.04602944257209</v>
      </c>
      <c r="T85" s="59">
        <f t="shared" si="88"/>
        <v>297.32483725004124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251.59999999999997</v>
      </c>
      <c r="AJ85" s="13">
        <f>AI85*VLOOKUP('Données projet'!$B$10,Paramètres!$A$1:$I$89,3,0)*VLOOKUP('Données projet'!$B$10,Paramètres!$A$1:$I$89,5,0)</f>
        <v>286.52207999999996</v>
      </c>
      <c r="AK85" s="13">
        <f t="shared" si="89"/>
        <v>68.343459361010702</v>
      </c>
      <c r="AL85" s="20">
        <f t="shared" si="58"/>
        <v>618.05748105376017</v>
      </c>
      <c r="AM85" s="59">
        <f t="shared" si="59"/>
        <v>889.5635726857472</v>
      </c>
      <c r="AN85" s="59">
        <f ca="1">AVERAGE(OFFSET($AM$3,0,0,'Données projet'!$E$10+1,1))-AVERAGE(OFFSET($H$3,0,0,'Données projet'!$E$10+1,1))</f>
        <v>493.74122500490859</v>
      </c>
      <c r="AO85" s="59">
        <f t="shared" si="90"/>
        <v>299.43985151679692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28.06409788531554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28.06409788531554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207.21792000000005</v>
      </c>
      <c r="BF85" s="13">
        <f t="shared" si="91"/>
        <v>51.327160141561521</v>
      </c>
      <c r="BG85" s="20">
        <f t="shared" si="61"/>
        <v>450.29934791321972</v>
      </c>
      <c r="BH85" s="59">
        <f t="shared" si="62"/>
        <v>721.80543954520681</v>
      </c>
      <c r="BI85" s="59">
        <f ca="1">AVERAGE(OFFSET($BH$3,0,0,'Données projet'!$E$11+1,1))-AVERAGE(OFFSET($H$3,0,0,'Données projet'!$E$11+1,1))</f>
        <v>364.64276939439014</v>
      </c>
      <c r="BJ85" s="59">
        <f t="shared" si="92"/>
        <v>341.7578598026638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26.042676196885814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26.042676196885814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3.4106051316484809E-13</v>
      </c>
      <c r="BZ85" s="13">
        <f>BY85*VLOOKUP('Données projet'!$B$12,Paramètres!$A$1:$I$89,3,0)*VLOOKUP('Données projet'!$B$12,Paramètres!$A$1:$I$89,5,0)</f>
        <v>2.0395418687257919E-13</v>
      </c>
      <c r="CA85" s="13">
        <f t="shared" si="93"/>
        <v>2.8200388570161721E-12</v>
      </c>
      <c r="CB85" s="20">
        <f t="shared" si="64"/>
        <v>5.2667878847729083E-12</v>
      </c>
      <c r="CC85" s="59">
        <f t="shared" si="65"/>
        <v>271.50609163199232</v>
      </c>
      <c r="CD85" s="59">
        <f ca="1">AVERAGE(OFFSET($CC$3,0,0,'Données projet'!$E$12+1,1))-AVERAGE(OFFSET($H$3,0,0,'Données projet'!$E$12+1,1))</f>
        <v>435.81281313761326</v>
      </c>
      <c r="CE85" s="59">
        <f t="shared" si="94"/>
        <v>460.93390058676493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166.41303751699567</v>
      </c>
      <c r="CL85" s="21">
        <f>EXP(-LN(2)/25)*CL84+(1-EXP(-LN(2)/25))/(LN(2)/25)*Calculateur!CG85*Calculateur!CI85*VLOOKUP('Données projet'!$B$12,Paramètres!$A$1:$I$89,3,0)*0.475*44/12</f>
        <v>32.412284307864788</v>
      </c>
      <c r="CM85" s="21">
        <f>EXP(-LN(2)/2)*CM84+(1-EXP(-LN(2)/2))/(LN(2)/2)*CG85*CJ85*VLOOKUP('Données projet'!$B$12,Paramètres!$A$1:$I$89,3,0)*0.475*44/12</f>
        <v>0.10781168718431754</v>
      </c>
      <c r="CN85" s="22">
        <f t="shared" si="66"/>
        <v>198.93313351204478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</v>
      </c>
      <c r="CT85" s="12">
        <f>IF('Données projet'!$A$140&gt;35,CT84+CS85-DB84,IF(A85&lt;'Données projet'!$A$140,$CQ$205^A85,IF(A85='Données projet'!$A$140,'Données projet'!$B$140,CT84+CS85-DB84)))</f>
        <v>592</v>
      </c>
      <c r="CU85" s="17">
        <f>CT85*VLOOKUP('Données projet'!$B$13,Paramètres!$A$1:$I$89,3,0)*VLOOKUP('Données projet'!$B$13,Paramètres!$A$1:$I$89,5,0)</f>
        <v>277.05600000000004</v>
      </c>
      <c r="CV85" s="13">
        <f t="shared" si="95"/>
        <v>66.344474838897852</v>
      </c>
      <c r="CW85" s="20">
        <f t="shared" si="67"/>
        <v>598.0891603444137</v>
      </c>
      <c r="CX85" s="59">
        <f t="shared" si="68"/>
        <v>869.59525197640073</v>
      </c>
      <c r="CY85" s="59">
        <f ca="1">AVERAGE(OFFSET($CX$3,0,0,'Données projet'!$E$13+1,1))-AVERAGE(OFFSET($H$3,0,0,'Données projet'!$E$13+1,1))</f>
        <v>379.16472924112111</v>
      </c>
      <c r="CZ85" s="59">
        <f t="shared" si="96"/>
        <v>273.18950868898253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24.843186841290713</v>
      </c>
      <c r="DG85" s="21">
        <f>EXP(-LN(2)/25)*DG84+(1-EXP(-LN(2)/25))/(LN(2)/25)*Calculateur!DB85*Calculateur!DD85*VLOOKUP('Données projet'!$B$13,Paramètres!$A$1:$I$89,3,0)*0.475*44/12</f>
        <v>13.925469238418575</v>
      </c>
      <c r="DH85" s="21">
        <f>EXP(-LN(2)/2)*DH84+(1-EXP(-LN(2)/2))/(LN(2)/2)*DB85*DE85*VLOOKUP('Données projet'!$B$13,Paramètres!$A$1:$I$89,3,0)*0.475*44/12</f>
        <v>1.0952732426476322</v>
      </c>
      <c r="DI85" s="22">
        <f t="shared" si="69"/>
        <v>39.863929322356917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6.8212102632969618E-13</v>
      </c>
      <c r="DP85" s="17">
        <f>DO85*VLOOKUP('Données projet'!$B$14,Paramètres!$A$1:$I$89,3,0)*VLOOKUP('Données projet'!$B$14,Paramètres!$A$1:$I$89,5,0)</f>
        <v>2.7489477361086753E-13</v>
      </c>
      <c r="DQ85" s="13">
        <f t="shared" si="97"/>
        <v>3.6711283554998768E-12</v>
      </c>
      <c r="DR85" s="20">
        <f t="shared" si="70"/>
        <v>6.8726569498678791E-12</v>
      </c>
      <c r="DS85" s="59">
        <f t="shared" si="71"/>
        <v>271.50609163199391</v>
      </c>
      <c r="DT85" s="59">
        <f ca="1">AVERAGE(OFFSET($DS$3,0,0,'Données projet'!$E$14+1,1))-AVERAGE(OFFSET($H$3,0,0,'Données projet'!$E$14+1,1))</f>
        <v>419.35339339286082</v>
      </c>
      <c r="DU85" s="59">
        <f t="shared" si="98"/>
        <v>359.03308141414709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255.93945044875713</v>
      </c>
      <c r="EB85" s="21">
        <f>EXP(-LN(2)/25)*EB84+(1-EXP(-LN(2)/25))/(LN(2)/25)*Calculateur!DW85*Calculateur!DY85*VLOOKUP('Données projet'!$B$14,Paramètres!$A$1:$I$89,3,0)*0.475*44/12</f>
        <v>44.121146692424695</v>
      </c>
      <c r="EC85" s="21">
        <f>EXP(-LN(2)/2)*EC84+(1-EXP(-LN(2)/2))/(LN(2)/2)*DW85*DZ85*VLOOKUP('Données projet'!$B$14,Paramètres!$A$1:$I$89,3,0)*0.475*44/12</f>
        <v>17.457865329676167</v>
      </c>
      <c r="ED85" s="22">
        <f t="shared" si="72"/>
        <v>317.51846247085797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2.2737367544323206E-13</v>
      </c>
      <c r="EK85" s="17">
        <f>EJ85*VLOOKUP('Données projet'!$B$15,Paramètres!$A$1:$I$89,3,0)*VLOOKUP('Données projet'!$B$15,Paramètres!$A$1:$I$89,5,0)</f>
        <v>1.0049916454590858E-13</v>
      </c>
      <c r="EL85" s="13">
        <f t="shared" si="99"/>
        <v>1.5089081593838289E-12</v>
      </c>
      <c r="EM85" s="20">
        <f t="shared" si="73"/>
        <v>2.8030510891776262E-12</v>
      </c>
      <c r="EN85" s="59">
        <f t="shared" si="74"/>
        <v>271.50609163198982</v>
      </c>
      <c r="EO85" s="59">
        <f ca="1">AVERAGE(OFFSET($EN$3,0,0,'Données projet'!$E$15+1,1))-AVERAGE(OFFSET($H$3,0,0,'Données projet'!$E$15+1,1))</f>
        <v>561.50881628354409</v>
      </c>
      <c r="EP85" s="59">
        <f t="shared" si="100"/>
        <v>468.67708352238458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321.15638388394444</v>
      </c>
      <c r="EW85" s="21">
        <f>EXP(-LN(2)/25)*EW84+(1-EXP(-LN(2)/25))/(LN(2)/25)*Calculateur!ER85*Calculateur!ET85*VLOOKUP('Données projet'!$B$15,Paramètres!$A$1:$I$89,3,0)*0.475*44/12</f>
        <v>57.23960148229466</v>
      </c>
      <c r="EX85" s="21">
        <f>EXP(-LN(2)/2)*EX84+(1-EXP(-LN(2)/2))/(LN(2)/2)*ER85*EU85*VLOOKUP('Données projet'!$B$15,Paramètres!$A$1:$I$89,3,0)*0.475*44/12</f>
        <v>23.136035502570788</v>
      </c>
      <c r="EY85" s="22">
        <f t="shared" si="75"/>
        <v>401.53202086880987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312.39999999999998</v>
      </c>
      <c r="O86" s="13">
        <f>N86*VLOOKUP('Données projet'!$B$9,Paramètres!$A$1:$I$89,3,0)*VLOOKUP('Données projet'!$B$9,Paramètres!$A$1:$I$89,5,0)</f>
        <v>282.65951999999999</v>
      </c>
      <c r="P86" s="13">
        <f t="shared" si="87"/>
        <v>67.528732309967324</v>
      </c>
      <c r="Q86" s="20">
        <f t="shared" si="54"/>
        <v>609.91120610652638</v>
      </c>
      <c r="R86" s="59">
        <f t="shared" si="55"/>
        <v>881.79595158362986</v>
      </c>
      <c r="S86" s="59">
        <f ca="1">AVERAGE(OFFSET($R$3,0,0,'Données projet'!$E$9+1,1))-AVERAGE(OFFSET($H$3,0,0,'Données projet'!$E$9+1,1))</f>
        <v>484.04602944257209</v>
      </c>
      <c r="T86" s="59">
        <f t="shared" si="88"/>
        <v>297.32483725004124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257.39999999999998</v>
      </c>
      <c r="AJ86" s="13">
        <f>AI86*VLOOKUP('Données projet'!$B$10,Paramètres!$A$1:$I$89,3,0)*VLOOKUP('Données projet'!$B$10,Paramètres!$A$1:$I$89,5,0)</f>
        <v>293.12711999999999</v>
      </c>
      <c r="AK86" s="13">
        <f t="shared" si="89"/>
        <v>69.733706157234352</v>
      </c>
      <c r="AL86" s="20">
        <f t="shared" si="58"/>
        <v>631.98260555718309</v>
      </c>
      <c r="AM86" s="59">
        <f t="shared" si="59"/>
        <v>903.86735103428657</v>
      </c>
      <c r="AN86" s="59">
        <f ca="1">AVERAGE(OFFSET($AM$3,0,0,'Données projet'!$E$10+1,1))-AVERAGE(OFFSET($H$3,0,0,'Données projet'!$E$10+1,1))</f>
        <v>493.74122500490859</v>
      </c>
      <c r="AO86" s="59">
        <f t="shared" si="90"/>
        <v>299.43985151679692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27.513778043194009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27.513778043194009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210.36288000000002</v>
      </c>
      <c r="BF86" s="13">
        <f t="shared" si="91"/>
        <v>52.014876138342963</v>
      </c>
      <c r="BG86" s="20">
        <f t="shared" si="61"/>
        <v>456.97459194094728</v>
      </c>
      <c r="BH86" s="59">
        <f t="shared" si="62"/>
        <v>728.8593374180507</v>
      </c>
      <c r="BI86" s="59">
        <f ca="1">AVERAGE(OFFSET($BH$3,0,0,'Données projet'!$E$11+1,1))-AVERAGE(OFFSET($H$3,0,0,'Données projet'!$E$11+1,1))</f>
        <v>364.64276939439014</v>
      </c>
      <c r="BJ86" s="59">
        <f t="shared" si="92"/>
        <v>341.7578598026638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25.531995201128904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25.531995201128904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3.4106051316484809E-13</v>
      </c>
      <c r="BZ86" s="13">
        <f>BY86*VLOOKUP('Données projet'!$B$12,Paramètres!$A$1:$I$89,3,0)*VLOOKUP('Données projet'!$B$12,Paramètres!$A$1:$I$89,5,0)</f>
        <v>2.0395418687257919E-13</v>
      </c>
      <c r="CA86" s="13">
        <f t="shared" si="93"/>
        <v>2.8200388570161721E-12</v>
      </c>
      <c r="CB86" s="20">
        <f t="shared" si="64"/>
        <v>5.2667878847729083E-12</v>
      </c>
      <c r="CC86" s="59">
        <f t="shared" si="65"/>
        <v>271.88474547710877</v>
      </c>
      <c r="CD86" s="59">
        <f ca="1">AVERAGE(OFFSET($CC$3,0,0,'Données projet'!$E$12+1,1))-AVERAGE(OFFSET($H$3,0,0,'Données projet'!$E$12+1,1))</f>
        <v>435.81281313761326</v>
      </c>
      <c r="CE86" s="59">
        <f t="shared" si="94"/>
        <v>460.93390058676493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163.14977935321778</v>
      </c>
      <c r="CL86" s="21">
        <f>EXP(-LN(2)/25)*CL85+(1-EXP(-LN(2)/25))/(LN(2)/25)*Calculateur!CG86*Calculateur!CI86*VLOOKUP('Données projet'!$B$12,Paramètres!$A$1:$I$89,3,0)*0.475*44/12</f>
        <v>31.525968688978274</v>
      </c>
      <c r="CM86" s="21">
        <f>EXP(-LN(2)/2)*CM85+(1-EXP(-LN(2)/2))/(LN(2)/2)*CG86*CJ86*VLOOKUP('Données projet'!$B$12,Paramètres!$A$1:$I$89,3,0)*0.475*44/12</f>
        <v>7.623437509919373E-2</v>
      </c>
      <c r="CN86" s="22">
        <f t="shared" si="66"/>
        <v>194.75198241729527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</v>
      </c>
      <c r="CT86" s="12">
        <f>IF('Données projet'!$A$140&gt;35,CT85+CS86-DB85,IF(A86&lt;'Données projet'!$A$140,$CQ$205^A86,IF(A86='Données projet'!$A$140,'Données projet'!$B$140,CT85+CS86-DB85)))</f>
        <v>598</v>
      </c>
      <c r="CU86" s="17">
        <f>CT86*VLOOKUP('Données projet'!$B$13,Paramètres!$A$1:$I$89,3,0)*VLOOKUP('Données projet'!$B$13,Paramètres!$A$1:$I$89,5,0)</f>
        <v>279.86400000000003</v>
      </c>
      <c r="CV86" s="13">
        <f t="shared" si="95"/>
        <v>66.938267358965064</v>
      </c>
      <c r="CW86" s="20">
        <f t="shared" si="67"/>
        <v>604.01394898353078</v>
      </c>
      <c r="CX86" s="59">
        <f t="shared" si="68"/>
        <v>875.89869446063426</v>
      </c>
      <c r="CY86" s="59">
        <f ca="1">AVERAGE(OFFSET($CX$3,0,0,'Données projet'!$E$13+1,1))-AVERAGE(OFFSET($H$3,0,0,'Données projet'!$E$13+1,1))</f>
        <v>379.16472924112111</v>
      </c>
      <c r="CZ86" s="59">
        <f t="shared" si="96"/>
        <v>273.18950868898253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24.356027100180757</v>
      </c>
      <c r="DG86" s="21">
        <f>EXP(-LN(2)/25)*DG85+(1-EXP(-LN(2)/25))/(LN(2)/25)*Calculateur!DB86*Calculateur!DD86*VLOOKUP('Données projet'!$B$13,Paramètres!$A$1:$I$89,3,0)*0.475*44/12</f>
        <v>13.54467654978542</v>
      </c>
      <c r="DH86" s="21">
        <f>EXP(-LN(2)/2)*DH85+(1-EXP(-LN(2)/2))/(LN(2)/2)*DB86*DE86*VLOOKUP('Données projet'!$B$13,Paramètres!$A$1:$I$89,3,0)*0.475*44/12</f>
        <v>0.77447513712831961</v>
      </c>
      <c r="DI86" s="22">
        <f t="shared" si="69"/>
        <v>38.675178787094495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6.8212102632969618E-13</v>
      </c>
      <c r="DP86" s="17">
        <f>DO86*VLOOKUP('Données projet'!$B$14,Paramètres!$A$1:$I$89,3,0)*VLOOKUP('Données projet'!$B$14,Paramètres!$A$1:$I$89,5,0)</f>
        <v>2.7489477361086753E-13</v>
      </c>
      <c r="DQ86" s="13">
        <f t="shared" si="97"/>
        <v>3.6711283554998768E-12</v>
      </c>
      <c r="DR86" s="20">
        <f t="shared" si="70"/>
        <v>6.8726569498678791E-12</v>
      </c>
      <c r="DS86" s="59">
        <f t="shared" si="71"/>
        <v>271.88474547711036</v>
      </c>
      <c r="DT86" s="59">
        <f ca="1">AVERAGE(OFFSET($DS$3,0,0,'Données projet'!$E$14+1,1))-AVERAGE(OFFSET($H$3,0,0,'Données projet'!$E$14+1,1))</f>
        <v>419.35339339286082</v>
      </c>
      <c r="DU86" s="59">
        <f t="shared" si="98"/>
        <v>359.03308141414709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250.92063393310741</v>
      </c>
      <c r="EB86" s="21">
        <f>EXP(-LN(2)/25)*EB85+(1-EXP(-LN(2)/25))/(LN(2)/25)*Calculateur!DW86*Calculateur!DY86*VLOOKUP('Données projet'!$B$14,Paramètres!$A$1:$I$89,3,0)*0.475*44/12</f>
        <v>42.914651615890079</v>
      </c>
      <c r="EC86" s="21">
        <f>EXP(-LN(2)/2)*EC85+(1-EXP(-LN(2)/2))/(LN(2)/2)*DW86*DZ86*VLOOKUP('Données projet'!$B$14,Paramètres!$A$1:$I$89,3,0)*0.475*44/12</f>
        <v>12.344574959655541</v>
      </c>
      <c r="ED86" s="22">
        <f t="shared" si="72"/>
        <v>306.17986050865301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2.2737367544323206E-13</v>
      </c>
      <c r="EK86" s="17">
        <f>EJ86*VLOOKUP('Données projet'!$B$15,Paramètres!$A$1:$I$89,3,0)*VLOOKUP('Données projet'!$B$15,Paramètres!$A$1:$I$89,5,0)</f>
        <v>1.0049916454590858E-13</v>
      </c>
      <c r="EL86" s="13">
        <f t="shared" si="99"/>
        <v>1.5089081593838289E-12</v>
      </c>
      <c r="EM86" s="20">
        <f t="shared" si="73"/>
        <v>2.8030510891776262E-12</v>
      </c>
      <c r="EN86" s="59">
        <f t="shared" si="74"/>
        <v>271.88474547710626</v>
      </c>
      <c r="EO86" s="59">
        <f ca="1">AVERAGE(OFFSET($EN$3,0,0,'Données projet'!$E$15+1,1))-AVERAGE(OFFSET($H$3,0,0,'Données projet'!$E$15+1,1))</f>
        <v>561.50881628354409</v>
      </c>
      <c r="EP86" s="59">
        <f t="shared" si="100"/>
        <v>468.67708352238458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314.85870308203232</v>
      </c>
      <c r="EW86" s="21">
        <f>EXP(-LN(2)/25)*EW85+(1-EXP(-LN(2)/25))/(LN(2)/25)*Calculateur!ER86*Calculateur!ET86*VLOOKUP('Données projet'!$B$15,Paramètres!$A$1:$I$89,3,0)*0.475*44/12</f>
        <v>55.674381569661492</v>
      </c>
      <c r="EX86" s="21">
        <f>EXP(-LN(2)/2)*EX85+(1-EXP(-LN(2)/2))/(LN(2)/2)*ER86*EU86*VLOOKUP('Données projet'!$B$15,Paramètres!$A$1:$I$89,3,0)*0.475*44/12</f>
        <v>16.359647593640517</v>
      </c>
      <c r="EY86" s="22">
        <f t="shared" si="75"/>
        <v>386.89273224533429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</v>
      </c>
      <c r="O87" s="13">
        <f>N87*VLOOKUP('Données projet'!$B$9,Paramètres!$A$1:$I$89,3,0)*VLOOKUP('Données projet'!$B$9,Paramètres!$A$1:$I$89,5,0)</f>
        <v>288.81215999999995</v>
      </c>
      <c r="P87" s="13">
        <f t="shared" si="87"/>
        <v>68.825899854238159</v>
      </c>
      <c r="Q87" s="20">
        <f t="shared" si="54"/>
        <v>622.88628757946469</v>
      </c>
      <c r="R87" s="59">
        <f t="shared" si="55"/>
        <v>895.143118104015</v>
      </c>
      <c r="S87" s="59">
        <f ca="1">AVERAGE(OFFSET($R$3,0,0,'Données projet'!$E$9+1,1))-AVERAGE(OFFSET($H$3,0,0,'Données projet'!$E$9+1,1))</f>
        <v>484.04602944257209</v>
      </c>
      <c r="T87" s="59">
        <f t="shared" si="88"/>
        <v>297.32483725004124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263.2</v>
      </c>
      <c r="AJ87" s="13">
        <f>AI87*VLOOKUP('Données projet'!$B$10,Paramètres!$A$1:$I$89,3,0)*VLOOKUP('Données projet'!$B$10,Paramètres!$A$1:$I$89,5,0)</f>
        <v>299.73216000000002</v>
      </c>
      <c r="AK87" s="13">
        <f t="shared" si="89"/>
        <v>71.120311005285956</v>
      </c>
      <c r="AL87" s="20">
        <f t="shared" si="58"/>
        <v>645.90138700087311</v>
      </c>
      <c r="AM87" s="59">
        <f t="shared" si="59"/>
        <v>918.15821752542342</v>
      </c>
      <c r="AN87" s="59">
        <f ca="1">AVERAGE(OFFSET($AM$3,0,0,'Données projet'!$E$10+1,1))-AVERAGE(OFFSET($H$3,0,0,'Données projet'!$E$10+1,1))</f>
        <v>493.74122500490859</v>
      </c>
      <c r="AO87" s="59">
        <f t="shared" si="90"/>
        <v>299.43985151679692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26.974249637514522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26.974249637514522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213.50784000000002</v>
      </c>
      <c r="BF87" s="13">
        <f t="shared" si="91"/>
        <v>52.701396365805124</v>
      </c>
      <c r="BG87" s="20">
        <f t="shared" si="61"/>
        <v>463.6477533371106</v>
      </c>
      <c r="BH87" s="59">
        <f t="shared" si="62"/>
        <v>735.90458386166097</v>
      </c>
      <c r="BI87" s="59">
        <f ca="1">AVERAGE(OFFSET($BH$3,0,0,'Données projet'!$E$11+1,1))-AVERAGE(OFFSET($H$3,0,0,'Données projet'!$E$11+1,1))</f>
        <v>364.64276939439014</v>
      </c>
      <c r="BJ87" s="59">
        <f t="shared" si="92"/>
        <v>341.7578598026638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25.031328348214135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25.031328348214135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3.4106051316484809E-13</v>
      </c>
      <c r="BZ87" s="13">
        <f>BY87*VLOOKUP('Données projet'!$B$12,Paramètres!$A$1:$I$89,3,0)*VLOOKUP('Données projet'!$B$12,Paramètres!$A$1:$I$89,5,0)</f>
        <v>2.0395418687257919E-13</v>
      </c>
      <c r="CA87" s="13">
        <f t="shared" si="93"/>
        <v>2.8200388570161721E-12</v>
      </c>
      <c r="CB87" s="20">
        <f t="shared" si="64"/>
        <v>5.2667878847729083E-12</v>
      </c>
      <c r="CC87" s="59">
        <f t="shared" si="65"/>
        <v>272.2568305245556</v>
      </c>
      <c r="CD87" s="59">
        <f ca="1">AVERAGE(OFFSET($CC$3,0,0,'Données projet'!$E$12+1,1))-AVERAGE(OFFSET($H$3,0,0,'Données projet'!$E$12+1,1))</f>
        <v>435.81281313761326</v>
      </c>
      <c r="CE87" s="59">
        <f t="shared" si="94"/>
        <v>460.93390058676493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159.95051169164063</v>
      </c>
      <c r="CL87" s="21">
        <f>EXP(-LN(2)/25)*CL86+(1-EXP(-LN(2)/25))/(LN(2)/25)*Calculateur!CG87*Calculateur!CI87*VLOOKUP('Données projet'!$B$12,Paramètres!$A$1:$I$89,3,0)*0.475*44/12</f>
        <v>30.663889417299522</v>
      </c>
      <c r="CM87" s="21">
        <f>EXP(-LN(2)/2)*CM86+(1-EXP(-LN(2)/2))/(LN(2)/2)*CG87*CJ87*VLOOKUP('Données projet'!$B$12,Paramètres!$A$1:$I$89,3,0)*0.475*44/12</f>
        <v>5.3905843592158768E-2</v>
      </c>
      <c r="CN87" s="22">
        <f t="shared" si="66"/>
        <v>190.6683069525323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</v>
      </c>
      <c r="CT87" s="12">
        <f>IF('Données projet'!$A$140&gt;35,CT86+CS87-DB86,IF(A87&lt;'Données projet'!$A$140,$CQ$205^A87,IF(A87='Données projet'!$A$140,'Données projet'!$B$140,CT86+CS87-DB86)))</f>
        <v>604</v>
      </c>
      <c r="CU87" s="17">
        <f>CT87*VLOOKUP('Données projet'!$B$13,Paramètres!$A$1:$I$89,3,0)*VLOOKUP('Données projet'!$B$13,Paramètres!$A$1:$I$89,5,0)</f>
        <v>282.67200000000003</v>
      </c>
      <c r="CV87" s="13">
        <f t="shared" si="95"/>
        <v>67.531366785420772</v>
      </c>
      <c r="CW87" s="20">
        <f t="shared" si="67"/>
        <v>609.93753048460792</v>
      </c>
      <c r="CX87" s="59">
        <f t="shared" si="68"/>
        <v>882.19436100915823</v>
      </c>
      <c r="CY87" s="59">
        <f ca="1">AVERAGE(OFFSET($CX$3,0,0,'Données projet'!$E$13+1,1))-AVERAGE(OFFSET($H$3,0,0,'Données projet'!$E$13+1,1))</f>
        <v>379.16472924112111</v>
      </c>
      <c r="CZ87" s="59">
        <f t="shared" si="96"/>
        <v>273.18950868898253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23.878420264455865</v>
      </c>
      <c r="DG87" s="21">
        <f>EXP(-LN(2)/25)*DG86+(1-EXP(-LN(2)/25))/(LN(2)/25)*Calculateur!DB87*Calculateur!DD87*VLOOKUP('Données projet'!$B$13,Paramètres!$A$1:$I$89,3,0)*0.475*44/12</f>
        <v>13.174296657247954</v>
      </c>
      <c r="DH87" s="21">
        <f>EXP(-LN(2)/2)*DH86+(1-EXP(-LN(2)/2))/(LN(2)/2)*DB87*DE87*VLOOKUP('Données projet'!$B$13,Paramètres!$A$1:$I$89,3,0)*0.475*44/12</f>
        <v>0.54763662132381608</v>
      </c>
      <c r="DI87" s="22">
        <f t="shared" si="69"/>
        <v>37.600353543027637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6.8212102632969618E-13</v>
      </c>
      <c r="DP87" s="17">
        <f>DO87*VLOOKUP('Données projet'!$B$14,Paramètres!$A$1:$I$89,3,0)*VLOOKUP('Données projet'!$B$14,Paramètres!$A$1:$I$89,5,0)</f>
        <v>2.7489477361086753E-13</v>
      </c>
      <c r="DQ87" s="13">
        <f t="shared" si="97"/>
        <v>3.6711283554998768E-12</v>
      </c>
      <c r="DR87" s="20">
        <f t="shared" si="70"/>
        <v>6.8726569498678791E-12</v>
      </c>
      <c r="DS87" s="59">
        <f t="shared" si="71"/>
        <v>272.25683052455719</v>
      </c>
      <c r="DT87" s="59">
        <f ca="1">AVERAGE(OFFSET($DS$3,0,0,'Données projet'!$E$14+1,1))-AVERAGE(OFFSET($H$3,0,0,'Données projet'!$E$14+1,1))</f>
        <v>419.35339339286082</v>
      </c>
      <c r="DU87" s="59">
        <f t="shared" si="98"/>
        <v>359.03308141414709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246.00023334815378</v>
      </c>
      <c r="EB87" s="21">
        <f>EXP(-LN(2)/25)*EB86+(1-EXP(-LN(2)/25))/(LN(2)/25)*Calculateur!DW87*Calculateur!DY87*VLOOKUP('Données projet'!$B$14,Paramètres!$A$1:$I$89,3,0)*0.475*44/12</f>
        <v>41.741148210670119</v>
      </c>
      <c r="EC87" s="21">
        <f>EXP(-LN(2)/2)*EC86+(1-EXP(-LN(2)/2))/(LN(2)/2)*DW87*DZ87*VLOOKUP('Données projet'!$B$14,Paramètres!$A$1:$I$89,3,0)*0.475*44/12</f>
        <v>8.7289326648380854</v>
      </c>
      <c r="ED87" s="22">
        <f t="shared" si="72"/>
        <v>296.470314223662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2.2737367544323206E-13</v>
      </c>
      <c r="EK87" s="17">
        <f>EJ87*VLOOKUP('Données projet'!$B$15,Paramètres!$A$1:$I$89,3,0)*VLOOKUP('Données projet'!$B$15,Paramètres!$A$1:$I$89,5,0)</f>
        <v>1.0049916454590858E-13</v>
      </c>
      <c r="EL87" s="13">
        <f t="shared" si="99"/>
        <v>1.5089081593838289E-12</v>
      </c>
      <c r="EM87" s="20">
        <f t="shared" si="73"/>
        <v>2.8030510891776262E-12</v>
      </c>
      <c r="EN87" s="59">
        <f t="shared" si="74"/>
        <v>272.2568305245531</v>
      </c>
      <c r="EO87" s="59">
        <f ca="1">AVERAGE(OFFSET($EN$3,0,0,'Données projet'!$E$15+1,1))-AVERAGE(OFFSET($H$3,0,0,'Données projet'!$E$15+1,1))</f>
        <v>561.50881628354409</v>
      </c>
      <c r="EP87" s="59">
        <f t="shared" si="100"/>
        <v>468.67708352238458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308.68451595943969</v>
      </c>
      <c r="EW87" s="21">
        <f>EXP(-LN(2)/25)*EW86+(1-EXP(-LN(2)/25))/(LN(2)/25)*Calculateur!ER87*Calculateur!ET87*VLOOKUP('Données projet'!$B$15,Paramètres!$A$1:$I$89,3,0)*0.475*44/12</f>
        <v>54.151962677850619</v>
      </c>
      <c r="EX87" s="21">
        <f>EXP(-LN(2)/2)*EX86+(1-EXP(-LN(2)/2))/(LN(2)/2)*ER87*EU87*VLOOKUP('Données projet'!$B$15,Paramètres!$A$1:$I$89,3,0)*0.475*44/12</f>
        <v>11.568017751285394</v>
      </c>
      <c r="EY87" s="22">
        <f t="shared" si="75"/>
        <v>374.40449638857569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</v>
      </c>
      <c r="O88" s="13">
        <f>N88*VLOOKUP('Données projet'!$B$9,Paramètres!$A$1:$I$89,3,0)*VLOOKUP('Données projet'!$B$9,Paramètres!$A$1:$I$89,5,0)</f>
        <v>294.96479999999997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908.47823405393478</v>
      </c>
      <c r="S88" s="59">
        <f ca="1">AVERAGE(OFFSET($R$3,0,0,'Données projet'!$E$9+1,1))-AVERAGE(OFFSET($H$3,0,0,'Données projet'!$E$9+1,1))</f>
        <v>484.04602944257209</v>
      </c>
      <c r="T88" s="59">
        <f t="shared" si="88"/>
        <v>297.32483725004124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35.240772072246642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35.240772072246642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269</v>
      </c>
      <c r="AJ88" s="13">
        <f>AI88*VLOOKUP('Données projet'!$B$10,Paramètres!$A$1:$I$89,3,0)*VLOOKUP('Données projet'!$B$10,Paramètres!$A$1:$I$89,5,0)</f>
        <v>306.3372</v>
      </c>
      <c r="AK88" s="13">
        <f t="shared" si="89"/>
        <v>72.503363402445913</v>
      </c>
      <c r="AL88" s="20">
        <f t="shared" si="58"/>
        <v>659.81398125926</v>
      </c>
      <c r="AM88" s="59">
        <f t="shared" si="59"/>
        <v>932.43644198754146</v>
      </c>
      <c r="AN88" s="59">
        <f ca="1">AVERAGE(OFFSET($AM$3,0,0,'Données projet'!$E$10+1,1))-AVERAGE(OFFSET($H$3,0,0,'Données projet'!$E$10+1,1))</f>
        <v>493.74122500490859</v>
      </c>
      <c r="AO88" s="59">
        <f t="shared" si="90"/>
        <v>299.43985151679692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33.266073637163863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33.266073637163863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216.65280000000004</v>
      </c>
      <c r="BF88" s="13">
        <f t="shared" si="91"/>
        <v>53.38674047237982</v>
      </c>
      <c r="BG88" s="20">
        <f t="shared" si="61"/>
        <v>470.3188663227283</v>
      </c>
      <c r="BH88" s="59">
        <f t="shared" si="62"/>
        <v>742.94132705100981</v>
      </c>
      <c r="BI88" s="59">
        <f ca="1">AVERAGE(OFFSET($BH$3,0,0,'Données projet'!$E$11+1,1))-AVERAGE(OFFSET($H$3,0,0,'Données projet'!$E$11+1,1))</f>
        <v>364.64276939439014</v>
      </c>
      <c r="BJ88" s="59">
        <f t="shared" si="92"/>
        <v>341.7578598026638</v>
      </c>
      <c r="BK88" s="15">
        <f>IF(ISNA(VLOOKUP(A88,'Données projet'!$A$87:$I$107,3,0)),0,VLOOKUP(A88,'Données projet'!$A$87:$I$107,3,0))</f>
        <v>16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0.30099999999999999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28.610103090790176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28.610103090790176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3.4106051316484809E-13</v>
      </c>
      <c r="BZ88" s="13">
        <f>BY88*VLOOKUP('Données projet'!$B$12,Paramètres!$A$1:$I$89,3,0)*VLOOKUP('Données projet'!$B$12,Paramètres!$A$1:$I$89,5,0)</f>
        <v>2.0395418687257919E-13</v>
      </c>
      <c r="CA88" s="13">
        <f t="shared" si="93"/>
        <v>2.8200388570161721E-12</v>
      </c>
      <c r="CB88" s="20">
        <f t="shared" si="64"/>
        <v>5.2667878847729083E-12</v>
      </c>
      <c r="CC88" s="59">
        <f t="shared" si="65"/>
        <v>272.6224607282868</v>
      </c>
      <c r="CD88" s="59">
        <f ca="1">AVERAGE(OFFSET($CC$3,0,0,'Données projet'!$E$12+1,1))-AVERAGE(OFFSET($H$3,0,0,'Données projet'!$E$12+1,1))</f>
        <v>435.81281313761326</v>
      </c>
      <c r="CE88" s="59">
        <f t="shared" si="94"/>
        <v>460.93390058676493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156.81397971754643</v>
      </c>
      <c r="CL88" s="21">
        <f>EXP(-LN(2)/25)*CL87+(1-EXP(-LN(2)/25))/(LN(2)/25)*Calculateur!CG88*Calculateur!CI88*VLOOKUP('Données projet'!$B$12,Paramètres!$A$1:$I$89,3,0)*0.475*44/12</f>
        <v>29.825383748639606</v>
      </c>
      <c r="CM88" s="21">
        <f>EXP(-LN(2)/2)*CM87+(1-EXP(-LN(2)/2))/(LN(2)/2)*CG88*CJ88*VLOOKUP('Données projet'!$B$12,Paramètres!$A$1:$I$89,3,0)*0.475*44/12</f>
        <v>3.8117187549596865E-2</v>
      </c>
      <c r="CN88" s="22">
        <f t="shared" si="66"/>
        <v>186.67748065373564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</v>
      </c>
      <c r="CT88" s="12">
        <f>IF('Données projet'!$A$140&gt;35,CT87+CS88-DB87,IF(A88&lt;'Données projet'!$A$140,$CQ$205^A88,IF(A88='Données projet'!$A$140,'Données projet'!$B$140,CT87+CS88-DB87)))</f>
        <v>610</v>
      </c>
      <c r="CU88" s="17">
        <f>CT88*VLOOKUP('Données projet'!$B$13,Paramètres!$A$1:$I$89,3,0)*VLOOKUP('Données projet'!$B$13,Paramètres!$A$1:$I$89,5,0)</f>
        <v>285.48</v>
      </c>
      <c r="CV88" s="13">
        <f t="shared" si="95"/>
        <v>68.123780800530767</v>
      </c>
      <c r="CW88" s="20">
        <f t="shared" si="67"/>
        <v>615.85991822759104</v>
      </c>
      <c r="CX88" s="59">
        <f t="shared" si="68"/>
        <v>888.48237895587249</v>
      </c>
      <c r="CY88" s="59">
        <f ca="1">AVERAGE(OFFSET($CX$3,0,0,'Données projet'!$E$13+1,1))-AVERAGE(OFFSET($H$3,0,0,'Données projet'!$E$13+1,1))</f>
        <v>379.16472924112111</v>
      </c>
      <c r="CZ88" s="59">
        <f t="shared" si="96"/>
        <v>273.18950868898253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23.410179007468134</v>
      </c>
      <c r="DG88" s="21">
        <f>EXP(-LN(2)/25)*DG87+(1-EXP(-LN(2)/25))/(LN(2)/25)*Calculateur!DB88*Calculateur!DD88*VLOOKUP('Données projet'!$B$13,Paramètres!$A$1:$I$89,3,0)*0.475*44/12</f>
        <v>12.814044822349357</v>
      </c>
      <c r="DH88" s="21">
        <f>EXP(-LN(2)/2)*DH87+(1-EXP(-LN(2)/2))/(LN(2)/2)*DB88*DE88*VLOOKUP('Données projet'!$B$13,Paramètres!$A$1:$I$89,3,0)*0.475*44/12</f>
        <v>0.38723756856415981</v>
      </c>
      <c r="DI88" s="22">
        <f t="shared" si="69"/>
        <v>36.61146139838165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6.8212102632969618E-13</v>
      </c>
      <c r="DP88" s="17">
        <f>DO88*VLOOKUP('Données projet'!$B$14,Paramètres!$A$1:$I$89,3,0)*VLOOKUP('Données projet'!$B$14,Paramètres!$A$1:$I$89,5,0)</f>
        <v>2.7489477361086753E-13</v>
      </c>
      <c r="DQ88" s="13">
        <f t="shared" si="97"/>
        <v>3.6711283554998768E-12</v>
      </c>
      <c r="DR88" s="20">
        <f t="shared" si="70"/>
        <v>6.8726569498678791E-12</v>
      </c>
      <c r="DS88" s="59">
        <f t="shared" si="71"/>
        <v>272.62246072828839</v>
      </c>
      <c r="DT88" s="59">
        <f ca="1">AVERAGE(OFFSET($DS$3,0,0,'Données projet'!$E$14+1,1))-AVERAGE(OFFSET($H$3,0,0,'Données projet'!$E$14+1,1))</f>
        <v>419.35339339286082</v>
      </c>
      <c r="DU88" s="59">
        <f t="shared" si="98"/>
        <v>359.03308141414709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241.17631881752308</v>
      </c>
      <c r="EB88" s="21">
        <f>EXP(-LN(2)/25)*EB87+(1-EXP(-LN(2)/25))/(LN(2)/25)*Calculateur!DW88*Calculateur!DY88*VLOOKUP('Données projet'!$B$14,Paramètres!$A$1:$I$89,3,0)*0.475*44/12</f>
        <v>40.599734317777759</v>
      </c>
      <c r="EC88" s="21">
        <f>EXP(-LN(2)/2)*EC87+(1-EXP(-LN(2)/2))/(LN(2)/2)*DW88*DZ88*VLOOKUP('Données projet'!$B$14,Paramètres!$A$1:$I$89,3,0)*0.475*44/12</f>
        <v>6.172287479827772</v>
      </c>
      <c r="ED88" s="22">
        <f t="shared" si="72"/>
        <v>287.94834061512864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2.2737367544323206E-13</v>
      </c>
      <c r="EK88" s="17">
        <f>EJ88*VLOOKUP('Données projet'!$B$15,Paramètres!$A$1:$I$89,3,0)*VLOOKUP('Données projet'!$B$15,Paramètres!$A$1:$I$89,5,0)</f>
        <v>1.0049916454590858E-13</v>
      </c>
      <c r="EL88" s="13">
        <f t="shared" si="99"/>
        <v>1.5089081593838289E-12</v>
      </c>
      <c r="EM88" s="20">
        <f t="shared" si="73"/>
        <v>2.8030510891776262E-12</v>
      </c>
      <c r="EN88" s="59">
        <f t="shared" si="74"/>
        <v>272.6224607282843</v>
      </c>
      <c r="EO88" s="59">
        <f ca="1">AVERAGE(OFFSET($EN$3,0,0,'Données projet'!$E$15+1,1))-AVERAGE(OFFSET($H$3,0,0,'Données projet'!$E$15+1,1))</f>
        <v>561.50881628354409</v>
      </c>
      <c r="EP88" s="59">
        <f t="shared" si="100"/>
        <v>468.67708352238458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302.63140088043883</v>
      </c>
      <c r="EW88" s="21">
        <f>EXP(-LN(2)/25)*EW87+(1-EXP(-LN(2)/25))/(LN(2)/25)*Calculateur!ER88*Calculateur!ET88*VLOOKUP('Données projet'!$B$15,Paramètres!$A$1:$I$89,3,0)*0.475*44/12</f>
        <v>52.671174410696842</v>
      </c>
      <c r="EX88" s="21">
        <f>EXP(-LN(2)/2)*EX87+(1-EXP(-LN(2)/2))/(LN(2)/2)*ER88*EU88*VLOOKUP('Données projet'!$B$15,Paramètres!$A$1:$I$89,3,0)*0.475*44/12</f>
        <v>8.1798237968202585</v>
      </c>
      <c r="EY88" s="22">
        <f t="shared" si="75"/>
        <v>363.48239908795591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304.39999999999998</v>
      </c>
      <c r="O89" s="13">
        <f>N89*VLOOKUP('Données projet'!$B$9,Paramètres!$A$1:$I$89,3,0)*VLOOKUP('Données projet'!$B$9,Paramètres!$A$1:$I$89,5,0)</f>
        <v>275.42111999999997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867.62080338509327</v>
      </c>
      <c r="S89" s="59">
        <f ca="1">AVERAGE(OFFSET($R$3,0,0,'Données projet'!$E$9+1,1))-AVERAGE(OFFSET($H$3,0,0,'Données projet'!$E$9+1,1))</f>
        <v>484.04602944257209</v>
      </c>
      <c r="T89" s="59">
        <f t="shared" si="88"/>
        <v>297.32483725004124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34.549722026658422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34.549722026658422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253.39999999999998</v>
      </c>
      <c r="AJ89" s="13">
        <f>AI89*VLOOKUP('Données projet'!$B$10,Paramètres!$A$1:$I$89,3,0)*VLOOKUP('Données projet'!$B$10,Paramètres!$A$1:$I$89,5,0)</f>
        <v>288.57191999999998</v>
      </c>
      <c r="AK89" s="13">
        <f t="shared" si="89"/>
        <v>68.775310576263252</v>
      </c>
      <c r="AL89" s="20">
        <f t="shared" si="58"/>
        <v>622.37975992032511</v>
      </c>
      <c r="AM89" s="59">
        <f t="shared" si="59"/>
        <v>895.36150798572976</v>
      </c>
      <c r="AN89" s="59">
        <f ca="1">AVERAGE(OFFSET($AM$3,0,0,'Données projet'!$E$10+1,1))-AVERAGE(OFFSET($H$3,0,0,'Données projet'!$E$10+1,1))</f>
        <v>493.74122500490859</v>
      </c>
      <c r="AO89" s="59">
        <f t="shared" si="90"/>
        <v>299.43985151679692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32.613746223440501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32.613746223440501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207.04320000000001</v>
      </c>
      <c r="BF89" s="13">
        <f t="shared" si="91"/>
        <v>51.288918231806321</v>
      </c>
      <c r="BG89" s="20">
        <f t="shared" si="61"/>
        <v>449.92843925372944</v>
      </c>
      <c r="BH89" s="59">
        <f t="shared" si="62"/>
        <v>722.91018731913414</v>
      </c>
      <c r="BI89" s="59">
        <f ca="1">AVERAGE(OFFSET($BH$3,0,0,'Données projet'!$E$11+1,1))-AVERAGE(OFFSET($H$3,0,0,'Données projet'!$E$11+1,1))</f>
        <v>364.64276939439014</v>
      </c>
      <c r="BJ89" s="59">
        <f t="shared" si="92"/>
        <v>341.7578598026638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28.049076419619578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28.049076419619578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3.4106051316484809E-13</v>
      </c>
      <c r="BZ89" s="13">
        <f>BY89*VLOOKUP('Données projet'!$B$12,Paramètres!$A$1:$I$89,3,0)*VLOOKUP('Données projet'!$B$12,Paramètres!$A$1:$I$89,5,0)</f>
        <v>2.0395418687257919E-13</v>
      </c>
      <c r="CA89" s="13">
        <f t="shared" si="93"/>
        <v>2.8200388570161721E-12</v>
      </c>
      <c r="CB89" s="20">
        <f t="shared" si="64"/>
        <v>5.2667878847729083E-12</v>
      </c>
      <c r="CC89" s="59">
        <f t="shared" si="65"/>
        <v>272.98174806540999</v>
      </c>
      <c r="CD89" s="59">
        <f ca="1">AVERAGE(OFFSET($CC$3,0,0,'Données projet'!$E$12+1,1))-AVERAGE(OFFSET($H$3,0,0,'Données projet'!$E$12+1,1))</f>
        <v>435.81281313761326</v>
      </c>
      <c r="CE89" s="59">
        <f t="shared" si="94"/>
        <v>460.93390058676493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153.73895322236862</v>
      </c>
      <c r="CL89" s="21">
        <f>EXP(-LN(2)/25)*CL88+(1-EXP(-LN(2)/25))/(LN(2)/25)*Calculateur!CG89*Calculateur!CI89*VLOOKUP('Données projet'!$B$12,Paramètres!$A$1:$I$89,3,0)*0.475*44/12</f>
        <v>29.00980706158429</v>
      </c>
      <c r="CM89" s="21">
        <f>EXP(-LN(2)/2)*CM88+(1-EXP(-LN(2)/2))/(LN(2)/2)*CG89*CJ89*VLOOKUP('Données projet'!$B$12,Paramètres!$A$1:$I$89,3,0)*0.475*44/12</f>
        <v>2.6952921796079384E-2</v>
      </c>
      <c r="CN89" s="22">
        <f t="shared" si="66"/>
        <v>182.77571320574899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</v>
      </c>
      <c r="CT89" s="12">
        <f>IF('Données projet'!$A$140&gt;35,CT88+CS89-DB88,IF(A89&lt;'Données projet'!$A$140,$CQ$205^A89,IF(A89='Données projet'!$A$140,'Données projet'!$B$140,CT88+CS89-DB88)))</f>
        <v>616</v>
      </c>
      <c r="CU89" s="17">
        <f>CT89*VLOOKUP('Données projet'!$B$13,Paramètres!$A$1:$I$89,3,0)*VLOOKUP('Données projet'!$B$13,Paramètres!$A$1:$I$89,5,0)</f>
        <v>288.28800000000001</v>
      </c>
      <c r="CV89" s="13">
        <f t="shared" si="95"/>
        <v>68.715516926722444</v>
      </c>
      <c r="CW89" s="20">
        <f t="shared" si="67"/>
        <v>621.78112531404156</v>
      </c>
      <c r="CX89" s="59">
        <f t="shared" si="68"/>
        <v>894.76287337944632</v>
      </c>
      <c r="CY89" s="59">
        <f ca="1">AVERAGE(OFFSET($CX$3,0,0,'Données projet'!$E$13+1,1))-AVERAGE(OFFSET($H$3,0,0,'Données projet'!$E$13+1,1))</f>
        <v>379.16472924112111</v>
      </c>
      <c r="CZ89" s="59">
        <f t="shared" si="96"/>
        <v>273.18950868898253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22.951119675930965</v>
      </c>
      <c r="DG89" s="21">
        <f>EXP(-LN(2)/25)*DG88+(1-EXP(-LN(2)/25))/(LN(2)/25)*Calculateur!DB89*Calculateur!DD89*VLOOKUP('Données projet'!$B$13,Paramètres!$A$1:$I$89,3,0)*0.475*44/12</f>
        <v>12.463644092820884</v>
      </c>
      <c r="DH89" s="21">
        <f>EXP(-LN(2)/2)*DH88+(1-EXP(-LN(2)/2))/(LN(2)/2)*DB89*DE89*VLOOKUP('Données projet'!$B$13,Paramètres!$A$1:$I$89,3,0)*0.475*44/12</f>
        <v>0.27381831066190804</v>
      </c>
      <c r="DI89" s="22">
        <f t="shared" si="69"/>
        <v>35.688582079413756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6.8212102632969618E-13</v>
      </c>
      <c r="DP89" s="17">
        <f>DO89*VLOOKUP('Données projet'!$B$14,Paramètres!$A$1:$I$89,3,0)*VLOOKUP('Données projet'!$B$14,Paramètres!$A$1:$I$89,5,0)</f>
        <v>2.7489477361086753E-13</v>
      </c>
      <c r="DQ89" s="13">
        <f t="shared" si="97"/>
        <v>3.6711283554998768E-12</v>
      </c>
      <c r="DR89" s="20">
        <f t="shared" si="70"/>
        <v>6.8726569498678791E-12</v>
      </c>
      <c r="DS89" s="59">
        <f t="shared" si="71"/>
        <v>272.98174806541158</v>
      </c>
      <c r="DT89" s="59">
        <f ca="1">AVERAGE(OFFSET($DS$3,0,0,'Données projet'!$E$14+1,1))-AVERAGE(OFFSET($H$3,0,0,'Données projet'!$E$14+1,1))</f>
        <v>419.35339339286082</v>
      </c>
      <c r="DU89" s="59">
        <f t="shared" si="98"/>
        <v>359.03308141414709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236.44699830854071</v>
      </c>
      <c r="EB89" s="21">
        <f>EXP(-LN(2)/25)*EB88+(1-EXP(-LN(2)/25))/(LN(2)/25)*Calculateur!DW89*Calculateur!DY89*VLOOKUP('Données projet'!$B$14,Paramètres!$A$1:$I$89,3,0)*0.475*44/12</f>
        <v>39.489532447810888</v>
      </c>
      <c r="EC89" s="21">
        <f>EXP(-LN(2)/2)*EC88+(1-EXP(-LN(2)/2))/(LN(2)/2)*DW89*DZ89*VLOOKUP('Données projet'!$B$14,Paramètres!$A$1:$I$89,3,0)*0.475*44/12</f>
        <v>4.3644663324190436</v>
      </c>
      <c r="ED89" s="22">
        <f t="shared" si="72"/>
        <v>280.30099708877066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2.2737367544323206E-13</v>
      </c>
      <c r="EK89" s="17">
        <f>EJ89*VLOOKUP('Données projet'!$B$15,Paramètres!$A$1:$I$89,3,0)*VLOOKUP('Données projet'!$B$15,Paramètres!$A$1:$I$89,5,0)</f>
        <v>1.0049916454590858E-13</v>
      </c>
      <c r="EL89" s="13">
        <f t="shared" si="99"/>
        <v>1.5089081593838289E-12</v>
      </c>
      <c r="EM89" s="20">
        <f t="shared" si="73"/>
        <v>2.8030510891776262E-12</v>
      </c>
      <c r="EN89" s="59">
        <f t="shared" si="74"/>
        <v>272.98174806540749</v>
      </c>
      <c r="EO89" s="59">
        <f ca="1">AVERAGE(OFFSET($EN$3,0,0,'Données projet'!$E$15+1,1))-AVERAGE(OFFSET($H$3,0,0,'Données projet'!$E$15+1,1))</f>
        <v>561.50881628354409</v>
      </c>
      <c r="EP89" s="59">
        <f t="shared" si="100"/>
        <v>468.67708352238458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296.69698369610154</v>
      </c>
      <c r="EW89" s="21">
        <f>EXP(-LN(2)/25)*EW88+(1-EXP(-LN(2)/25))/(LN(2)/25)*Calculateur!ER89*Calculateur!ET89*VLOOKUP('Données projet'!$B$15,Paramètres!$A$1:$I$89,3,0)*0.475*44/12</f>
        <v>51.230878376579653</v>
      </c>
      <c r="EX89" s="21">
        <f>EXP(-LN(2)/2)*EX88+(1-EXP(-LN(2)/2))/(LN(2)/2)*ER89*EU89*VLOOKUP('Données projet'!$B$15,Paramètres!$A$1:$I$89,3,0)*0.475*44/12</f>
        <v>5.7840088756426971</v>
      </c>
      <c r="EY89" s="22">
        <f t="shared" si="75"/>
        <v>353.71187094832391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310.79999999999995</v>
      </c>
      <c r="O90" s="13">
        <f>N90*VLOOKUP('Données projet'!$B$9,Paramètres!$A$1:$I$89,3,0)*VLOOKUP('Données projet'!$B$9,Paramètres!$A$1:$I$89,5,0)</f>
        <v>281.21183999999994</v>
      </c>
      <c r="P90" s="13">
        <f t="shared" si="87"/>
        <v>67.22304110496664</v>
      </c>
      <c r="Q90" s="20">
        <f t="shared" si="54"/>
        <v>606.85741792448346</v>
      </c>
      <c r="R90" s="59">
        <f t="shared" si="55"/>
        <v>880.19222049495829</v>
      </c>
      <c r="S90" s="59">
        <f ca="1">AVERAGE(OFFSET($R$3,0,0,'Données projet'!$E$9+1,1))-AVERAGE(OFFSET($H$3,0,0,'Données projet'!$E$9+1,1))</f>
        <v>484.04602944257209</v>
      </c>
      <c r="T90" s="59">
        <f t="shared" si="88"/>
        <v>297.32483725004124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33.872223050965275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33.872223050965275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258.79999999999995</v>
      </c>
      <c r="AJ90" s="13">
        <f>AI90*VLOOKUP('Données projet'!$B$10,Paramètres!$A$1:$I$89,3,0)*VLOOKUP('Données projet'!$B$10,Paramètres!$A$1:$I$89,5,0)</f>
        <v>294.72143999999992</v>
      </c>
      <c r="AK90" s="13">
        <f t="shared" si="89"/>
        <v>70.068733866215311</v>
      </c>
      <c r="AL90" s="20">
        <f t="shared" si="58"/>
        <v>635.34288615032483</v>
      </c>
      <c r="AM90" s="59">
        <f t="shared" si="59"/>
        <v>908.67768872079967</v>
      </c>
      <c r="AN90" s="59">
        <f ca="1">AVERAGE(OFFSET($AM$3,0,0,'Données projet'!$E$10+1,1))-AVERAGE(OFFSET($H$3,0,0,'Données projet'!$E$10+1,1))</f>
        <v>493.74122500490859</v>
      </c>
      <c r="AO90" s="59">
        <f t="shared" si="90"/>
        <v>299.43985151679692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31.974210552419816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31.974210552419816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209.66400000000002</v>
      </c>
      <c r="BF90" s="13">
        <f t="shared" si="91"/>
        <v>51.862154403304537</v>
      </c>
      <c r="BG90" s="20">
        <f t="shared" si="61"/>
        <v>455.49138558575538</v>
      </c>
      <c r="BH90" s="59">
        <f t="shared" si="62"/>
        <v>728.82618815623027</v>
      </c>
      <c r="BI90" s="59">
        <f ca="1">AVERAGE(OFFSET($BH$3,0,0,'Données projet'!$E$11+1,1))-AVERAGE(OFFSET($H$3,0,0,'Données projet'!$E$11+1,1))</f>
        <v>364.64276939439014</v>
      </c>
      <c r="BJ90" s="59">
        <f t="shared" si="92"/>
        <v>341.7578598026638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27.499051139278155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27.499051139278155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3.4106051316484809E-13</v>
      </c>
      <c r="BZ90" s="13">
        <f>BY90*VLOOKUP('Données projet'!$B$12,Paramètres!$A$1:$I$89,3,0)*VLOOKUP('Données projet'!$B$12,Paramètres!$A$1:$I$89,5,0)</f>
        <v>2.0395418687257919E-13</v>
      </c>
      <c r="CA90" s="13">
        <f t="shared" si="93"/>
        <v>2.8200388570161721E-12</v>
      </c>
      <c r="CB90" s="20">
        <f t="shared" si="64"/>
        <v>5.2667878847729083E-12</v>
      </c>
      <c r="CC90" s="59">
        <f t="shared" si="65"/>
        <v>273.33480257048012</v>
      </c>
      <c r="CD90" s="59">
        <f ca="1">AVERAGE(OFFSET($CC$3,0,0,'Données projet'!$E$12+1,1))-AVERAGE(OFFSET($H$3,0,0,'Données projet'!$E$12+1,1))</f>
        <v>435.81281313761326</v>
      </c>
      <c r="CE90" s="59">
        <f t="shared" si="94"/>
        <v>460.93390058676493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150.72422612118027</v>
      </c>
      <c r="CL90" s="21">
        <f>EXP(-LN(2)/25)*CL89+(1-EXP(-LN(2)/25))/(LN(2)/25)*Calculateur!CG90*Calculateur!CI90*VLOOKUP('Données projet'!$B$12,Paramètres!$A$1:$I$89,3,0)*0.475*44/12</f>
        <v>28.216532361925818</v>
      </c>
      <c r="CM90" s="21">
        <f>EXP(-LN(2)/2)*CM89+(1-EXP(-LN(2)/2))/(LN(2)/2)*CG90*CJ90*VLOOKUP('Données projet'!$B$12,Paramètres!$A$1:$I$89,3,0)*0.475*44/12</f>
        <v>1.9058593774798432E-2</v>
      </c>
      <c r="CN90" s="22">
        <f t="shared" si="66"/>
        <v>178.95981707688088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</v>
      </c>
      <c r="CT90" s="12">
        <f>IF('Données projet'!$A$140&gt;35,CT89+CS90-DB89,IF(A90&lt;'Données projet'!$A$140,$CQ$205^A90,IF(A90='Données projet'!$A$140,'Données projet'!$B$140,CT89+CS90-DB89)))</f>
        <v>622</v>
      </c>
      <c r="CU90" s="17">
        <f>CT90*VLOOKUP('Données projet'!$B$13,Paramètres!$A$1:$I$89,3,0)*VLOOKUP('Données projet'!$B$13,Paramètres!$A$1:$I$89,5,0)</f>
        <v>291.096</v>
      </c>
      <c r="CV90" s="13">
        <f t="shared" si="95"/>
        <v>69.306582531434373</v>
      </c>
      <c r="CW90" s="20">
        <f t="shared" si="67"/>
        <v>627.70116457558152</v>
      </c>
      <c r="CX90" s="59">
        <f t="shared" si="68"/>
        <v>901.03596714605635</v>
      </c>
      <c r="CY90" s="59">
        <f ca="1">AVERAGE(OFFSET($CX$3,0,0,'Données projet'!$E$13+1,1))-AVERAGE(OFFSET($H$3,0,0,'Données projet'!$E$13+1,1))</f>
        <v>379.16472924112111</v>
      </c>
      <c r="CZ90" s="59">
        <f t="shared" si="96"/>
        <v>273.18950868898253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22.501062217886695</v>
      </c>
      <c r="DG90" s="21">
        <f>EXP(-LN(2)/25)*DG89+(1-EXP(-LN(2)/25))/(LN(2)/25)*Calculateur!DB90*Calculateur!DD90*VLOOKUP('Données projet'!$B$13,Paramètres!$A$1:$I$89,3,0)*0.475*44/12</f>
        <v>12.12282508966814</v>
      </c>
      <c r="DH90" s="21">
        <f>EXP(-LN(2)/2)*DH89+(1-EXP(-LN(2)/2))/(LN(2)/2)*DB90*DE90*VLOOKUP('Données projet'!$B$13,Paramètres!$A$1:$I$89,3,0)*0.475*44/12</f>
        <v>0.1936187842820799</v>
      </c>
      <c r="DI90" s="22">
        <f t="shared" si="69"/>
        <v>34.817506091836918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6.8212102632969618E-13</v>
      </c>
      <c r="DP90" s="17">
        <f>DO90*VLOOKUP('Données projet'!$B$14,Paramètres!$A$1:$I$89,3,0)*VLOOKUP('Données projet'!$B$14,Paramètres!$A$1:$I$89,5,0)</f>
        <v>2.7489477361086753E-13</v>
      </c>
      <c r="DQ90" s="13">
        <f t="shared" si="97"/>
        <v>3.6711283554998768E-12</v>
      </c>
      <c r="DR90" s="20">
        <f t="shared" si="70"/>
        <v>6.8726569498678791E-12</v>
      </c>
      <c r="DS90" s="59">
        <f t="shared" si="71"/>
        <v>273.33480257048171</v>
      </c>
      <c r="DT90" s="59">
        <f ca="1">AVERAGE(OFFSET($DS$3,0,0,'Données projet'!$E$14+1,1))-AVERAGE(OFFSET($H$3,0,0,'Données projet'!$E$14+1,1))</f>
        <v>419.35339339286082</v>
      </c>
      <c r="DU90" s="59">
        <f t="shared" si="98"/>
        <v>359.03308141414709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231.81041689013881</v>
      </c>
      <c r="EB90" s="21">
        <f>EXP(-LN(2)/25)*EB89+(1-EXP(-LN(2)/25))/(LN(2)/25)*Calculateur!DW90*Calculateur!DY90*VLOOKUP('Données projet'!$B$14,Paramètres!$A$1:$I$89,3,0)*0.475*44/12</f>
        <v>38.409689106361242</v>
      </c>
      <c r="EC90" s="21">
        <f>EXP(-LN(2)/2)*EC89+(1-EXP(-LN(2)/2))/(LN(2)/2)*DW90*DZ90*VLOOKUP('Données projet'!$B$14,Paramètres!$A$1:$I$89,3,0)*0.475*44/12</f>
        <v>3.0861437399138865</v>
      </c>
      <c r="ED90" s="22">
        <f t="shared" si="72"/>
        <v>273.30624973641392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2.2737367544323206E-13</v>
      </c>
      <c r="EK90" s="17">
        <f>EJ90*VLOOKUP('Données projet'!$B$15,Paramètres!$A$1:$I$89,3,0)*VLOOKUP('Données projet'!$B$15,Paramètres!$A$1:$I$89,5,0)</f>
        <v>1.0049916454590858E-13</v>
      </c>
      <c r="EL90" s="13">
        <f t="shared" si="99"/>
        <v>1.5089081593838289E-12</v>
      </c>
      <c r="EM90" s="20">
        <f t="shared" si="73"/>
        <v>2.8030510891776262E-12</v>
      </c>
      <c r="EN90" s="59">
        <f t="shared" si="74"/>
        <v>273.33480257047762</v>
      </c>
      <c r="EO90" s="59">
        <f ca="1">AVERAGE(OFFSET($EN$3,0,0,'Données projet'!$E$15+1,1))-AVERAGE(OFFSET($H$3,0,0,'Données projet'!$E$15+1,1))</f>
        <v>561.50881628354409</v>
      </c>
      <c r="EP90" s="59">
        <f t="shared" si="100"/>
        <v>468.67708352238458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290.87893681311203</v>
      </c>
      <c r="EW90" s="21">
        <f>EXP(-LN(2)/25)*EW89+(1-EXP(-LN(2)/25))/(LN(2)/25)*Calculateur!ER90*Calculateur!ET90*VLOOKUP('Données projet'!$B$15,Paramètres!$A$1:$I$89,3,0)*0.475*44/12</f>
        <v>49.829967313257278</v>
      </c>
      <c r="EX90" s="21">
        <f>EXP(-LN(2)/2)*EX89+(1-EXP(-LN(2)/2))/(LN(2)/2)*ER90*EU90*VLOOKUP('Données projet'!$B$15,Paramètres!$A$1:$I$89,3,0)*0.475*44/12</f>
        <v>4.0899118984101293</v>
      </c>
      <c r="EY90" s="22">
        <f t="shared" si="75"/>
        <v>344.79881602477946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317.19999999999993</v>
      </c>
      <c r="O91" s="13">
        <f>N91*VLOOKUP('Données projet'!$B$9,Paramètres!$A$1:$I$89,3,0)*VLOOKUP('Données projet'!$B$9,Paramètres!$A$1:$I$89,5,0)</f>
        <v>287.0025599999999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892.75240636626665</v>
      </c>
      <c r="S91" s="59">
        <f ca="1">AVERAGE(OFFSET($R$3,0,0,'Données projet'!$E$9+1,1))-AVERAGE(OFFSET($H$3,0,0,'Données projet'!$E$9+1,1))</f>
        <v>484.04602944257209</v>
      </c>
      <c r="T91" s="59">
        <f t="shared" si="88"/>
        <v>297.32483725004124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33.208009416951903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33.208009416951903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264.19999999999993</v>
      </c>
      <c r="AJ91" s="13">
        <f>AI91*VLOOKUP('Données projet'!$B$10,Paramètres!$A$1:$I$89,3,0)*VLOOKUP('Données projet'!$B$10,Paramètres!$A$1:$I$89,5,0)</f>
        <v>300.87095999999997</v>
      </c>
      <c r="AK91" s="13">
        <f t="shared" si="89"/>
        <v>71.359019327927427</v>
      </c>
      <c r="AL91" s="20">
        <f t="shared" si="58"/>
        <v>648.30054732947349</v>
      </c>
      <c r="AM91" s="59">
        <f t="shared" si="59"/>
        <v>921.98227969866718</v>
      </c>
      <c r="AN91" s="59">
        <f ca="1">AVERAGE(OFFSET($AM$3,0,0,'Données projet'!$E$10+1,1))-AVERAGE(OFFSET($H$3,0,0,'Données projet'!$E$10+1,1))</f>
        <v>493.74122500490859</v>
      </c>
      <c r="AO91" s="59">
        <f t="shared" si="90"/>
        <v>299.43985151679692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31.347215785829604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31.347215785829604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212.28480000000002</v>
      </c>
      <c r="BF91" s="13">
        <f t="shared" si="91"/>
        <v>52.434557099704193</v>
      </c>
      <c r="BG91" s="20">
        <f t="shared" si="61"/>
        <v>461.05288028198476</v>
      </c>
      <c r="BH91" s="59">
        <f t="shared" si="62"/>
        <v>734.7346126511784</v>
      </c>
      <c r="BI91" s="59">
        <f ca="1">AVERAGE(OFFSET($BH$3,0,0,'Données projet'!$E$11+1,1))-AVERAGE(OFFSET($H$3,0,0,'Données projet'!$E$11+1,1))</f>
        <v>364.64276939439014</v>
      </c>
      <c r="BJ91" s="59">
        <f t="shared" si="92"/>
        <v>341.7578598026638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26.959811519201931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26.959811519201931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3.4106051316484809E-13</v>
      </c>
      <c r="BZ91" s="13">
        <f>BY91*VLOOKUP('Données projet'!$B$12,Paramètres!$A$1:$I$89,3,0)*VLOOKUP('Données projet'!$B$12,Paramètres!$A$1:$I$89,5,0)</f>
        <v>2.0395418687257919E-13</v>
      </c>
      <c r="CA91" s="13">
        <f t="shared" si="93"/>
        <v>2.8200388570161721E-12</v>
      </c>
      <c r="CB91" s="20">
        <f t="shared" si="64"/>
        <v>5.2667878847729083E-12</v>
      </c>
      <c r="CC91" s="59">
        <f t="shared" si="65"/>
        <v>273.68173236919898</v>
      </c>
      <c r="CD91" s="59">
        <f ca="1">AVERAGE(OFFSET($CC$3,0,0,'Données projet'!$E$12+1,1))-AVERAGE(OFFSET($H$3,0,0,'Données projet'!$E$12+1,1))</f>
        <v>435.81281313761326</v>
      </c>
      <c r="CE91" s="59">
        <f t="shared" si="94"/>
        <v>460.93390058676493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147.76861597964427</v>
      </c>
      <c r="CL91" s="21">
        <f>EXP(-LN(2)/25)*CL90+(1-EXP(-LN(2)/25))/(LN(2)/25)*Calculateur!CG91*Calculateur!CI91*VLOOKUP('Données projet'!$B$12,Paramètres!$A$1:$I$89,3,0)*0.475*44/12</f>
        <v>27.444949800646011</v>
      </c>
      <c r="CM91" s="21">
        <f>EXP(-LN(2)/2)*CM90+(1-EXP(-LN(2)/2))/(LN(2)/2)*CG91*CJ91*VLOOKUP('Données projet'!$B$12,Paramètres!$A$1:$I$89,3,0)*0.475*44/12</f>
        <v>1.3476460898039692E-2</v>
      </c>
      <c r="CN91" s="22">
        <f t="shared" si="66"/>
        <v>175.22704224118831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</v>
      </c>
      <c r="CT91" s="12">
        <f>IF('Données projet'!$A$140&gt;35,CT90+CS91-DB90,IF(A91&lt;'Données projet'!$A$140,$CQ$205^A91,IF(A91='Données projet'!$A$140,'Données projet'!$B$140,CT90+CS91-DB90)))</f>
        <v>628</v>
      </c>
      <c r="CU91" s="17">
        <f>CT91*VLOOKUP('Données projet'!$B$13,Paramètres!$A$1:$I$89,3,0)*VLOOKUP('Données projet'!$B$13,Paramètres!$A$1:$I$89,5,0)</f>
        <v>293.904</v>
      </c>
      <c r="CV91" s="13">
        <f t="shared" si="95"/>
        <v>69.896984831773324</v>
      </c>
      <c r="CW91" s="20">
        <f t="shared" si="67"/>
        <v>633.62004858200532</v>
      </c>
      <c r="CX91" s="59">
        <f t="shared" si="68"/>
        <v>907.30178095119902</v>
      </c>
      <c r="CY91" s="59">
        <f ca="1">AVERAGE(OFFSET($CX$3,0,0,'Données projet'!$E$13+1,1))-AVERAGE(OFFSET($H$3,0,0,'Données projet'!$E$13+1,1))</f>
        <v>379.16472924112111</v>
      </c>
      <c r="CZ91" s="59">
        <f t="shared" si="96"/>
        <v>273.18950868898253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22.059830112086729</v>
      </c>
      <c r="DG91" s="21">
        <f>EXP(-LN(2)/25)*DG90+(1-EXP(-LN(2)/25))/(LN(2)/25)*Calculateur!DB91*Calculateur!DD91*VLOOKUP('Données projet'!$B$13,Paramètres!$A$1:$I$89,3,0)*0.475*44/12</f>
        <v>11.7913258000795</v>
      </c>
      <c r="DH91" s="21">
        <f>EXP(-LN(2)/2)*DH90+(1-EXP(-LN(2)/2))/(LN(2)/2)*DB91*DE91*VLOOKUP('Données projet'!$B$13,Paramètres!$A$1:$I$89,3,0)*0.475*44/12</f>
        <v>0.13690915533095402</v>
      </c>
      <c r="DI91" s="22">
        <f t="shared" si="69"/>
        <v>33.988065067497182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6.8212102632969618E-13</v>
      </c>
      <c r="DP91" s="17">
        <f>DO91*VLOOKUP('Données projet'!$B$14,Paramètres!$A$1:$I$89,3,0)*VLOOKUP('Données projet'!$B$14,Paramètres!$A$1:$I$89,5,0)</f>
        <v>2.7489477361086753E-13</v>
      </c>
      <c r="DQ91" s="13">
        <f t="shared" si="97"/>
        <v>3.6711283554998768E-12</v>
      </c>
      <c r="DR91" s="20">
        <f t="shared" si="70"/>
        <v>6.8726569498678791E-12</v>
      </c>
      <c r="DS91" s="59">
        <f t="shared" si="71"/>
        <v>273.68173236920057</v>
      </c>
      <c r="DT91" s="59">
        <f ca="1">AVERAGE(OFFSET($DS$3,0,0,'Données projet'!$E$14+1,1))-AVERAGE(OFFSET($H$3,0,0,'Données projet'!$E$14+1,1))</f>
        <v>419.35339339286082</v>
      </c>
      <c r="DU91" s="59">
        <f t="shared" si="98"/>
        <v>359.03308141414709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227.26475600531634</v>
      </c>
      <c r="EB91" s="21">
        <f>EXP(-LN(2)/25)*EB90+(1-EXP(-LN(2)/25))/(LN(2)/25)*Calculateur!DW91*Calculateur!DY91*VLOOKUP('Données projet'!$B$14,Paramètres!$A$1:$I$89,3,0)*0.475*44/12</f>
        <v>37.359374137870027</v>
      </c>
      <c r="EC91" s="21">
        <f>EXP(-LN(2)/2)*EC90+(1-EXP(-LN(2)/2))/(LN(2)/2)*DW91*DZ91*VLOOKUP('Données projet'!$B$14,Paramètres!$A$1:$I$89,3,0)*0.475*44/12</f>
        <v>2.1822331662095222</v>
      </c>
      <c r="ED91" s="22">
        <f t="shared" si="72"/>
        <v>266.80636330939592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2.2737367544323206E-13</v>
      </c>
      <c r="EK91" s="17">
        <f>EJ91*VLOOKUP('Données projet'!$B$15,Paramètres!$A$1:$I$89,3,0)*VLOOKUP('Données projet'!$B$15,Paramètres!$A$1:$I$89,5,0)</f>
        <v>1.0049916454590858E-13</v>
      </c>
      <c r="EL91" s="13">
        <f t="shared" si="99"/>
        <v>1.5089081593838289E-12</v>
      </c>
      <c r="EM91" s="20">
        <f t="shared" si="73"/>
        <v>2.8030510891776262E-12</v>
      </c>
      <c r="EN91" s="59">
        <f t="shared" si="74"/>
        <v>273.68173236919648</v>
      </c>
      <c r="EO91" s="59">
        <f ca="1">AVERAGE(OFFSET($EN$3,0,0,'Données projet'!$E$15+1,1))-AVERAGE(OFFSET($H$3,0,0,'Données projet'!$E$15+1,1))</f>
        <v>561.50881628354409</v>
      </c>
      <c r="EP91" s="59">
        <f t="shared" si="100"/>
        <v>468.67708352238458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285.17497828083975</v>
      </c>
      <c r="EW91" s="21">
        <f>EXP(-LN(2)/25)*EW90+(1-EXP(-LN(2)/25))/(LN(2)/25)*Calculateur!ER91*Calculateur!ET91*VLOOKUP('Données projet'!$B$15,Paramètres!$A$1:$I$89,3,0)*0.475*44/12</f>
        <v>48.467364236632164</v>
      </c>
      <c r="EX91" s="21">
        <f>EXP(-LN(2)/2)*EX90+(1-EXP(-LN(2)/2))/(LN(2)/2)*ER91*EU91*VLOOKUP('Données projet'!$B$15,Paramètres!$A$1:$I$89,3,0)*0.475*44/12</f>
        <v>2.8920044378213485</v>
      </c>
      <c r="EY91" s="22">
        <f t="shared" si="75"/>
        <v>336.53434695529324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323.59999999999991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905.30158215487222</v>
      </c>
      <c r="S92" s="59">
        <f ca="1">AVERAGE(OFFSET($R$3,0,0,'Données projet'!$E$9+1,1))-AVERAGE(OFFSET($H$3,0,0,'Données projet'!$E$9+1,1))</f>
        <v>484.04602944257209</v>
      </c>
      <c r="T92" s="59">
        <f t="shared" si="88"/>
        <v>297.32483725004124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32.556820607171218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32.556820607171218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269.59999999999991</v>
      </c>
      <c r="AJ92" s="13">
        <f>AI92*VLOOKUP('Données projet'!$B$10,Paramètres!$A$1:$I$89,3,0)*VLOOKUP('Données projet'!$B$10,Paramètres!$A$1:$I$89,5,0)</f>
        <v>307.02047999999991</v>
      </c>
      <c r="AK92" s="13">
        <f t="shared" si="89"/>
        <v>72.646238485840655</v>
      </c>
      <c r="AL92" s="20">
        <f t="shared" si="58"/>
        <v>661.25286802950563</v>
      </c>
      <c r="AM92" s="59">
        <f t="shared" si="59"/>
        <v>935.27551174102928</v>
      </c>
      <c r="AN92" s="59">
        <f ca="1">AVERAGE(OFFSET($AM$3,0,0,'Données projet'!$E$10+1,1))-AVERAGE(OFFSET($H$3,0,0,'Données projet'!$E$10+1,1))</f>
        <v>493.74122500490859</v>
      </c>
      <c r="AO92" s="59">
        <f t="shared" si="90"/>
        <v>299.43985151679692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30.732516004183182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30.732516004183182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214.90560000000005</v>
      </c>
      <c r="BF92" s="13">
        <f t="shared" si="91"/>
        <v>53.006137800892326</v>
      </c>
      <c r="BG92" s="20">
        <f t="shared" si="61"/>
        <v>466.61294333655422</v>
      </c>
      <c r="BH92" s="59">
        <f t="shared" si="62"/>
        <v>740.63558704807781</v>
      </c>
      <c r="BI92" s="59">
        <f ca="1">AVERAGE(OFFSET($BH$3,0,0,'Données projet'!$E$11+1,1))-AVERAGE(OFFSET($H$3,0,0,'Données projet'!$E$11+1,1))</f>
        <v>364.64276939439014</v>
      </c>
      <c r="BJ92" s="59">
        <f t="shared" si="92"/>
        <v>341.7578598026638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26.431146059171713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26.431146059171713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3.4106051316484809E-13</v>
      </c>
      <c r="BZ92" s="13">
        <f>BY92*VLOOKUP('Données projet'!$B$12,Paramètres!$A$1:$I$89,3,0)*VLOOKUP('Données projet'!$B$12,Paramètres!$A$1:$I$89,5,0)</f>
        <v>2.0395418687257919E-13</v>
      </c>
      <c r="CA92" s="13">
        <f t="shared" si="93"/>
        <v>2.8200388570161721E-12</v>
      </c>
      <c r="CB92" s="20">
        <f t="shared" si="64"/>
        <v>5.2667878847729083E-12</v>
      </c>
      <c r="CC92" s="59">
        <f t="shared" si="65"/>
        <v>274.02264371152887</v>
      </c>
      <c r="CD92" s="59">
        <f ca="1">AVERAGE(OFFSET($CC$3,0,0,'Données projet'!$E$12+1,1))-AVERAGE(OFFSET($H$3,0,0,'Données projet'!$E$12+1,1))</f>
        <v>435.81281313761326</v>
      </c>
      <c r="CE92" s="59">
        <f t="shared" si="94"/>
        <v>460.93390058676493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144.87096355023959</v>
      </c>
      <c r="CL92" s="21">
        <f>EXP(-LN(2)/25)*CL91+(1-EXP(-LN(2)/25))/(LN(2)/25)*Calculateur!CG92*Calculateur!CI92*VLOOKUP('Données projet'!$B$12,Paramètres!$A$1:$I$89,3,0)*0.475*44/12</f>
        <v>26.694466205080161</v>
      </c>
      <c r="CM92" s="21">
        <f>EXP(-LN(2)/2)*CM91+(1-EXP(-LN(2)/2))/(LN(2)/2)*CG92*CJ92*VLOOKUP('Données projet'!$B$12,Paramètres!$A$1:$I$89,3,0)*0.475*44/12</f>
        <v>9.5292968873992162E-3</v>
      </c>
      <c r="CN92" s="22">
        <f t="shared" si="66"/>
        <v>171.57495905220716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</v>
      </c>
      <c r="CT92" s="12">
        <f>IF('Données projet'!$A$140&gt;35,CT91+CS92-DB91,IF(A92&lt;'Données projet'!$A$140,$CQ$205^A92,IF(A92='Données projet'!$A$140,'Données projet'!$B$140,CT91+CS92-DB91)))</f>
        <v>634</v>
      </c>
      <c r="CU92" s="17">
        <f>CT92*VLOOKUP('Données projet'!$B$13,Paramètres!$A$1:$I$89,3,0)*VLOOKUP('Données projet'!$B$13,Paramètres!$A$1:$I$89,5,0)</f>
        <v>296.71199999999999</v>
      </c>
      <c r="CV92" s="13">
        <f t="shared" si="95"/>
        <v>70.48673089898756</v>
      </c>
      <c r="CW92" s="20">
        <f t="shared" si="67"/>
        <v>639.53778964906996</v>
      </c>
      <c r="CX92" s="59">
        <f t="shared" si="68"/>
        <v>913.56043336059361</v>
      </c>
      <c r="CY92" s="59">
        <f ca="1">AVERAGE(OFFSET($CX$3,0,0,'Données projet'!$E$13+1,1))-AVERAGE(OFFSET($H$3,0,0,'Données projet'!$E$13+1,1))</f>
        <v>379.16472924112111</v>
      </c>
      <c r="CZ92" s="59">
        <f t="shared" si="96"/>
        <v>273.18950868898253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21.62725029875649</v>
      </c>
      <c r="DG92" s="21">
        <f>EXP(-LN(2)/25)*DG91+(1-EXP(-LN(2)/25))/(LN(2)/25)*Calculateur!DB92*Calculateur!DD92*VLOOKUP('Données projet'!$B$13,Paramètres!$A$1:$I$89,3,0)*0.475*44/12</f>
        <v>11.468891375997451</v>
      </c>
      <c r="DH92" s="21">
        <f>EXP(-LN(2)/2)*DH91+(1-EXP(-LN(2)/2))/(LN(2)/2)*DB92*DE92*VLOOKUP('Données projet'!$B$13,Paramètres!$A$1:$I$89,3,0)*0.475*44/12</f>
        <v>9.6809392141039952E-2</v>
      </c>
      <c r="DI92" s="22">
        <f t="shared" si="69"/>
        <v>33.192951066894977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6.8212102632969618E-13</v>
      </c>
      <c r="DP92" s="17">
        <f>DO92*VLOOKUP('Données projet'!$B$14,Paramètres!$A$1:$I$89,3,0)*VLOOKUP('Données projet'!$B$14,Paramètres!$A$1:$I$89,5,0)</f>
        <v>2.7489477361086753E-13</v>
      </c>
      <c r="DQ92" s="13">
        <f t="shared" si="97"/>
        <v>3.6711283554998768E-12</v>
      </c>
      <c r="DR92" s="20">
        <f t="shared" si="70"/>
        <v>6.8726569498678791E-12</v>
      </c>
      <c r="DS92" s="59">
        <f t="shared" si="71"/>
        <v>274.02264371153046</v>
      </c>
      <c r="DT92" s="59">
        <f ca="1">AVERAGE(OFFSET($DS$3,0,0,'Données projet'!$E$14+1,1))-AVERAGE(OFFSET($H$3,0,0,'Données projet'!$E$14+1,1))</f>
        <v>419.35339339286082</v>
      </c>
      <c r="DU92" s="59">
        <f t="shared" si="98"/>
        <v>359.03308141414709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222.80823275786588</v>
      </c>
      <c r="EB92" s="21">
        <f>EXP(-LN(2)/25)*EB91+(1-EXP(-LN(2)/25))/(LN(2)/25)*Calculateur!DW92*Calculateur!DY92*VLOOKUP('Données projet'!$B$14,Paramètres!$A$1:$I$89,3,0)*0.475*44/12</f>
        <v>36.33778008742587</v>
      </c>
      <c r="EC92" s="21">
        <f>EXP(-LN(2)/2)*EC91+(1-EXP(-LN(2)/2))/(LN(2)/2)*DW92*DZ92*VLOOKUP('Données projet'!$B$14,Paramètres!$A$1:$I$89,3,0)*0.475*44/12</f>
        <v>1.5430718699569435</v>
      </c>
      <c r="ED92" s="22">
        <f t="shared" si="72"/>
        <v>260.68908471524867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2.2737367544323206E-13</v>
      </c>
      <c r="EK92" s="17">
        <f>EJ92*VLOOKUP('Données projet'!$B$15,Paramètres!$A$1:$I$89,3,0)*VLOOKUP('Données projet'!$B$15,Paramètres!$A$1:$I$89,5,0)</f>
        <v>1.0049916454590858E-13</v>
      </c>
      <c r="EL92" s="13">
        <f t="shared" si="99"/>
        <v>1.5089081593838289E-12</v>
      </c>
      <c r="EM92" s="20">
        <f t="shared" si="73"/>
        <v>2.8030510891776262E-12</v>
      </c>
      <c r="EN92" s="59">
        <f t="shared" si="74"/>
        <v>274.02264371152637</v>
      </c>
      <c r="EO92" s="59">
        <f ca="1">AVERAGE(OFFSET($EN$3,0,0,'Données projet'!$E$15+1,1))-AVERAGE(OFFSET($H$3,0,0,'Données projet'!$E$15+1,1))</f>
        <v>561.50881628354409</v>
      </c>
      <c r="EP92" s="59">
        <f t="shared" si="100"/>
        <v>468.67708352238458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279.58287089631415</v>
      </c>
      <c r="EW92" s="21">
        <f>EXP(-LN(2)/25)*EW91+(1-EXP(-LN(2)/25))/(LN(2)/25)*Calculateur!ER92*Calculateur!ET92*VLOOKUP('Données projet'!$B$15,Paramètres!$A$1:$I$89,3,0)*0.475*44/12</f>
        <v>47.142021612793549</v>
      </c>
      <c r="EX92" s="21">
        <f>EXP(-LN(2)/2)*EX91+(1-EXP(-LN(2)/2))/(LN(2)/2)*ER92*EU92*VLOOKUP('Données projet'!$B$15,Paramètres!$A$1:$I$89,3,0)*0.475*44/12</f>
        <v>2.0449559492050646</v>
      </c>
      <c r="EY92" s="22">
        <f t="shared" si="75"/>
        <v>328.76984845831277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329.99999999999989</v>
      </c>
      <c r="O93" s="13">
        <f>N93*VLOOKUP('Données projet'!$B$9,Paramètres!$A$1:$I$89,3,0)*VLOOKUP('Données projet'!$B$9,Paramètres!$A$1:$I$89,5,0)</f>
        <v>298.58399999999989</v>
      </c>
      <c r="P93" s="13">
        <f t="shared" si="87"/>
        <v>70.879533797607607</v>
      </c>
      <c r="Q93" s="20">
        <f t="shared" si="54"/>
        <v>643.4823213641663</v>
      </c>
      <c r="R93" s="59">
        <f t="shared" si="55"/>
        <v>917.83996236839403</v>
      </c>
      <c r="S93" s="59">
        <f ca="1">AVERAGE(OFFSET($R$3,0,0,'Données projet'!$E$9+1,1))-AVERAGE(OFFSET($H$3,0,0,'Données projet'!$E$9+1,1))</f>
        <v>484.04602944257209</v>
      </c>
      <c r="T93" s="59">
        <f t="shared" si="88"/>
        <v>297.32483725004124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40.348336276519483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40.348336276519483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274.99999999999989</v>
      </c>
      <c r="AJ93" s="13">
        <f>AI93*VLOOKUP('Données projet'!$B$10,Paramètres!$A$1:$I$89,3,0)*VLOOKUP('Données projet'!$B$10,Paramètres!$A$1:$I$89,5,0)</f>
        <v>313.1699999999999</v>
      </c>
      <c r="AK93" s="13">
        <f t="shared" si="89"/>
        <v>73.930459835341836</v>
      </c>
      <c r="AL93" s="20">
        <f t="shared" si="58"/>
        <v>674.19996754655347</v>
      </c>
      <c r="AM93" s="59">
        <f t="shared" si="59"/>
        <v>948.5576085507812</v>
      </c>
      <c r="AN93" s="59">
        <f ca="1">AVERAGE(OFFSET($AM$3,0,0,'Données projet'!$E$10+1,1))-AVERAGE(OFFSET($H$3,0,0,'Données projet'!$E$10+1,1))</f>
        <v>493.74122500490859</v>
      </c>
      <c r="AO93" s="59">
        <f t="shared" si="90"/>
        <v>299.43985151679692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38.087438123093833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38.087438123093833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217.52640000000005</v>
      </c>
      <c r="BF93" s="13">
        <f t="shared" si="91"/>
        <v>53.576907690651254</v>
      </c>
      <c r="BG93" s="20">
        <f t="shared" si="61"/>
        <v>472.17159422788433</v>
      </c>
      <c r="BH93" s="59">
        <f t="shared" si="62"/>
        <v>746.529235232112</v>
      </c>
      <c r="BI93" s="59">
        <f ca="1">AVERAGE(OFFSET($BH$3,0,0,'Données projet'!$E$11+1,1))-AVERAGE(OFFSET($H$3,0,0,'Données projet'!$E$11+1,1))</f>
        <v>364.64276939439014</v>
      </c>
      <c r="BJ93" s="59">
        <f t="shared" si="92"/>
        <v>341.7578598026638</v>
      </c>
      <c r="BK93" s="15">
        <f>IF(ISNA(VLOOKUP(A93,'Données projet'!$A$87:$I$107,3,0)),0,VLOOKUP(A93,'Données projet'!$A$87:$I$107,3,0))</f>
        <v>17</v>
      </c>
      <c r="BL93" s="15">
        <f>IF(ISNA(VLOOKUP(A93,'Données projet'!$A$87:$I$107,4,0)),0,VLOOKUP(A93,'Données projet'!$A$87:$I$107,4,0))</f>
        <v>249</v>
      </c>
      <c r="BM93" s="16">
        <f>IF(ISNA(VLOOKUP(A93,'Données projet'!$A$87:$I$107,5,0)),0%,VLOOKUP(A93,'Données projet'!$A$87:$I$107,5,0)*VLOOKUP('Données projet'!$B$11,Paramètres!$A$1:$I$89,7,0))</f>
        <v>0.34400000000000003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108.63418064281269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108.63418064281269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3.4106051316484809E-13</v>
      </c>
      <c r="BZ93" s="13">
        <f>BY93*VLOOKUP('Données projet'!$B$12,Paramètres!$A$1:$I$89,3,0)*VLOOKUP('Données projet'!$B$12,Paramètres!$A$1:$I$89,5,0)</f>
        <v>2.0395418687257919E-13</v>
      </c>
      <c r="CA93" s="13">
        <f t="shared" si="93"/>
        <v>2.8200388570161721E-12</v>
      </c>
      <c r="CB93" s="20">
        <f t="shared" si="64"/>
        <v>5.2667878847729083E-12</v>
      </c>
      <c r="CC93" s="59">
        <f t="shared" si="65"/>
        <v>274.35764100423296</v>
      </c>
      <c r="CD93" s="59">
        <f ca="1">AVERAGE(OFFSET($CC$3,0,0,'Données projet'!$E$12+1,1))-AVERAGE(OFFSET($H$3,0,0,'Données projet'!$E$12+1,1))</f>
        <v>435.81281313761326</v>
      </c>
      <c r="CE93" s="59">
        <f t="shared" si="94"/>
        <v>460.93390058676493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142.03013231758209</v>
      </c>
      <c r="CL93" s="21">
        <f>EXP(-LN(2)/25)*CL92+(1-EXP(-LN(2)/25))/(LN(2)/25)*Calculateur!CG93*Calculateur!CI93*VLOOKUP('Données projet'!$B$12,Paramètres!$A$1:$I$89,3,0)*0.475*44/12</f>
        <v>25.964504622901277</v>
      </c>
      <c r="CM93" s="21">
        <f>EXP(-LN(2)/2)*CM92+(1-EXP(-LN(2)/2))/(LN(2)/2)*CG93*CJ93*VLOOKUP('Données projet'!$B$12,Paramètres!$A$1:$I$89,3,0)*0.475*44/12</f>
        <v>6.738230449019846E-3</v>
      </c>
      <c r="CN93" s="22">
        <f t="shared" si="66"/>
        <v>168.00137517093239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640</v>
      </c>
      <c r="CR93" s="12">
        <f>VLOOKUP(A93,'Données projet'!$A$139:$I$159,9,0)</f>
        <v>6</v>
      </c>
      <c r="CS93" s="12">
        <f t="array" ref="CS93">INDEX(CR:CR,MIN(IF(ISNUMBER(CR93:CR289),ROW(CR93:CR289),"")))</f>
        <v>6</v>
      </c>
      <c r="CT93" s="12">
        <f>IF('Données projet'!$A$140&gt;35,CT92+CS93-DB92,IF(A93&lt;'Données projet'!$A$140,$CQ$205^A93,IF(A93='Données projet'!$A$140,'Données projet'!$B$140,CT92+CS93-DB92)))</f>
        <v>640</v>
      </c>
      <c r="CU93" s="17">
        <f>CT93*VLOOKUP('Données projet'!$B$13,Paramètres!$A$1:$I$89,3,0)*VLOOKUP('Données projet'!$B$13,Paramètres!$A$1:$I$89,5,0)</f>
        <v>299.52</v>
      </c>
      <c r="CV93" s="13">
        <f t="shared" si="95"/>
        <v>71.075827662767125</v>
      </c>
      <c r="CW93" s="20">
        <f t="shared" si="67"/>
        <v>645.4543998459859</v>
      </c>
      <c r="CX93" s="59">
        <f t="shared" si="68"/>
        <v>919.81204085021363</v>
      </c>
      <c r="CY93" s="59">
        <f ca="1">AVERAGE(OFFSET($CX$3,0,0,'Données projet'!$E$13+1,1))-AVERAGE(OFFSET($H$3,0,0,'Données projet'!$E$13+1,1))</f>
        <v>379.16472924112111</v>
      </c>
      <c r="CZ93" s="59">
        <f t="shared" si="96"/>
        <v>273.18950868898253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640</v>
      </c>
      <c r="DC93" s="16">
        <f>IF(ISNA(VLOOKUP(A93,'Données projet'!$A$139:$I$159,5,0)),0%,VLOOKUP(A93,'Données projet'!$A$139:$I$159,5,0)*VLOOKUP('Données projet'!$B$13,Paramètres!$A$1:$I$89,7,0))</f>
        <v>0.44000000000000006</v>
      </c>
      <c r="DD93" s="16">
        <f>IF(ISNA(VLOOKUP(A93,'Données projet'!$A$139:$I$159,6,0)),0%,VLOOKUP(A93,'Données projet'!$A$139:$I$159,6,0)*VLOOKUP('Données projet'!$B$13,Paramètres!$A$1:$I$89,7,0))</f>
        <v>6.0500000000000005E-2</v>
      </c>
      <c r="DE93" s="16">
        <f>IF(ISNA(VLOOKUP(A93,'Données projet'!$A$139:$I$159,7,0)),0%,VLOOKUP(A93,'Données projet'!$A$139:$I$159,7,0))</f>
        <v>0.09</v>
      </c>
      <c r="DF93" s="21">
        <f>EXP(-LN(2)/35)*DF92+(1-EXP(-LN(2)/35))/(LN(2)/35)*DB93*DC93*VLOOKUP('Données projet'!$B$13,Paramètres!$A$1:$I$89,3,0)*0.475*44/12</f>
        <v>196.02949081674848</v>
      </c>
      <c r="DG93" s="21">
        <f>EXP(-LN(2)/25)*DG92+(1-EXP(-LN(2)/25))/(LN(2)/25)*Calculateur!DB93*Calculateur!DD93*VLOOKUP('Données projet'!$B$13,Paramètres!$A$1:$I$89,3,0)*0.475*44/12</f>
        <v>35.099246160619451</v>
      </c>
      <c r="DH93" s="21">
        <f>EXP(-LN(2)/2)*DH92+(1-EXP(-LN(2)/2))/(LN(2)/2)*DB93*DE93*VLOOKUP('Données projet'!$B$13,Paramètres!$A$1:$I$89,3,0)*0.475*44/12</f>
        <v>30.589814175626913</v>
      </c>
      <c r="DI93" s="22">
        <f t="shared" si="69"/>
        <v>261.71855115299485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6.8212102632969618E-13</v>
      </c>
      <c r="DP93" s="17">
        <f>DO93*VLOOKUP('Données projet'!$B$14,Paramètres!$A$1:$I$89,3,0)*VLOOKUP('Données projet'!$B$14,Paramètres!$A$1:$I$89,5,0)</f>
        <v>2.7489477361086753E-13</v>
      </c>
      <c r="DQ93" s="13">
        <f t="shared" si="97"/>
        <v>3.6711283554998768E-12</v>
      </c>
      <c r="DR93" s="20">
        <f t="shared" si="70"/>
        <v>6.8726569498678791E-12</v>
      </c>
      <c r="DS93" s="59">
        <f t="shared" si="71"/>
        <v>274.35764100423455</v>
      </c>
      <c r="DT93" s="59">
        <f ca="1">AVERAGE(OFFSET($DS$3,0,0,'Données projet'!$E$14+1,1))-AVERAGE(OFFSET($H$3,0,0,'Données projet'!$E$14+1,1))</f>
        <v>419.35339339286082</v>
      </c>
      <c r="DU93" s="59">
        <f t="shared" si="98"/>
        <v>359.03308141414709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218.43909921308713</v>
      </c>
      <c r="EB93" s="21">
        <f>EXP(-LN(2)/25)*EB92+(1-EXP(-LN(2)/25))/(LN(2)/25)*Calculateur!DW93*Calculateur!DY93*VLOOKUP('Données projet'!$B$14,Paramètres!$A$1:$I$89,3,0)*0.475*44/12</f>
        <v>35.344121580014402</v>
      </c>
      <c r="EC93" s="21">
        <f>EXP(-LN(2)/2)*EC92+(1-EXP(-LN(2)/2))/(LN(2)/2)*DW93*DZ93*VLOOKUP('Données projet'!$B$14,Paramètres!$A$1:$I$89,3,0)*0.475*44/12</f>
        <v>1.0911165831047611</v>
      </c>
      <c r="ED93" s="22">
        <f t="shared" si="72"/>
        <v>254.87433737620628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2.2737367544323206E-13</v>
      </c>
      <c r="EK93" s="17">
        <f>EJ93*VLOOKUP('Données projet'!$B$15,Paramètres!$A$1:$I$89,3,0)*VLOOKUP('Données projet'!$B$15,Paramètres!$A$1:$I$89,5,0)</f>
        <v>1.0049916454590858E-13</v>
      </c>
      <c r="EL93" s="13">
        <f t="shared" si="99"/>
        <v>1.5089081593838289E-12</v>
      </c>
      <c r="EM93" s="20">
        <f t="shared" si="73"/>
        <v>2.8030510891776262E-12</v>
      </c>
      <c r="EN93" s="59">
        <f t="shared" si="74"/>
        <v>274.35764100423046</v>
      </c>
      <c r="EO93" s="59">
        <f ca="1">AVERAGE(OFFSET($EN$3,0,0,'Données projet'!$E$15+1,1))-AVERAGE(OFFSET($H$3,0,0,'Données projet'!$E$15+1,1))</f>
        <v>561.50881628354409</v>
      </c>
      <c r="EP93" s="59">
        <f t="shared" si="100"/>
        <v>468.67708352238458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274.10042132675034</v>
      </c>
      <c r="EW93" s="21">
        <f>EXP(-LN(2)/25)*EW92+(1-EXP(-LN(2)/25))/(LN(2)/25)*Calculateur!ER93*Calculateur!ET93*VLOOKUP('Données projet'!$B$15,Paramètres!$A$1:$I$89,3,0)*0.475*44/12</f>
        <v>45.852920552700539</v>
      </c>
      <c r="EX93" s="21">
        <f>EXP(-LN(2)/2)*EX92+(1-EXP(-LN(2)/2))/(LN(2)/2)*ER93*EU93*VLOOKUP('Données projet'!$B$15,Paramètres!$A$1:$I$89,3,0)*0.475*44/12</f>
        <v>1.4460022189106743</v>
      </c>
      <c r="EY93" s="22">
        <f t="shared" si="75"/>
        <v>321.39934409836155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308.19999999999987</v>
      </c>
      <c r="O94" s="13">
        <f>N94*VLOOKUP('Données projet'!$B$9,Paramètres!$A$1:$I$89,3,0)*VLOOKUP('Données projet'!$B$9,Paramètres!$A$1:$I$89,5,0)</f>
        <v>278.85935999999987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876.5811575014618</v>
      </c>
      <c r="S94" s="59">
        <f ca="1">AVERAGE(OFFSET($R$3,0,0,'Données projet'!$E$9+1,1))-AVERAGE(OFFSET($H$3,0,0,'Données projet'!$E$9+1,1))</f>
        <v>484.04602944257209</v>
      </c>
      <c r="T94" s="59">
        <f t="shared" si="88"/>
        <v>297.32483725004124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39.557130012192026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39.557130012192026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2.8</v>
      </c>
      <c r="AI94" s="13">
        <f>IF('Données projet'!$A$62&gt;35,AI93+AH94-AQ93,IF(A94&lt;'Données projet'!$A$62,$AF$205^A94,IF(A94='Données projet'!$A$62,'Données projet'!$B$62,AI93+AH94-AQ93)))</f>
        <v>256.7999999999999</v>
      </c>
      <c r="AJ94" s="13">
        <f>AI94*VLOOKUP('Données projet'!$B$10,Paramètres!$A$1:$I$89,3,0)*VLOOKUP('Données projet'!$B$10,Paramètres!$A$1:$I$89,5,0)</f>
        <v>292.44383999999985</v>
      </c>
      <c r="AK94" s="13">
        <f t="shared" si="89"/>
        <v>69.590057977258411</v>
      </c>
      <c r="AL94" s="20">
        <f t="shared" si="58"/>
        <v>630.54237231039144</v>
      </c>
      <c r="AM94" s="59">
        <f t="shared" si="59"/>
        <v>905.22919915323655</v>
      </c>
      <c r="AN94" s="59">
        <f ca="1">AVERAGE(OFFSET($AM$3,0,0,'Données projet'!$E$10+1,1))-AVERAGE(OFFSET($H$3,0,0,'Données projet'!$E$10+1,1))</f>
        <v>493.74122500490859</v>
      </c>
      <c r="AO94" s="59">
        <f t="shared" si="90"/>
        <v>299.43985151679692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37.340566692543341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37.340566692543341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364.64276939439014</v>
      </c>
      <c r="BJ94" s="59">
        <f t="shared" si="92"/>
        <v>341.7578598026638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106.50393062071467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106.50393062071467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3.4106051316484809E-13</v>
      </c>
      <c r="BZ94" s="13">
        <f>BY94*VLOOKUP('Données projet'!$B$12,Paramètres!$A$1:$I$89,3,0)*VLOOKUP('Données projet'!$B$12,Paramètres!$A$1:$I$89,5,0)</f>
        <v>2.0395418687257919E-13</v>
      </c>
      <c r="CA94" s="13">
        <f t="shared" si="93"/>
        <v>2.8200388570161721E-12</v>
      </c>
      <c r="CB94" s="20">
        <f t="shared" si="64"/>
        <v>5.2667878847729083E-12</v>
      </c>
      <c r="CC94" s="59">
        <f t="shared" si="65"/>
        <v>274.68682684285034</v>
      </c>
      <c r="CD94" s="59">
        <f ca="1">AVERAGE(OFFSET($CC$3,0,0,'Données projet'!$E$12+1,1))-AVERAGE(OFFSET($H$3,0,0,'Données projet'!$E$12+1,1))</f>
        <v>435.81281313761326</v>
      </c>
      <c r="CE94" s="59">
        <f t="shared" si="94"/>
        <v>460.93390058676493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139.24500805266103</v>
      </c>
      <c r="CL94" s="21">
        <f>EXP(-LN(2)/25)*CL93+(1-EXP(-LN(2)/25))/(LN(2)/25)*Calculateur!CG94*Calculateur!CI94*VLOOKUP('Données projet'!$B$12,Paramètres!$A$1:$I$89,3,0)*0.475*44/12</f>
        <v>25.254503878574088</v>
      </c>
      <c r="CM94" s="21">
        <f>EXP(-LN(2)/2)*CM93+(1-EXP(-LN(2)/2))/(LN(2)/2)*CG94*CJ94*VLOOKUP('Données projet'!$B$12,Paramètres!$A$1:$I$89,3,0)*0.475*44/12</f>
        <v>4.7646484436996081E-3</v>
      </c>
      <c r="CN94" s="22">
        <f t="shared" si="66"/>
        <v>164.50427657967884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379.16472924112111</v>
      </c>
      <c r="CZ94" s="59">
        <f t="shared" si="96"/>
        <v>273.18950868898253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192.18547206801526</v>
      </c>
      <c r="DG94" s="21">
        <f>EXP(-LN(2)/25)*DG93+(1-EXP(-LN(2)/25))/(LN(2)/25)*Calculateur!DB94*Calculateur!DD94*VLOOKUP('Données projet'!$B$13,Paramètres!$A$1:$I$89,3,0)*0.475*44/12</f>
        <v>34.139455428568176</v>
      </c>
      <c r="DH94" s="21">
        <f>EXP(-LN(2)/2)*DH93+(1-EXP(-LN(2)/2))/(LN(2)/2)*DB94*DE94*VLOOKUP('Données projet'!$B$13,Paramètres!$A$1:$I$89,3,0)*0.475*44/12</f>
        <v>21.63026503882217</v>
      </c>
      <c r="DI94" s="22">
        <f t="shared" si="69"/>
        <v>247.95519253540559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6.8212102632969618E-13</v>
      </c>
      <c r="DP94" s="17">
        <f>DO94*VLOOKUP('Données projet'!$B$14,Paramètres!$A$1:$I$89,3,0)*VLOOKUP('Données projet'!$B$14,Paramètres!$A$1:$I$89,5,0)</f>
        <v>2.7489477361086753E-13</v>
      </c>
      <c r="DQ94" s="13">
        <f t="shared" si="97"/>
        <v>3.6711283554998768E-12</v>
      </c>
      <c r="DR94" s="20">
        <f t="shared" si="70"/>
        <v>6.8726569498678791E-12</v>
      </c>
      <c r="DS94" s="59">
        <f t="shared" si="71"/>
        <v>274.68682684285193</v>
      </c>
      <c r="DT94" s="59">
        <f ca="1">AVERAGE(OFFSET($DS$3,0,0,'Données projet'!$E$14+1,1))-AVERAGE(OFFSET($H$3,0,0,'Données projet'!$E$14+1,1))</f>
        <v>419.35339339286082</v>
      </c>
      <c r="DU94" s="59">
        <f t="shared" si="98"/>
        <v>359.03308141414709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214.15564171221317</v>
      </c>
      <c r="EB94" s="21">
        <f>EXP(-LN(2)/25)*EB93+(1-EXP(-LN(2)/25))/(LN(2)/25)*Calculateur!DW94*Calculateur!DY94*VLOOKUP('Données projet'!$B$14,Paramètres!$A$1:$I$89,3,0)*0.475*44/12</f>
        <v>34.377634716742335</v>
      </c>
      <c r="EC94" s="21">
        <f>EXP(-LN(2)/2)*EC93+(1-EXP(-LN(2)/2))/(LN(2)/2)*DW94*DZ94*VLOOKUP('Données projet'!$B$14,Paramètres!$A$1:$I$89,3,0)*0.475*44/12</f>
        <v>0.77153593497847173</v>
      </c>
      <c r="ED94" s="22">
        <f t="shared" si="72"/>
        <v>249.30481236393396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2.2737367544323206E-13</v>
      </c>
      <c r="EK94" s="17">
        <f>EJ94*VLOOKUP('Données projet'!$B$15,Paramètres!$A$1:$I$89,3,0)*VLOOKUP('Données projet'!$B$15,Paramètres!$A$1:$I$89,5,0)</f>
        <v>1.0049916454590858E-13</v>
      </c>
      <c r="EL94" s="13">
        <f t="shared" si="99"/>
        <v>1.5089081593838289E-12</v>
      </c>
      <c r="EM94" s="20">
        <f t="shared" si="73"/>
        <v>2.8030510891776262E-12</v>
      </c>
      <c r="EN94" s="59">
        <f t="shared" si="74"/>
        <v>274.68682684284784</v>
      </c>
      <c r="EO94" s="59">
        <f ca="1">AVERAGE(OFFSET($EN$3,0,0,'Données projet'!$E$15+1,1))-AVERAGE(OFFSET($H$3,0,0,'Données projet'!$E$15+1,1))</f>
        <v>561.50881628354409</v>
      </c>
      <c r="EP94" s="59">
        <f t="shared" si="100"/>
        <v>468.67708352238458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268.72547924928165</v>
      </c>
      <c r="EW94" s="21">
        <f>EXP(-LN(2)/25)*EW93+(1-EXP(-LN(2)/25))/(LN(2)/25)*Calculateur!ER94*Calculateur!ET94*VLOOKUP('Données projet'!$B$15,Paramètres!$A$1:$I$89,3,0)*0.475*44/12</f>
        <v>44.599070028886651</v>
      </c>
      <c r="EX94" s="21">
        <f>EXP(-LN(2)/2)*EX93+(1-EXP(-LN(2)/2))/(LN(2)/2)*ER94*EU94*VLOOKUP('Données projet'!$B$15,Paramètres!$A$1:$I$89,3,0)*0.475*44/12</f>
        <v>1.0224779746025323</v>
      </c>
      <c r="EY94" s="22">
        <f t="shared" si="75"/>
        <v>314.34702725277083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314.39999999999986</v>
      </c>
      <c r="O95" s="13">
        <f>N95*VLOOKUP('Données projet'!$B$9,Paramètres!$A$1:$I$89,3,0)*VLOOKUP('Données projet'!$B$9,Paramètres!$A$1:$I$89,5,0)</f>
        <v>284.46911999999986</v>
      </c>
      <c r="P95" s="13">
        <f t="shared" si="87"/>
        <v>67.91059023737904</v>
      </c>
      <c r="Q95" s="20">
        <f t="shared" si="54"/>
        <v>613.72799533010152</v>
      </c>
      <c r="R95" s="59">
        <f t="shared" si="55"/>
        <v>888.7382973732133</v>
      </c>
      <c r="S95" s="59">
        <f ca="1">AVERAGE(OFFSET($R$3,0,0,'Données projet'!$E$9+1,1))-AVERAGE(OFFSET($H$3,0,0,'Données projet'!$E$9+1,1))</f>
        <v>484.04602944257209</v>
      </c>
      <c r="T95" s="59">
        <f t="shared" si="88"/>
        <v>297.32483725004124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38.78143882011986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38.78143882011986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2.8</v>
      </c>
      <c r="AI95" s="13">
        <f>IF('Données projet'!$A$62&gt;35,AI94+AH95-AQ94,IF(A95&lt;'Données projet'!$A$62,$AF$205^A95,IF(A95='Données projet'!$A$62,'Données projet'!$B$62,AI94+AH95-AQ94)))</f>
        <v>259.59999999999991</v>
      </c>
      <c r="AJ95" s="13">
        <f>AI95*VLOOKUP('Données projet'!$B$10,Paramètres!$A$1:$I$89,3,0)*VLOOKUP('Données projet'!$B$10,Paramètres!$A$1:$I$89,5,0)</f>
        <v>295.63247999999987</v>
      </c>
      <c r="AK95" s="13">
        <f t="shared" si="89"/>
        <v>70.260083502956803</v>
      </c>
      <c r="AL95" s="20">
        <f t="shared" si="58"/>
        <v>637.26288143431623</v>
      </c>
      <c r="AM95" s="59">
        <f t="shared" si="59"/>
        <v>912.27318347742789</v>
      </c>
      <c r="AN95" s="59">
        <f ca="1">AVERAGE(OFFSET($AM$3,0,0,'Données projet'!$E$10+1,1))-AVERAGE(OFFSET($H$3,0,0,'Données projet'!$E$10+1,1))</f>
        <v>493.74122500490859</v>
      </c>
      <c r="AO95" s="59">
        <f t="shared" si="90"/>
        <v>299.43985151679692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36.608340955199353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36.608340955199353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364.64276939439014</v>
      </c>
      <c r="BJ95" s="59">
        <f t="shared" si="92"/>
        <v>341.7578598026638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104.41545350222577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104.41545350222577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3.4106051316484809E-13</v>
      </c>
      <c r="BZ95" s="13">
        <f>BY95*VLOOKUP('Données projet'!$B$12,Paramètres!$A$1:$I$89,3,0)*VLOOKUP('Données projet'!$B$12,Paramètres!$A$1:$I$89,5,0)</f>
        <v>2.0395418687257919E-13</v>
      </c>
      <c r="CA95" s="13">
        <f t="shared" si="93"/>
        <v>2.8200388570161721E-12</v>
      </c>
      <c r="CB95" s="20">
        <f t="shared" si="64"/>
        <v>5.2667878847729083E-12</v>
      </c>
      <c r="CC95" s="59">
        <f t="shared" si="65"/>
        <v>275.01030204311701</v>
      </c>
      <c r="CD95" s="59">
        <f ca="1">AVERAGE(OFFSET($CC$3,0,0,'Données projet'!$E$12+1,1))-AVERAGE(OFFSET($H$3,0,0,'Données projet'!$E$12+1,1))</f>
        <v>435.81281313761326</v>
      </c>
      <c r="CE95" s="59">
        <f t="shared" si="94"/>
        <v>460.93390058676493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136.51449837581703</v>
      </c>
      <c r="CL95" s="21">
        <f>EXP(-LN(2)/25)*CL94+(1-EXP(-LN(2)/25))/(LN(2)/25)*Calculateur!CG95*Calculateur!CI95*VLOOKUP('Données projet'!$B$12,Paramètres!$A$1:$I$89,3,0)*0.475*44/12</f>
        <v>24.56391814193784</v>
      </c>
      <c r="CM95" s="21">
        <f>EXP(-LN(2)/2)*CM94+(1-EXP(-LN(2)/2))/(LN(2)/2)*CG95*CJ95*VLOOKUP('Données projet'!$B$12,Paramètres!$A$1:$I$89,3,0)*0.475*44/12</f>
        <v>3.369115224509923E-3</v>
      </c>
      <c r="CN95" s="22">
        <f t="shared" si="66"/>
        <v>161.08178563297938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379.16472924112111</v>
      </c>
      <c r="CZ95" s="59">
        <f t="shared" si="96"/>
        <v>273.18950868898253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188.41683218232478</v>
      </c>
      <c r="DG95" s="21">
        <f>EXP(-LN(2)/25)*DG94+(1-EXP(-LN(2)/25))/(LN(2)/25)*Calculateur!DB95*Calculateur!DD95*VLOOKUP('Données projet'!$B$13,Paramètres!$A$1:$I$89,3,0)*0.475*44/12</f>
        <v>33.205910224558046</v>
      </c>
      <c r="DH95" s="21">
        <f>EXP(-LN(2)/2)*DH94+(1-EXP(-LN(2)/2))/(LN(2)/2)*DB95*DE95*VLOOKUP('Données projet'!$B$13,Paramètres!$A$1:$I$89,3,0)*0.475*44/12</f>
        <v>15.294907087813458</v>
      </c>
      <c r="DI95" s="22">
        <f t="shared" si="69"/>
        <v>236.91764949469629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6.8212102632969618E-13</v>
      </c>
      <c r="DP95" s="17">
        <f>DO95*VLOOKUP('Données projet'!$B$14,Paramètres!$A$1:$I$89,3,0)*VLOOKUP('Données projet'!$B$14,Paramètres!$A$1:$I$89,5,0)</f>
        <v>2.7489477361086753E-13</v>
      </c>
      <c r="DQ95" s="13">
        <f t="shared" si="97"/>
        <v>3.6711283554998768E-12</v>
      </c>
      <c r="DR95" s="20">
        <f t="shared" si="70"/>
        <v>6.8726569498678791E-12</v>
      </c>
      <c r="DS95" s="59">
        <f t="shared" si="71"/>
        <v>275.0103020431186</v>
      </c>
      <c r="DT95" s="59">
        <f ca="1">AVERAGE(OFFSET($DS$3,0,0,'Données projet'!$E$14+1,1))-AVERAGE(OFFSET($H$3,0,0,'Données projet'!$E$14+1,1))</f>
        <v>419.35339339286082</v>
      </c>
      <c r="DU95" s="59">
        <f t="shared" si="98"/>
        <v>359.03308141414709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209.95618020028024</v>
      </c>
      <c r="EB95" s="21">
        <f>EXP(-LN(2)/25)*EB94+(1-EXP(-LN(2)/25))/(LN(2)/25)*Calculateur!DW95*Calculateur!DY95*VLOOKUP('Données projet'!$B$14,Paramètres!$A$1:$I$89,3,0)*0.475*44/12</f>
        <v>33.437576487571775</v>
      </c>
      <c r="EC95" s="21">
        <f>EXP(-LN(2)/2)*EC94+(1-EXP(-LN(2)/2))/(LN(2)/2)*DW95*DZ95*VLOOKUP('Données projet'!$B$14,Paramètres!$A$1:$I$89,3,0)*0.475*44/12</f>
        <v>0.54555829155238056</v>
      </c>
      <c r="ED95" s="22">
        <f t="shared" si="72"/>
        <v>243.9393149794044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2.2737367544323206E-13</v>
      </c>
      <c r="EK95" s="17">
        <f>EJ95*VLOOKUP('Données projet'!$B$15,Paramètres!$A$1:$I$89,3,0)*VLOOKUP('Données projet'!$B$15,Paramètres!$A$1:$I$89,5,0)</f>
        <v>1.0049916454590858E-13</v>
      </c>
      <c r="EL95" s="13">
        <f t="shared" si="99"/>
        <v>1.5089081593838289E-12</v>
      </c>
      <c r="EM95" s="20">
        <f t="shared" si="73"/>
        <v>2.8030510891776262E-12</v>
      </c>
      <c r="EN95" s="59">
        <f t="shared" si="74"/>
        <v>275.01030204311451</v>
      </c>
      <c r="EO95" s="59">
        <f ca="1">AVERAGE(OFFSET($EN$3,0,0,'Données projet'!$E$15+1,1))-AVERAGE(OFFSET($H$3,0,0,'Données projet'!$E$15+1,1))</f>
        <v>561.50881628354409</v>
      </c>
      <c r="EP95" s="59">
        <f t="shared" si="100"/>
        <v>468.67708352238458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263.45593650756115</v>
      </c>
      <c r="EW95" s="21">
        <f>EXP(-LN(2)/25)*EW94+(1-EXP(-LN(2)/25))/(LN(2)/25)*Calculateur!ER95*Calculateur!ET95*VLOOKUP('Données projet'!$B$15,Paramètres!$A$1:$I$89,3,0)*0.475*44/12</f>
        <v>43.379506113583588</v>
      </c>
      <c r="EX95" s="21">
        <f>EXP(-LN(2)/2)*EX94+(1-EXP(-LN(2)/2))/(LN(2)/2)*ER95*EU95*VLOOKUP('Données projet'!$B$15,Paramètres!$A$1:$I$89,3,0)*0.475*44/12</f>
        <v>0.72300110945533713</v>
      </c>
      <c r="EY95" s="22">
        <f t="shared" si="75"/>
        <v>307.55844373060006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320.59999999999985</v>
      </c>
      <c r="O96" s="13">
        <f>N96*VLOOKUP('Données projet'!$B$9,Paramètres!$A$1:$I$89,3,0)*VLOOKUP('Données projet'!$B$9,Paramètres!$A$1:$I$89,5,0)</f>
        <v>290.07887999999986</v>
      </c>
      <c r="P96" s="13">
        <f t="shared" si="87"/>
        <v>69.092562427360406</v>
      </c>
      <c r="Q96" s="20">
        <f t="shared" si="54"/>
        <v>625.55692889431907</v>
      </c>
      <c r="R96" s="59">
        <f t="shared" si="55"/>
        <v>900.88509456615498</v>
      </c>
      <c r="S96" s="59">
        <f ca="1">AVERAGE(OFFSET($R$3,0,0,'Données projet'!$E$9+1,1))-AVERAGE(OFFSET($H$3,0,0,'Données projet'!$E$9+1,1))</f>
        <v>484.04602944257209</v>
      </c>
      <c r="T96" s="59">
        <f t="shared" si="88"/>
        <v>297.32483725004124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38.020958459199321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38.020958459199321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2.8</v>
      </c>
      <c r="AI96" s="13">
        <f>IF('Données projet'!$A$62&gt;35,AI95+AH96-AQ95,IF(A96&lt;'Données projet'!$A$62,$AF$205^A96,IF(A96='Données projet'!$A$62,'Données projet'!$B$62,AI95+AH96-AQ95)))</f>
        <v>262.39999999999992</v>
      </c>
      <c r="AJ96" s="13">
        <f>AI96*VLOOKUP('Données projet'!$B$10,Paramètres!$A$1:$I$89,3,0)*VLOOKUP('Données projet'!$B$10,Paramètres!$A$1:$I$89,5,0)</f>
        <v>298.82111999999989</v>
      </c>
      <c r="AK96" s="13">
        <f t="shared" si="89"/>
        <v>70.929268342328783</v>
      </c>
      <c r="AL96" s="20">
        <f t="shared" si="58"/>
        <v>643.98192636288911</v>
      </c>
      <c r="AM96" s="59">
        <f t="shared" si="59"/>
        <v>919.31009203472513</v>
      </c>
      <c r="AN96" s="59">
        <f ca="1">AVERAGE(OFFSET($AM$3,0,0,'Données projet'!$E$10+1,1))-AVERAGE(OFFSET($H$3,0,0,'Données projet'!$E$10+1,1))</f>
        <v>493.74122500490859</v>
      </c>
      <c r="AO96" s="59">
        <f t="shared" si="90"/>
        <v>299.43985151679692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35.890473717951082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35.890473717951082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364.64276939439014</v>
      </c>
      <c r="BJ96" s="59">
        <f t="shared" si="92"/>
        <v>341.7578598026638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102.36793014618517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102.36793014618517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3.4106051316484809E-13</v>
      </c>
      <c r="BZ96" s="13">
        <f>BY96*VLOOKUP('Données projet'!$B$12,Paramètres!$A$1:$I$89,3,0)*VLOOKUP('Données projet'!$B$12,Paramètres!$A$1:$I$89,5,0)</f>
        <v>2.0395418687257919E-13</v>
      </c>
      <c r="CA96" s="13">
        <f t="shared" si="93"/>
        <v>2.8200388570161721E-12</v>
      </c>
      <c r="CB96" s="20">
        <f t="shared" si="64"/>
        <v>5.2667878847729083E-12</v>
      </c>
      <c r="CC96" s="59">
        <f t="shared" si="65"/>
        <v>275.32816567184125</v>
      </c>
      <c r="CD96" s="59">
        <f ca="1">AVERAGE(OFFSET($CC$3,0,0,'Données projet'!$E$12+1,1))-AVERAGE(OFFSET($H$3,0,0,'Données projet'!$E$12+1,1))</f>
        <v>435.81281313761326</v>
      </c>
      <c r="CE96" s="59">
        <f t="shared" si="94"/>
        <v>460.93390058676493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133.83753232828946</v>
      </c>
      <c r="CL96" s="21">
        <f>EXP(-LN(2)/25)*CL95+(1-EXP(-LN(2)/25))/(LN(2)/25)*Calculateur!CG96*Calculateur!CI96*VLOOKUP('Données projet'!$B$12,Paramètres!$A$1:$I$89,3,0)*0.475*44/12</f>
        <v>23.892216508586237</v>
      </c>
      <c r="CM96" s="21">
        <f>EXP(-LN(2)/2)*CM95+(1-EXP(-LN(2)/2))/(LN(2)/2)*CG96*CJ96*VLOOKUP('Données projet'!$B$12,Paramètres!$A$1:$I$89,3,0)*0.475*44/12</f>
        <v>2.3823242218498041E-3</v>
      </c>
      <c r="CN96" s="22">
        <f t="shared" si="66"/>
        <v>157.73213116109756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379.16472924112111</v>
      </c>
      <c r="CZ96" s="59">
        <f t="shared" si="96"/>
        <v>273.18950868898253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184.72209302614934</v>
      </c>
      <c r="DG96" s="21">
        <f>EXP(-LN(2)/25)*DG95+(1-EXP(-LN(2)/25))/(LN(2)/25)*Calculateur!DB96*Calculateur!DD96*VLOOKUP('Données projet'!$B$13,Paramètres!$A$1:$I$89,3,0)*0.475*44/12</f>
        <v>32.297892863244584</v>
      </c>
      <c r="DH96" s="21">
        <f>EXP(-LN(2)/2)*DH95+(1-EXP(-LN(2)/2))/(LN(2)/2)*DB96*DE96*VLOOKUP('Données projet'!$B$13,Paramètres!$A$1:$I$89,3,0)*0.475*44/12</f>
        <v>10.815132519411087</v>
      </c>
      <c r="DI96" s="22">
        <f t="shared" si="69"/>
        <v>227.83511840880502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6.8212102632969618E-13</v>
      </c>
      <c r="DP96" s="17">
        <f>DO96*VLOOKUP('Données projet'!$B$14,Paramètres!$A$1:$I$89,3,0)*VLOOKUP('Données projet'!$B$14,Paramètres!$A$1:$I$89,5,0)</f>
        <v>2.7489477361086753E-13</v>
      </c>
      <c r="DQ96" s="13">
        <f t="shared" si="97"/>
        <v>3.6711283554998768E-12</v>
      </c>
      <c r="DR96" s="20">
        <f t="shared" si="70"/>
        <v>6.8726569498678791E-12</v>
      </c>
      <c r="DS96" s="59">
        <f t="shared" si="71"/>
        <v>275.32816567184284</v>
      </c>
      <c r="DT96" s="59">
        <f ca="1">AVERAGE(OFFSET($DS$3,0,0,'Données projet'!$E$14+1,1))-AVERAGE(OFFSET($H$3,0,0,'Données projet'!$E$14+1,1))</f>
        <v>419.35339339286082</v>
      </c>
      <c r="DU96" s="59">
        <f t="shared" si="98"/>
        <v>359.03308141414709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205.83906756717772</v>
      </c>
      <c r="EB96" s="21">
        <f>EXP(-LN(2)/25)*EB95+(1-EXP(-LN(2)/25))/(LN(2)/25)*Calculateur!DW96*Calculateur!DY96*VLOOKUP('Données projet'!$B$14,Paramètres!$A$1:$I$89,3,0)*0.475*44/12</f>
        <v>32.523224200113397</v>
      </c>
      <c r="EC96" s="21">
        <f>EXP(-LN(2)/2)*EC95+(1-EXP(-LN(2)/2))/(LN(2)/2)*DW96*DZ96*VLOOKUP('Données projet'!$B$14,Paramètres!$A$1:$I$89,3,0)*0.475*44/12</f>
        <v>0.38576796748923586</v>
      </c>
      <c r="ED96" s="22">
        <f t="shared" si="72"/>
        <v>238.74805973478036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2.2737367544323206E-13</v>
      </c>
      <c r="EK96" s="17">
        <f>EJ96*VLOOKUP('Données projet'!$B$15,Paramètres!$A$1:$I$89,3,0)*VLOOKUP('Données projet'!$B$15,Paramètres!$A$1:$I$89,5,0)</f>
        <v>1.0049916454590858E-13</v>
      </c>
      <c r="EL96" s="13">
        <f t="shared" si="99"/>
        <v>1.5089081593838289E-12</v>
      </c>
      <c r="EM96" s="20">
        <f t="shared" si="73"/>
        <v>2.8030510891776262E-12</v>
      </c>
      <c r="EN96" s="59">
        <f t="shared" si="74"/>
        <v>275.32816567183875</v>
      </c>
      <c r="EO96" s="59">
        <f ca="1">AVERAGE(OFFSET($EN$3,0,0,'Données projet'!$E$15+1,1))-AVERAGE(OFFSET($H$3,0,0,'Données projet'!$E$15+1,1))</f>
        <v>561.50881628354409</v>
      </c>
      <c r="EP96" s="59">
        <f t="shared" si="100"/>
        <v>468.67708352238458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258.28972628490209</v>
      </c>
      <c r="EW96" s="21">
        <f>EXP(-LN(2)/25)*EW95+(1-EXP(-LN(2)/25))/(LN(2)/25)*Calculateur!ER96*Calculateur!ET96*VLOOKUP('Données projet'!$B$15,Paramètres!$A$1:$I$89,3,0)*0.475*44/12</f>
        <v>42.193291237678565</v>
      </c>
      <c r="EX96" s="21">
        <f>EXP(-LN(2)/2)*EX95+(1-EXP(-LN(2)/2))/(LN(2)/2)*ER96*EU96*VLOOKUP('Données projet'!$B$15,Paramètres!$A$1:$I$89,3,0)*0.475*44/12</f>
        <v>0.51123898730126616</v>
      </c>
      <c r="EY96" s="22">
        <f t="shared" si="75"/>
        <v>300.99425650988195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326.79999999999984</v>
      </c>
      <c r="O97" s="13">
        <f>N97*VLOOKUP('Données projet'!$B$9,Paramètres!$A$1:$I$89,3,0)*VLOOKUP('Données projet'!$B$9,Paramètres!$A$1:$I$89,5,0)</f>
        <v>295.68863999999985</v>
      </c>
      <c r="P97" s="13">
        <f t="shared" si="87"/>
        <v>70.271876780519676</v>
      </c>
      <c r="Q97" s="20">
        <f t="shared" si="54"/>
        <v>637.38123339273818</v>
      </c>
      <c r="R97" s="59">
        <f t="shared" si="55"/>
        <v>913.02174846997673</v>
      </c>
      <c r="S97" s="59">
        <f ca="1">AVERAGE(OFFSET($R$3,0,0,'Données projet'!$E$9+1,1))-AVERAGE(OFFSET($H$3,0,0,'Données projet'!$E$9+1,1))</f>
        <v>484.04602944257209</v>
      </c>
      <c r="T97" s="59">
        <f t="shared" si="88"/>
        <v>297.32483725004124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37.275390654309213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37.275390654309213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2.8</v>
      </c>
      <c r="AI97" s="13">
        <f>IF('Données projet'!$A$62&gt;35,AI96+AH97-AQ96,IF(A97&lt;'Données projet'!$A$62,$AF$205^A97,IF(A97='Données projet'!$A$62,'Données projet'!$B$62,AI96+AH97-AQ96)))</f>
        <v>265.19999999999993</v>
      </c>
      <c r="AJ97" s="13">
        <f>AI97*VLOOKUP('Données projet'!$B$10,Paramètres!$A$1:$I$89,3,0)*VLOOKUP('Données projet'!$B$10,Paramètres!$A$1:$I$89,5,0)</f>
        <v>302.00975999999991</v>
      </c>
      <c r="AK97" s="13">
        <f t="shared" si="89"/>
        <v>71.597622504471275</v>
      </c>
      <c r="AL97" s="20">
        <f t="shared" si="58"/>
        <v>650.6995245286206</v>
      </c>
      <c r="AM97" s="59">
        <f t="shared" si="59"/>
        <v>926.34003960585915</v>
      </c>
      <c r="AN97" s="59">
        <f ca="1">AVERAGE(OFFSET($AM$3,0,0,'Données projet'!$E$10+1,1))-AVERAGE(OFFSET($H$3,0,0,'Données projet'!$E$10+1,1))</f>
        <v>493.74122500490859</v>
      </c>
      <c r="AO97" s="59">
        <f t="shared" si="90"/>
        <v>299.43985151679692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35.186683419369473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35.186683419369473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364.64276939439014</v>
      </c>
      <c r="BJ97" s="59">
        <f t="shared" si="92"/>
        <v>341.7578598026638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100.3605574742906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100.3605574742906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3.4106051316484809E-13</v>
      </c>
      <c r="BZ97" s="13">
        <f>BY97*VLOOKUP('Données projet'!$B$12,Paramètres!$A$1:$I$89,3,0)*VLOOKUP('Données projet'!$B$12,Paramètres!$A$1:$I$89,5,0)</f>
        <v>2.0395418687257919E-13</v>
      </c>
      <c r="CA97" s="13">
        <f t="shared" si="93"/>
        <v>2.8200388570161721E-12</v>
      </c>
      <c r="CB97" s="20">
        <f t="shared" si="64"/>
        <v>5.2667878847729083E-12</v>
      </c>
      <c r="CC97" s="59">
        <f t="shared" si="65"/>
        <v>275.64051507724378</v>
      </c>
      <c r="CD97" s="59">
        <f ca="1">AVERAGE(OFFSET($CC$3,0,0,'Données projet'!$E$12+1,1))-AVERAGE(OFFSET($H$3,0,0,'Données projet'!$E$12+1,1))</f>
        <v>435.81281313761326</v>
      </c>
      <c r="CE97" s="59">
        <f t="shared" si="94"/>
        <v>460.93390058676493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131.21305995216585</v>
      </c>
      <c r="CL97" s="21">
        <f>EXP(-LN(2)/25)*CL96+(1-EXP(-LN(2)/25))/(LN(2)/25)*Calculateur!CG97*Calculateur!CI97*VLOOKUP('Données projet'!$B$12,Paramètres!$A$1:$I$89,3,0)*0.475*44/12</f>
        <v>23.238882591721886</v>
      </c>
      <c r="CM97" s="21">
        <f>EXP(-LN(2)/2)*CM96+(1-EXP(-LN(2)/2))/(LN(2)/2)*CG97*CJ97*VLOOKUP('Données projet'!$B$12,Paramètres!$A$1:$I$89,3,0)*0.475*44/12</f>
        <v>1.6845576122549615E-3</v>
      </c>
      <c r="CN97" s="22">
        <f t="shared" si="66"/>
        <v>154.45362710149999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379.16472924112111</v>
      </c>
      <c r="CZ97" s="59">
        <f t="shared" si="96"/>
        <v>273.18950868898253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181.09980545125813</v>
      </c>
      <c r="DG97" s="21">
        <f>EXP(-LN(2)/25)*DG96+(1-EXP(-LN(2)/25))/(LN(2)/25)*Calculateur!DB97*Calculateur!DD97*VLOOKUP('Données projet'!$B$13,Paramètres!$A$1:$I$89,3,0)*0.475*44/12</f>
        <v>31.414705284426795</v>
      </c>
      <c r="DH97" s="21">
        <f>EXP(-LN(2)/2)*DH96+(1-EXP(-LN(2)/2))/(LN(2)/2)*DB97*DE97*VLOOKUP('Données projet'!$B$13,Paramètres!$A$1:$I$89,3,0)*0.475*44/12</f>
        <v>7.6474535439067299</v>
      </c>
      <c r="DI97" s="22">
        <f t="shared" si="69"/>
        <v>220.16196427959164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6.8212102632969618E-13</v>
      </c>
      <c r="DP97" s="17">
        <f>DO97*VLOOKUP('Données projet'!$B$14,Paramètres!$A$1:$I$89,3,0)*VLOOKUP('Données projet'!$B$14,Paramètres!$A$1:$I$89,5,0)</f>
        <v>2.7489477361086753E-13</v>
      </c>
      <c r="DQ97" s="13">
        <f t="shared" si="97"/>
        <v>3.6711283554998768E-12</v>
      </c>
      <c r="DR97" s="20">
        <f t="shared" si="70"/>
        <v>6.8726569498678791E-12</v>
      </c>
      <c r="DS97" s="59">
        <f t="shared" si="71"/>
        <v>275.64051507724537</v>
      </c>
      <c r="DT97" s="59">
        <f ca="1">AVERAGE(OFFSET($DS$3,0,0,'Données projet'!$E$14+1,1))-AVERAGE(OFFSET($H$3,0,0,'Données projet'!$E$14+1,1))</f>
        <v>419.35339339286082</v>
      </c>
      <c r="DU97" s="59">
        <f t="shared" si="98"/>
        <v>359.03308141414709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201.8026890016196</v>
      </c>
      <c r="EB97" s="21">
        <f>EXP(-LN(2)/25)*EB96+(1-EXP(-LN(2)/25))/(LN(2)/25)*Calculateur!DW97*Calculateur!DY97*VLOOKUP('Données projet'!$B$14,Paramètres!$A$1:$I$89,3,0)*0.475*44/12</f>
        <v>31.633874924039269</v>
      </c>
      <c r="EC97" s="21">
        <f>EXP(-LN(2)/2)*EC96+(1-EXP(-LN(2)/2))/(LN(2)/2)*DW97*DZ97*VLOOKUP('Données projet'!$B$14,Paramètres!$A$1:$I$89,3,0)*0.475*44/12</f>
        <v>0.27277914577619028</v>
      </c>
      <c r="ED97" s="22">
        <f t="shared" si="72"/>
        <v>233.70934307143506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2.2737367544323206E-13</v>
      </c>
      <c r="EK97" s="17">
        <f>EJ97*VLOOKUP('Données projet'!$B$15,Paramètres!$A$1:$I$89,3,0)*VLOOKUP('Données projet'!$B$15,Paramètres!$A$1:$I$89,5,0)</f>
        <v>1.0049916454590858E-13</v>
      </c>
      <c r="EL97" s="13">
        <f t="shared" si="99"/>
        <v>1.5089081593838289E-12</v>
      </c>
      <c r="EM97" s="20">
        <f t="shared" si="73"/>
        <v>2.8030510891776262E-12</v>
      </c>
      <c r="EN97" s="59">
        <f t="shared" si="74"/>
        <v>275.64051507724128</v>
      </c>
      <c r="EO97" s="59">
        <f ca="1">AVERAGE(OFFSET($EN$3,0,0,'Données projet'!$E$15+1,1))-AVERAGE(OFFSET($H$3,0,0,'Données projet'!$E$15+1,1))</f>
        <v>561.50881628354409</v>
      </c>
      <c r="EP97" s="59">
        <f t="shared" si="100"/>
        <v>468.67708352238458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253.22482229363229</v>
      </c>
      <c r="EW97" s="21">
        <f>EXP(-LN(2)/25)*EW96+(1-EXP(-LN(2)/25))/(LN(2)/25)*Calculateur!ER97*Calculateur!ET97*VLOOKUP('Données projet'!$B$15,Paramètres!$A$1:$I$89,3,0)*0.475*44/12</f>
        <v>41.039513469935493</v>
      </c>
      <c r="EX97" s="21">
        <f>EXP(-LN(2)/2)*EX96+(1-EXP(-LN(2)/2))/(LN(2)/2)*ER97*EU97*VLOOKUP('Données projet'!$B$15,Paramètres!$A$1:$I$89,3,0)*0.475*44/12</f>
        <v>0.36150055472766857</v>
      </c>
      <c r="EY97" s="22">
        <f t="shared" si="75"/>
        <v>294.62583631829546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332.99999999999983</v>
      </c>
      <c r="O98" s="13">
        <f>N98*VLOOKUP('Données projet'!$B$9,Paramètres!$A$1:$I$89,3,0)*VLOOKUP('Données projet'!$B$9,Paramètres!$A$1:$I$89,5,0)</f>
        <v>301.29839999999984</v>
      </c>
      <c r="P98" s="13">
        <f t="shared" si="87"/>
        <v>71.448589534990518</v>
      </c>
      <c r="Q98" s="20">
        <f t="shared" si="54"/>
        <v>649.20100677344146</v>
      </c>
      <c r="R98" s="59">
        <f t="shared" si="55"/>
        <v>925.14845269220746</v>
      </c>
      <c r="S98" s="59">
        <f ca="1">AVERAGE(OFFSET($R$3,0,0,'Données projet'!$E$9+1,1))-AVERAGE(OFFSET($H$3,0,0,'Données projet'!$E$9+1,1))</f>
        <v>484.04602944257209</v>
      </c>
      <c r="T98" s="59">
        <f t="shared" si="88"/>
        <v>297.32483725004124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44.974378043076648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44.974378043076648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2.8</v>
      </c>
      <c r="AI98" s="13">
        <f>IF('Données projet'!$A$62&gt;35,AI97+AH98-AQ97,IF(A98&lt;'Données projet'!$A$62,$AF$205^A98,IF(A98='Données projet'!$A$62,'Données projet'!$B$62,AI97+AH98-AQ97)))</f>
        <v>267.99999999999994</v>
      </c>
      <c r="AJ98" s="13">
        <f>AI98*VLOOKUP('Données projet'!$B$10,Paramètres!$A$1:$I$89,3,0)*VLOOKUP('Données projet'!$B$10,Paramètres!$A$1:$I$89,5,0)</f>
        <v>305.19839999999994</v>
      </c>
      <c r="AK98" s="13">
        <f t="shared" si="89"/>
        <v>72.265155774951779</v>
      </c>
      <c r="AL98" s="20">
        <f t="shared" si="58"/>
        <v>657.41569297470744</v>
      </c>
      <c r="AM98" s="59">
        <f t="shared" si="59"/>
        <v>933.36313889347343</v>
      </c>
      <c r="AN98" s="59">
        <f ca="1">AVERAGE(OFFSET($AM$3,0,0,'Données projet'!$E$10+1,1))-AVERAGE(OFFSET($H$3,0,0,'Données projet'!$E$10+1,1))</f>
        <v>493.74122500490859</v>
      </c>
      <c r="AO98" s="59">
        <f t="shared" si="90"/>
        <v>299.43985151679692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34.496694019273349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34.496694019273349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364.64276939439014</v>
      </c>
      <c r="BJ98" s="59">
        <f t="shared" si="92"/>
        <v>341.7578598026638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98.392548156115453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98.392548156115453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3.4106051316484809E-13</v>
      </c>
      <c r="BZ98" s="13">
        <f>BY98*VLOOKUP('Données projet'!$B$12,Paramètres!$A$1:$I$89,3,0)*VLOOKUP('Données projet'!$B$12,Paramètres!$A$1:$I$89,5,0)</f>
        <v>2.0395418687257919E-13</v>
      </c>
      <c r="CA98" s="13">
        <f t="shared" si="93"/>
        <v>2.8200388570161721E-12</v>
      </c>
      <c r="CB98" s="20">
        <f t="shared" si="64"/>
        <v>5.2667878847729083E-12</v>
      </c>
      <c r="CC98" s="59">
        <f t="shared" si="65"/>
        <v>275.94744591877122</v>
      </c>
      <c r="CD98" s="59">
        <f ca="1">AVERAGE(OFFSET($CC$3,0,0,'Données projet'!$E$12+1,1))-AVERAGE(OFFSET($H$3,0,0,'Données projet'!$E$12+1,1))</f>
        <v>435.81281313761326</v>
      </c>
      <c r="CE98" s="59">
        <f t="shared" si="94"/>
        <v>460.93390058676493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128.64005187856793</v>
      </c>
      <c r="CL98" s="21">
        <f>EXP(-LN(2)/25)*CL97+(1-EXP(-LN(2)/25))/(LN(2)/25)*Calculateur!CG98*Calculateur!CI98*VLOOKUP('Données projet'!$B$12,Paramètres!$A$1:$I$89,3,0)*0.475*44/12</f>
        <v>22.603414125171529</v>
      </c>
      <c r="CM98" s="21">
        <f>EXP(-LN(2)/2)*CM97+(1-EXP(-LN(2)/2))/(LN(2)/2)*CG98*CJ98*VLOOKUP('Données projet'!$B$12,Paramètres!$A$1:$I$89,3,0)*0.475*44/12</f>
        <v>1.191162110924902E-3</v>
      </c>
      <c r="CN98" s="22">
        <f t="shared" si="66"/>
        <v>151.24465716585038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379.16472924112111</v>
      </c>
      <c r="CZ98" s="59">
        <f t="shared" si="96"/>
        <v>273.18950868898253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177.54854872633328</v>
      </c>
      <c r="DG98" s="21">
        <f>EXP(-LN(2)/25)*DG97+(1-EXP(-LN(2)/25))/(LN(2)/25)*Calculateur!DB98*Calculateur!DD98*VLOOKUP('Données projet'!$B$13,Paramètres!$A$1:$I$89,3,0)*0.475*44/12</f>
        <v>30.555668516396594</v>
      </c>
      <c r="DH98" s="21">
        <f>EXP(-LN(2)/2)*DH97+(1-EXP(-LN(2)/2))/(LN(2)/2)*DB98*DE98*VLOOKUP('Données projet'!$B$13,Paramètres!$A$1:$I$89,3,0)*0.475*44/12</f>
        <v>5.4075662597055443</v>
      </c>
      <c r="DI98" s="22">
        <f t="shared" si="69"/>
        <v>213.51178350243541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6.8212102632969618E-13</v>
      </c>
      <c r="DP98" s="17">
        <f>DO98*VLOOKUP('Données projet'!$B$14,Paramètres!$A$1:$I$89,3,0)*VLOOKUP('Données projet'!$B$14,Paramètres!$A$1:$I$89,5,0)</f>
        <v>2.7489477361086753E-13</v>
      </c>
      <c r="DQ98" s="13">
        <f t="shared" si="97"/>
        <v>3.6711283554998768E-12</v>
      </c>
      <c r="DR98" s="20">
        <f t="shared" si="70"/>
        <v>6.8726569498678791E-12</v>
      </c>
      <c r="DS98" s="59">
        <f t="shared" si="71"/>
        <v>275.94744591877281</v>
      </c>
      <c r="DT98" s="59">
        <f ca="1">AVERAGE(OFFSET($DS$3,0,0,'Données projet'!$E$14+1,1))-AVERAGE(OFFSET($H$3,0,0,'Données projet'!$E$14+1,1))</f>
        <v>419.35339339286082</v>
      </c>
      <c r="DU98" s="59">
        <f t="shared" si="98"/>
        <v>359.03308141414709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197.84546135778425</v>
      </c>
      <c r="EB98" s="21">
        <f>EXP(-LN(2)/25)*EB97+(1-EXP(-LN(2)/25))/(LN(2)/25)*Calculateur!DW98*Calculateur!DY98*VLOOKUP('Données projet'!$B$14,Paramètres!$A$1:$I$89,3,0)*0.475*44/12</f>
        <v>30.768844950688234</v>
      </c>
      <c r="EC98" s="21">
        <f>EXP(-LN(2)/2)*EC97+(1-EXP(-LN(2)/2))/(LN(2)/2)*DW98*DZ98*VLOOKUP('Données projet'!$B$14,Paramètres!$A$1:$I$89,3,0)*0.475*44/12</f>
        <v>0.19288398374461793</v>
      </c>
      <c r="ED98" s="22">
        <f t="shared" si="72"/>
        <v>228.80719029221709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2.2737367544323206E-13</v>
      </c>
      <c r="EK98" s="17">
        <f>EJ98*VLOOKUP('Données projet'!$B$15,Paramètres!$A$1:$I$89,3,0)*VLOOKUP('Données projet'!$B$15,Paramètres!$A$1:$I$89,5,0)</f>
        <v>1.0049916454590858E-13</v>
      </c>
      <c r="EL98" s="13">
        <f t="shared" si="99"/>
        <v>1.5089081593838289E-12</v>
      </c>
      <c r="EM98" s="20">
        <f t="shared" si="73"/>
        <v>2.8030510891776262E-12</v>
      </c>
      <c r="EN98" s="59">
        <f t="shared" si="74"/>
        <v>275.94744591876872</v>
      </c>
      <c r="EO98" s="59">
        <f ca="1">AVERAGE(OFFSET($EN$3,0,0,'Données projet'!$E$15+1,1))-AVERAGE(OFFSET($H$3,0,0,'Données projet'!$E$15+1,1))</f>
        <v>561.50881628354409</v>
      </c>
      <c r="EP98" s="59">
        <f t="shared" si="100"/>
        <v>468.67708352238458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248.25923798034489</v>
      </c>
      <c r="EW98" s="21">
        <f>EXP(-LN(2)/25)*EW97+(1-EXP(-LN(2)/25))/(LN(2)/25)*Calculateur!ER98*Calculateur!ET98*VLOOKUP('Données projet'!$B$15,Paramètres!$A$1:$I$89,3,0)*0.475*44/12</f>
        <v>39.917285815925894</v>
      </c>
      <c r="EX98" s="21">
        <f>EXP(-LN(2)/2)*EX97+(1-EXP(-LN(2)/2))/(LN(2)/2)*ER98*EU98*VLOOKUP('Données projet'!$B$15,Paramètres!$A$1:$I$89,3,0)*0.475*44/12</f>
        <v>0.25561949365063308</v>
      </c>
      <c r="EY98" s="22">
        <f t="shared" si="75"/>
        <v>288.43214328992138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310.59999999999985</v>
      </c>
      <c r="O99" s="13">
        <f>N99*VLOOKUP('Données projet'!$B$9,Paramètres!$A$1:$I$89,3,0)*VLOOKUP('Données projet'!$B$9,Paramètres!$A$1:$I$89,5,0)</f>
        <v>281.03087999999985</v>
      </c>
      <c r="P99" s="13">
        <f t="shared" si="87"/>
        <v>67.184816842275467</v>
      </c>
      <c r="Q99" s="20">
        <f t="shared" ref="Q99:Q130" si="107">(O99+P99)*0.475*44/12</f>
        <v>606.47567200029607</v>
      </c>
      <c r="R99" s="59">
        <f t="shared" si="55"/>
        <v>882.7247241966835</v>
      </c>
      <c r="S99" s="59">
        <f ca="1">AVERAGE(OFFSET($R$3,0,0,'Données projet'!$E$9+1,1))-AVERAGE(OFFSET($H$3,0,0,'Données projet'!$E$9+1,1))</f>
        <v>484.04602944257209</v>
      </c>
      <c r="T99" s="59">
        <f t="shared" si="88"/>
        <v>297.32483725004124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44.092457921313873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44.092457921313873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270.79999999999995</v>
      </c>
      <c r="AJ99" s="13">
        <f>AI99*VLOOKUP('Données projet'!$B$10,Paramètres!$A$1:$I$89,3,0)*VLOOKUP('Données projet'!$B$10,Paramètres!$A$1:$I$89,5,0)</f>
        <v>308.38703999999996</v>
      </c>
      <c r="AK99" s="13">
        <f t="shared" si="89"/>
        <v>72.931877723082849</v>
      </c>
      <c r="AL99" s="20">
        <f t="shared" si="58"/>
        <v>664.13044836770246</v>
      </c>
      <c r="AM99" s="59">
        <f t="shared" si="59"/>
        <v>940.37950056408988</v>
      </c>
      <c r="AN99" s="59">
        <f ca="1">AVERAGE(OFFSET($AM$3,0,0,'Données projet'!$E$10+1,1))-AVERAGE(OFFSET($H$3,0,0,'Données projet'!$E$10+1,1))</f>
        <v>493.74122500490859</v>
      </c>
      <c r="AO99" s="59">
        <f t="shared" si="90"/>
        <v>299.43985151679692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33.82023489046113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33.82023489046113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364.64276939439014</v>
      </c>
      <c r="BJ99" s="59">
        <f t="shared" si="92"/>
        <v>341.7578598026638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96.463130300302566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96.463130300302566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3.4106051316484809E-13</v>
      </c>
      <c r="BZ99" s="13">
        <f>BY99*VLOOKUP('Données projet'!$B$12,Paramètres!$A$1:$I$89,3,0)*VLOOKUP('Données projet'!$B$12,Paramètres!$A$1:$I$89,5,0)</f>
        <v>2.0395418687257919E-13</v>
      </c>
      <c r="CA99" s="13">
        <f t="shared" si="93"/>
        <v>2.8200388570161721E-12</v>
      </c>
      <c r="CB99" s="20">
        <f t="shared" si="64"/>
        <v>5.2667878847729083E-12</v>
      </c>
      <c r="CC99" s="59">
        <f t="shared" si="65"/>
        <v>276.24905219639271</v>
      </c>
      <c r="CD99" s="59">
        <f ca="1">AVERAGE(OFFSET($CC$3,0,0,'Données projet'!$E$12+1,1))-AVERAGE(OFFSET($H$3,0,0,'Données projet'!$E$12+1,1))</f>
        <v>435.81281313761326</v>
      </c>
      <c r="CE99" s="59">
        <f t="shared" si="94"/>
        <v>460.93390058676493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126.11749892391332</v>
      </c>
      <c r="CL99" s="21">
        <f>EXP(-LN(2)/25)*CL98+(1-EXP(-LN(2)/25))/(LN(2)/25)*Calculateur!CG99*Calculateur!CI99*VLOOKUP('Données projet'!$B$12,Paramètres!$A$1:$I$89,3,0)*0.475*44/12</f>
        <v>21.985322577256827</v>
      </c>
      <c r="CM99" s="21">
        <f>EXP(-LN(2)/2)*CM98+(1-EXP(-LN(2)/2))/(LN(2)/2)*CG99*CJ99*VLOOKUP('Données projet'!$B$12,Paramètres!$A$1:$I$89,3,0)*0.475*44/12</f>
        <v>8.4227880612748076E-4</v>
      </c>
      <c r="CN99" s="22">
        <f t="shared" si="66"/>
        <v>148.10366377997627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379.16472924112111</v>
      </c>
      <c r="CZ99" s="59">
        <f t="shared" si="96"/>
        <v>273.18950868898253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174.06692997973147</v>
      </c>
      <c r="DG99" s="21">
        <f>EXP(-LN(2)/25)*DG98+(1-EXP(-LN(2)/25))/(LN(2)/25)*Calculateur!DB99*Calculateur!DD99*VLOOKUP('Données projet'!$B$13,Paramètres!$A$1:$I$89,3,0)*0.475*44/12</f>
        <v>29.720122153962958</v>
      </c>
      <c r="DH99" s="21">
        <f>EXP(-LN(2)/2)*DH98+(1-EXP(-LN(2)/2))/(LN(2)/2)*DB99*DE99*VLOOKUP('Données projet'!$B$13,Paramètres!$A$1:$I$89,3,0)*0.475*44/12</f>
        <v>3.8237267719533659</v>
      </c>
      <c r="DI99" s="22">
        <f t="shared" si="69"/>
        <v>207.61077890564781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6.8212102632969618E-13</v>
      </c>
      <c r="DP99" s="17">
        <f>DO99*VLOOKUP('Données projet'!$B$14,Paramètres!$A$1:$I$89,3,0)*VLOOKUP('Données projet'!$B$14,Paramètres!$A$1:$I$89,5,0)</f>
        <v>2.7489477361086753E-13</v>
      </c>
      <c r="DQ99" s="13">
        <f t="shared" si="97"/>
        <v>3.6711283554998768E-12</v>
      </c>
      <c r="DR99" s="20">
        <f t="shared" si="70"/>
        <v>6.8726569498678791E-12</v>
      </c>
      <c r="DS99" s="59">
        <f t="shared" si="71"/>
        <v>276.2490521963943</v>
      </c>
      <c r="DT99" s="59">
        <f ca="1">AVERAGE(OFFSET($DS$3,0,0,'Données projet'!$E$14+1,1))-AVERAGE(OFFSET($H$3,0,0,'Données projet'!$E$14+1,1))</f>
        <v>419.35339339286082</v>
      </c>
      <c r="DU99" s="59">
        <f t="shared" si="98"/>
        <v>359.03308141414709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193.96583253437399</v>
      </c>
      <c r="EB99" s="21">
        <f>EXP(-LN(2)/25)*EB98+(1-EXP(-LN(2)/25))/(LN(2)/25)*Calculateur!DW99*Calculateur!DY99*VLOOKUP('Données projet'!$B$14,Paramètres!$A$1:$I$89,3,0)*0.475*44/12</f>
        <v>29.92746926744843</v>
      </c>
      <c r="EC99" s="21">
        <f>EXP(-LN(2)/2)*EC98+(1-EXP(-LN(2)/2))/(LN(2)/2)*DW99*DZ99*VLOOKUP('Données projet'!$B$14,Paramètres!$A$1:$I$89,3,0)*0.475*44/12</f>
        <v>0.13638957288809514</v>
      </c>
      <c r="ED99" s="22">
        <f t="shared" si="72"/>
        <v>224.02969137471052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2.2737367544323206E-13</v>
      </c>
      <c r="EK99" s="17">
        <f>EJ99*VLOOKUP('Données projet'!$B$15,Paramètres!$A$1:$I$89,3,0)*VLOOKUP('Données projet'!$B$15,Paramètres!$A$1:$I$89,5,0)</f>
        <v>1.0049916454590858E-13</v>
      </c>
      <c r="EL99" s="13">
        <f t="shared" si="99"/>
        <v>1.5089081593838289E-12</v>
      </c>
      <c r="EM99" s="20">
        <f t="shared" si="73"/>
        <v>2.8030510891776262E-12</v>
      </c>
      <c r="EN99" s="59">
        <f t="shared" si="74"/>
        <v>276.24905219639021</v>
      </c>
      <c r="EO99" s="59">
        <f ca="1">AVERAGE(OFFSET($EN$3,0,0,'Données projet'!$E$15+1,1))-AVERAGE(OFFSET($H$3,0,0,'Données projet'!$E$15+1,1))</f>
        <v>561.50881628354409</v>
      </c>
      <c r="EP99" s="59">
        <f t="shared" si="100"/>
        <v>468.67708352238458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243.3910257467337</v>
      </c>
      <c r="EW99" s="21">
        <f>EXP(-LN(2)/25)*EW98+(1-EXP(-LN(2)/25))/(LN(2)/25)*Calculateur!ER99*Calculateur!ET99*VLOOKUP('Données projet'!$B$15,Paramètres!$A$1:$I$89,3,0)*0.475*44/12</f>
        <v>38.825745536130569</v>
      </c>
      <c r="EX99" s="21">
        <f>EXP(-LN(2)/2)*EX98+(1-EXP(-LN(2)/2))/(LN(2)/2)*ER99*EU99*VLOOKUP('Données projet'!$B$15,Paramètres!$A$1:$I$89,3,0)*0.475*44/12</f>
        <v>0.18075027736383428</v>
      </c>
      <c r="EY99" s="22">
        <f t="shared" si="75"/>
        <v>282.39752156022809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316.19999999999987</v>
      </c>
      <c r="O100" s="13">
        <f>N100*VLOOKUP('Données projet'!$B$9,Paramètres!$A$1:$I$89,3,0)*VLOOKUP('Données projet'!$B$9,Paramètres!$A$1:$I$89,5,0)</f>
        <v>286.09775999999988</v>
      </c>
      <c r="P100" s="13">
        <f t="shared" si="87"/>
        <v>68.254020651723621</v>
      </c>
      <c r="Q100" s="20">
        <f t="shared" si="107"/>
        <v>617.16268463508504</v>
      </c>
      <c r="R100" s="59">
        <f t="shared" si="55"/>
        <v>893.70811091446785</v>
      </c>
      <c r="S100" s="59">
        <f ca="1">AVERAGE(OFFSET($R$3,0,0,'Données projet'!$E$9+1,1))-AVERAGE(OFFSET($H$3,0,0,'Données projet'!$E$9+1,1))</f>
        <v>484.04602944257209</v>
      </c>
      <c r="T100" s="59">
        <f t="shared" si="88"/>
        <v>297.32483725004124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43.227831715220702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43.227831715220702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273.59999999999997</v>
      </c>
      <c r="AJ100" s="13">
        <f>AI100*VLOOKUP('Données projet'!$B$10,Paramètres!$A$1:$I$89,3,0)*VLOOKUP('Données projet'!$B$10,Paramètres!$A$1:$I$89,5,0)</f>
        <v>311.57567999999998</v>
      </c>
      <c r="AK100" s="13">
        <f t="shared" si="89"/>
        <v>73.597797708886347</v>
      </c>
      <c r="AL100" s="20">
        <f t="shared" si="58"/>
        <v>670.84380700964357</v>
      </c>
      <c r="AM100" s="59">
        <f t="shared" si="59"/>
        <v>947.38923328902638</v>
      </c>
      <c r="AN100" s="59">
        <f ca="1">AVERAGE(OFFSET($AM$3,0,0,'Données projet'!$E$10+1,1))-AVERAGE(OFFSET($H$3,0,0,'Données projet'!$E$10+1,1))</f>
        <v>493.74122500490859</v>
      </c>
      <c r="AO100" s="59">
        <f t="shared" si="90"/>
        <v>299.43985151679692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33.157040712565596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33.157040712565596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364.64276939439014</v>
      </c>
      <c r="BJ100" s="59">
        <f t="shared" si="92"/>
        <v>341.7578598026638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94.571547151813476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94.571547151813476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3.4106051316484809E-13</v>
      </c>
      <c r="BZ100" s="13">
        <f>BY100*VLOOKUP('Données projet'!$B$12,Paramètres!$A$1:$I$89,3,0)*VLOOKUP('Données projet'!$B$12,Paramètres!$A$1:$I$89,5,0)</f>
        <v>2.0395418687257919E-13</v>
      </c>
      <c r="CA100" s="13">
        <f t="shared" si="93"/>
        <v>2.8200388570161721E-12</v>
      </c>
      <c r="CB100" s="20">
        <f t="shared" si="64"/>
        <v>5.2667878847729083E-12</v>
      </c>
      <c r="CC100" s="59">
        <f t="shared" si="65"/>
        <v>276.5454262793881</v>
      </c>
      <c r="CD100" s="59">
        <f ca="1">AVERAGE(OFFSET($CC$3,0,0,'Données projet'!$E$12+1,1))-AVERAGE(OFFSET($H$3,0,0,'Données projet'!$E$12+1,1))</f>
        <v>435.81281313761326</v>
      </c>
      <c r="CE100" s="59">
        <f t="shared" si="94"/>
        <v>460.93390058676493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123.6444116940941</v>
      </c>
      <c r="CL100" s="21">
        <f>EXP(-LN(2)/25)*CL99+(1-EXP(-LN(2)/25))/(LN(2)/25)*Calculateur!CG100*Calculateur!CI100*VLOOKUP('Données projet'!$B$12,Paramètres!$A$1:$I$89,3,0)*0.475*44/12</f>
        <v>21.384132775223872</v>
      </c>
      <c r="CM100" s="21">
        <f>EXP(-LN(2)/2)*CM99+(1-EXP(-LN(2)/2))/(LN(2)/2)*CG100*CJ100*VLOOKUP('Données projet'!$B$12,Paramètres!$A$1:$I$89,3,0)*0.475*44/12</f>
        <v>5.9558105546245101E-4</v>
      </c>
      <c r="CN100" s="22">
        <f t="shared" si="66"/>
        <v>145.02914005037343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379.16472924112111</v>
      </c>
      <c r="CZ100" s="59">
        <f t="shared" si="96"/>
        <v>273.18950868898253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170.65358365317277</v>
      </c>
      <c r="DG100" s="21">
        <f>EXP(-LN(2)/25)*DG99+(1-EXP(-LN(2)/25))/(LN(2)/25)*Calculateur!DB100*Calculateur!DD100*VLOOKUP('Données projet'!$B$13,Paramètres!$A$1:$I$89,3,0)*0.475*44/12</f>
        <v>28.907423850749542</v>
      </c>
      <c r="DH100" s="21">
        <f>EXP(-LN(2)/2)*DH99+(1-EXP(-LN(2)/2))/(LN(2)/2)*DB100*DE100*VLOOKUP('Données projet'!$B$13,Paramètres!$A$1:$I$89,3,0)*0.475*44/12</f>
        <v>2.7037831298527726</v>
      </c>
      <c r="DI100" s="22">
        <f t="shared" si="69"/>
        <v>202.26479063377511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6.8212102632969618E-13</v>
      </c>
      <c r="DP100" s="17">
        <f>DO100*VLOOKUP('Données projet'!$B$14,Paramètres!$A$1:$I$89,3,0)*VLOOKUP('Données projet'!$B$14,Paramètres!$A$1:$I$89,5,0)</f>
        <v>2.7489477361086753E-13</v>
      </c>
      <c r="DQ100" s="13">
        <f t="shared" si="97"/>
        <v>3.6711283554998768E-12</v>
      </c>
      <c r="DR100" s="20">
        <f t="shared" si="70"/>
        <v>6.8726569498678791E-12</v>
      </c>
      <c r="DS100" s="59">
        <f t="shared" si="71"/>
        <v>276.54542627938969</v>
      </c>
      <c r="DT100" s="59">
        <f ca="1">AVERAGE(OFFSET($DS$3,0,0,'Données projet'!$E$14+1,1))-AVERAGE(OFFSET($H$3,0,0,'Données projet'!$E$14+1,1))</f>
        <v>419.35339339286082</v>
      </c>
      <c r="DU100" s="59">
        <f t="shared" si="98"/>
        <v>359.03308141414709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190.16228086585087</v>
      </c>
      <c r="EB100" s="21">
        <f>EXP(-LN(2)/25)*EB99+(1-EXP(-LN(2)/25))/(LN(2)/25)*Calculateur!DW100*Calculateur!DY100*VLOOKUP('Données projet'!$B$14,Paramètres!$A$1:$I$89,3,0)*0.475*44/12</f>
        <v>29.109101046512844</v>
      </c>
      <c r="EC100" s="21">
        <f>EXP(-LN(2)/2)*EC99+(1-EXP(-LN(2)/2))/(LN(2)/2)*DW100*DZ100*VLOOKUP('Données projet'!$B$14,Paramètres!$A$1:$I$89,3,0)*0.475*44/12</f>
        <v>9.6441991872308966E-2</v>
      </c>
      <c r="ED100" s="22">
        <f t="shared" si="72"/>
        <v>219.36782390423602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2.2737367544323206E-13</v>
      </c>
      <c r="EK100" s="17">
        <f>EJ100*VLOOKUP('Données projet'!$B$15,Paramètres!$A$1:$I$89,3,0)*VLOOKUP('Données projet'!$B$15,Paramètres!$A$1:$I$89,5,0)</f>
        <v>1.0049916454590858E-13</v>
      </c>
      <c r="EL100" s="13">
        <f t="shared" si="99"/>
        <v>1.5089081593838289E-12</v>
      </c>
      <c r="EM100" s="20">
        <f t="shared" si="73"/>
        <v>2.8030510891776262E-12</v>
      </c>
      <c r="EN100" s="59">
        <f t="shared" si="74"/>
        <v>276.54542627938559</v>
      </c>
      <c r="EO100" s="59">
        <f ca="1">AVERAGE(OFFSET($EN$3,0,0,'Données projet'!$E$15+1,1))-AVERAGE(OFFSET($H$3,0,0,'Données projet'!$E$15+1,1))</f>
        <v>561.50881628354409</v>
      </c>
      <c r="EP100" s="59">
        <f t="shared" si="100"/>
        <v>468.67708352238458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238.61827618570737</v>
      </c>
      <c r="EW100" s="21">
        <f>EXP(-LN(2)/25)*EW99+(1-EXP(-LN(2)/25))/(LN(2)/25)*Calculateur!ER100*Calculateur!ET100*VLOOKUP('Données projet'!$B$15,Paramètres!$A$1:$I$89,3,0)*0.475*44/12</f>
        <v>37.764053482687856</v>
      </c>
      <c r="EX100" s="21">
        <f>EXP(-LN(2)/2)*EX99+(1-EXP(-LN(2)/2))/(LN(2)/2)*ER100*EU100*VLOOKUP('Données projet'!$B$15,Paramètres!$A$1:$I$89,3,0)*0.475*44/12</f>
        <v>0.12780974682531654</v>
      </c>
      <c r="EY100" s="22">
        <f t="shared" si="75"/>
        <v>276.51013941522058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904.68252106546538</v>
      </c>
      <c r="S101" s="59">
        <f ca="1">AVERAGE(OFFSET($R$3,0,0,'Données projet'!$E$9+1,1))-AVERAGE(OFFSET($H$3,0,0,'Données projet'!$E$9+1,1))</f>
        <v>484.04602944257209</v>
      </c>
      <c r="T101" s="59">
        <f t="shared" si="88"/>
        <v>297.32483725004124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42.38016030165911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42.38016030165911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276.39999999999998</v>
      </c>
      <c r="AJ101" s="13">
        <f>AI101*VLOOKUP('Données projet'!$B$10,Paramètres!$A$1:$I$89,3,0)*VLOOKUP('Données projet'!$B$10,Paramètres!$A$1:$I$89,5,0)</f>
        <v>314.76432</v>
      </c>
      <c r="AK101" s="13">
        <f t="shared" si="89"/>
        <v>74.262924889765188</v>
      </c>
      <c r="AL101" s="20">
        <f t="shared" si="58"/>
        <v>677.5557848496743</v>
      </c>
      <c r="AM101" s="59">
        <f t="shared" si="59"/>
        <v>954.39244378430567</v>
      </c>
      <c r="AN101" s="59">
        <f ca="1">AVERAGE(OFFSET($AM$3,0,0,'Données projet'!$E$10+1,1))-AVERAGE(OFFSET($H$3,0,0,'Données projet'!$E$10+1,1))</f>
        <v>493.74122500490859</v>
      </c>
      <c r="AO101" s="59">
        <f t="shared" si="90"/>
        <v>299.43985151679692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32.506851367990087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32.506851367990087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364.64276939439014</v>
      </c>
      <c r="BJ101" s="59">
        <f t="shared" si="92"/>
        <v>341.7578598026638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92.717056795114459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92.717056795114459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3.4106051316484809E-13</v>
      </c>
      <c r="BZ101" s="13">
        <f>BY101*VLOOKUP('Données projet'!$B$12,Paramètres!$A$1:$I$89,3,0)*VLOOKUP('Données projet'!$B$12,Paramètres!$A$1:$I$89,5,0)</f>
        <v>2.0395418687257919E-13</v>
      </c>
      <c r="CA101" s="13">
        <f t="shared" si="93"/>
        <v>2.8200388570161721E-12</v>
      </c>
      <c r="CB101" s="20">
        <f t="shared" si="64"/>
        <v>5.2667878847729083E-12</v>
      </c>
      <c r="CC101" s="59">
        <f t="shared" si="65"/>
        <v>276.83665893463666</v>
      </c>
      <c r="CD101" s="59">
        <f ca="1">AVERAGE(OFFSET($CC$3,0,0,'Données projet'!$E$12+1,1))-AVERAGE(OFFSET($H$3,0,0,'Données projet'!$E$12+1,1))</f>
        <v>435.81281313761326</v>
      </c>
      <c r="CE101" s="59">
        <f t="shared" si="94"/>
        <v>460.93390058676493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121.21982019641737</v>
      </c>
      <c r="CL101" s="21">
        <f>EXP(-LN(2)/25)*CL100+(1-EXP(-LN(2)/25))/(LN(2)/25)*Calculateur!CG101*Calculateur!CI101*VLOOKUP('Données projet'!$B$12,Paramètres!$A$1:$I$89,3,0)*0.475*44/12</f>
        <v>20.799382539942705</v>
      </c>
      <c r="CM101" s="21">
        <f>EXP(-LN(2)/2)*CM100+(1-EXP(-LN(2)/2))/(LN(2)/2)*CG101*CJ101*VLOOKUP('Données projet'!$B$12,Paramètres!$A$1:$I$89,3,0)*0.475*44/12</f>
        <v>4.2113940306374038E-4</v>
      </c>
      <c r="CN101" s="22">
        <f t="shared" si="66"/>
        <v>142.01962387576316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379.16472924112111</v>
      </c>
      <c r="CZ101" s="59">
        <f t="shared" si="96"/>
        <v>273.18950868898253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167.30717096614219</v>
      </c>
      <c r="DG101" s="21">
        <f>EXP(-LN(2)/25)*DG100+(1-EXP(-LN(2)/25))/(LN(2)/25)*Calculateur!DB101*Calculateur!DD101*VLOOKUP('Données projet'!$B$13,Paramètres!$A$1:$I$89,3,0)*0.475*44/12</f>
        <v>28.116948825375445</v>
      </c>
      <c r="DH101" s="21">
        <f>EXP(-LN(2)/2)*DH100+(1-EXP(-LN(2)/2))/(LN(2)/2)*DB101*DE101*VLOOKUP('Données projet'!$B$13,Paramètres!$A$1:$I$89,3,0)*0.475*44/12</f>
        <v>1.9118633859766831</v>
      </c>
      <c r="DI101" s="22">
        <f t="shared" si="69"/>
        <v>197.33598317749431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6.8212102632969618E-13</v>
      </c>
      <c r="DP101" s="17">
        <f>DO101*VLOOKUP('Données projet'!$B$14,Paramètres!$A$1:$I$89,3,0)*VLOOKUP('Données projet'!$B$14,Paramètres!$A$1:$I$89,5,0)</f>
        <v>2.7489477361086753E-13</v>
      </c>
      <c r="DQ101" s="13">
        <f t="shared" si="97"/>
        <v>3.6711283554998768E-12</v>
      </c>
      <c r="DR101" s="20">
        <f t="shared" si="70"/>
        <v>6.8726569498678791E-12</v>
      </c>
      <c r="DS101" s="59">
        <f t="shared" si="71"/>
        <v>276.83665893463825</v>
      </c>
      <c r="DT101" s="59">
        <f ca="1">AVERAGE(OFFSET($DS$3,0,0,'Données projet'!$E$14+1,1))-AVERAGE(OFFSET($H$3,0,0,'Données projet'!$E$14+1,1))</f>
        <v>419.35339339286082</v>
      </c>
      <c r="DU101" s="59">
        <f t="shared" si="98"/>
        <v>359.03308141414709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186.43331452561006</v>
      </c>
      <c r="EB101" s="21">
        <f>EXP(-LN(2)/25)*EB100+(1-EXP(-LN(2)/25))/(LN(2)/25)*Calculateur!DW101*Calculateur!DY101*VLOOKUP('Données projet'!$B$14,Paramètres!$A$1:$I$89,3,0)*0.475*44/12</f>
        <v>28.313111147614855</v>
      </c>
      <c r="EC101" s="21">
        <f>EXP(-LN(2)/2)*EC100+(1-EXP(-LN(2)/2))/(LN(2)/2)*DW101*DZ101*VLOOKUP('Données projet'!$B$14,Paramètres!$A$1:$I$89,3,0)*0.475*44/12</f>
        <v>6.819478644404757E-2</v>
      </c>
      <c r="ED101" s="22">
        <f t="shared" si="72"/>
        <v>214.81462045966896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2.2737367544323206E-13</v>
      </c>
      <c r="EK101" s="17">
        <f>EJ101*VLOOKUP('Données projet'!$B$15,Paramètres!$A$1:$I$89,3,0)*VLOOKUP('Données projet'!$B$15,Paramètres!$A$1:$I$89,5,0)</f>
        <v>1.0049916454590858E-13</v>
      </c>
      <c r="EL101" s="13">
        <f t="shared" si="99"/>
        <v>1.5089081593838289E-12</v>
      </c>
      <c r="EM101" s="20">
        <f t="shared" si="73"/>
        <v>2.8030510891776262E-12</v>
      </c>
      <c r="EN101" s="59">
        <f t="shared" si="74"/>
        <v>276.83665893463416</v>
      </c>
      <c r="EO101" s="59">
        <f ca="1">AVERAGE(OFFSET($EN$3,0,0,'Données projet'!$E$15+1,1))-AVERAGE(OFFSET($H$3,0,0,'Données projet'!$E$15+1,1))</f>
        <v>561.50881628354409</v>
      </c>
      <c r="EP101" s="59">
        <f t="shared" si="100"/>
        <v>468.67708352238458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233.93911733248297</v>
      </c>
      <c r="EW101" s="21">
        <f>EXP(-LN(2)/25)*EW100+(1-EXP(-LN(2)/25))/(LN(2)/25)*Calculateur!ER101*Calculateur!ET101*VLOOKUP('Données projet'!$B$15,Paramètres!$A$1:$I$89,3,0)*0.475*44/12</f>
        <v>36.731393454278496</v>
      </c>
      <c r="EX101" s="21">
        <f>EXP(-LN(2)/2)*EX100+(1-EXP(-LN(2)/2))/(LN(2)/2)*ER101*EU101*VLOOKUP('Données projet'!$B$15,Paramètres!$A$1:$I$89,3,0)*0.475*44/12</f>
        <v>9.0375138681917142E-2</v>
      </c>
      <c r="EY101" s="22">
        <f t="shared" si="75"/>
        <v>270.76088592544335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327.39999999999992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915.64811828211964</v>
      </c>
      <c r="S102" s="59">
        <f ca="1">AVERAGE(OFFSET($R$3,0,0,'Données projet'!$E$9+1,1))-AVERAGE(OFFSET($H$3,0,0,'Données projet'!$E$9+1,1))</f>
        <v>484.04602944257209</v>
      </c>
      <c r="T102" s="59">
        <f t="shared" si="88"/>
        <v>297.32483725004124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41.549111207488949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41.549111207488949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279.2</v>
      </c>
      <c r="AJ102" s="13">
        <f>AI102*VLOOKUP('Données projet'!$B$10,Paramètres!$A$1:$I$89,3,0)*VLOOKUP('Données projet'!$B$10,Paramètres!$A$1:$I$89,5,0)</f>
        <v>317.95295999999996</v>
      </c>
      <c r="AK102" s="13">
        <f t="shared" si="89"/>
        <v>74.927268226896373</v>
      </c>
      <c r="AL102" s="20">
        <f t="shared" si="58"/>
        <v>684.26639749517778</v>
      </c>
      <c r="AM102" s="59">
        <f t="shared" si="59"/>
        <v>961.38923684958786</v>
      </c>
      <c r="AN102" s="59">
        <f ca="1">AVERAGE(OFFSET($AM$3,0,0,'Données projet'!$E$10+1,1))-AVERAGE(OFFSET($H$3,0,0,'Données projet'!$E$10+1,1))</f>
        <v>493.74122500490859</v>
      </c>
      <c r="AO102" s="59">
        <f t="shared" si="90"/>
        <v>299.43985151679692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31.869411839885363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31.869411839885363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364.64276939439014</v>
      </c>
      <c r="BJ102" s="59">
        <f t="shared" si="92"/>
        <v>341.7578598026638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90.898931863182881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90.898931863182881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3.4106051316484809E-13</v>
      </c>
      <c r="BZ102" s="13">
        <f>BY102*VLOOKUP('Données projet'!$B$12,Paramètres!$A$1:$I$89,3,0)*VLOOKUP('Données projet'!$B$12,Paramètres!$A$1:$I$89,5,0)</f>
        <v>2.0395418687257919E-13</v>
      </c>
      <c r="CA102" s="13">
        <f t="shared" si="93"/>
        <v>2.8200388570161721E-12</v>
      </c>
      <c r="CB102" s="20">
        <f t="shared" si="64"/>
        <v>5.2667878847729083E-12</v>
      </c>
      <c r="CC102" s="59">
        <f t="shared" si="65"/>
        <v>277.12283935441542</v>
      </c>
      <c r="CD102" s="59">
        <f ca="1">AVERAGE(OFFSET($CC$3,0,0,'Données projet'!$E$12+1,1))-AVERAGE(OFFSET($H$3,0,0,'Données projet'!$E$12+1,1))</f>
        <v>435.81281313761326</v>
      </c>
      <c r="CE102" s="59">
        <f t="shared" si="94"/>
        <v>460.93390058676493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118.8427734591553</v>
      </c>
      <c r="CL102" s="21">
        <f>EXP(-LN(2)/25)*CL101+(1-EXP(-LN(2)/25))/(LN(2)/25)*Calculateur!CG102*Calculateur!CI102*VLOOKUP('Données projet'!$B$12,Paramètres!$A$1:$I$89,3,0)*0.475*44/12</f>
        <v>20.230622330595981</v>
      </c>
      <c r="CM102" s="21">
        <f>EXP(-LN(2)/2)*CM101+(1-EXP(-LN(2)/2))/(LN(2)/2)*CG102*CJ102*VLOOKUP('Données projet'!$B$12,Paramètres!$A$1:$I$89,3,0)*0.475*44/12</f>
        <v>2.9779052773122551E-4</v>
      </c>
      <c r="CN102" s="22">
        <f t="shared" si="66"/>
        <v>139.07369358027901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379.16472924112111</v>
      </c>
      <c r="CZ102" s="59">
        <f t="shared" si="96"/>
        <v>273.18950868898253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164.02637939079409</v>
      </c>
      <c r="DG102" s="21">
        <f>EXP(-LN(2)/25)*DG101+(1-EXP(-LN(2)/25))/(LN(2)/25)*Calculateur!DB102*Calculateur!DD102*VLOOKUP('Données projet'!$B$13,Paramètres!$A$1:$I$89,3,0)*0.475*44/12</f>
        <v>27.348089381139477</v>
      </c>
      <c r="DH102" s="21">
        <f>EXP(-LN(2)/2)*DH101+(1-EXP(-LN(2)/2))/(LN(2)/2)*DB102*DE102*VLOOKUP('Données projet'!$B$13,Paramètres!$A$1:$I$89,3,0)*0.475*44/12</f>
        <v>1.3518915649263865</v>
      </c>
      <c r="DI102" s="22">
        <f t="shared" si="69"/>
        <v>192.72636033685995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6.8212102632969618E-13</v>
      </c>
      <c r="DP102" s="17">
        <f>DO102*VLOOKUP('Données projet'!$B$14,Paramètres!$A$1:$I$89,3,0)*VLOOKUP('Données projet'!$B$14,Paramètres!$A$1:$I$89,5,0)</f>
        <v>2.7489477361086753E-13</v>
      </c>
      <c r="DQ102" s="13">
        <f t="shared" si="97"/>
        <v>3.6711283554998768E-12</v>
      </c>
      <c r="DR102" s="20">
        <f t="shared" si="70"/>
        <v>6.8726569498678791E-12</v>
      </c>
      <c r="DS102" s="59">
        <f t="shared" si="71"/>
        <v>277.12283935441701</v>
      </c>
      <c r="DT102" s="59">
        <f ca="1">AVERAGE(OFFSET($DS$3,0,0,'Données projet'!$E$14+1,1))-AVERAGE(OFFSET($H$3,0,0,'Données projet'!$E$14+1,1))</f>
        <v>419.35339339286082</v>
      </c>
      <c r="DU102" s="59">
        <f t="shared" si="98"/>
        <v>359.03308141414709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182.77747094085646</v>
      </c>
      <c r="EB102" s="21">
        <f>EXP(-LN(2)/25)*EB101+(1-EXP(-LN(2)/25))/(LN(2)/25)*Calculateur!DW102*Calculateur!DY102*VLOOKUP('Données projet'!$B$14,Paramètres!$A$1:$I$89,3,0)*0.475*44/12</f>
        <v>27.538887634361522</v>
      </c>
      <c r="EC102" s="21">
        <f>EXP(-LN(2)/2)*EC101+(1-EXP(-LN(2)/2))/(LN(2)/2)*DW102*DZ102*VLOOKUP('Données projet'!$B$14,Paramètres!$A$1:$I$89,3,0)*0.475*44/12</f>
        <v>4.8220995936154483E-2</v>
      </c>
      <c r="ED102" s="22">
        <f t="shared" si="72"/>
        <v>210.36457957115414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2.2737367544323206E-13</v>
      </c>
      <c r="EK102" s="17">
        <f>EJ102*VLOOKUP('Données projet'!$B$15,Paramètres!$A$1:$I$89,3,0)*VLOOKUP('Données projet'!$B$15,Paramètres!$A$1:$I$89,5,0)</f>
        <v>1.0049916454590858E-13</v>
      </c>
      <c r="EL102" s="13">
        <f t="shared" si="99"/>
        <v>1.5089081593838289E-12</v>
      </c>
      <c r="EM102" s="20">
        <f t="shared" si="73"/>
        <v>2.8030510891776262E-12</v>
      </c>
      <c r="EN102" s="59">
        <f t="shared" si="74"/>
        <v>277.12283935441292</v>
      </c>
      <c r="EO102" s="59">
        <f ca="1">AVERAGE(OFFSET($EN$3,0,0,'Données projet'!$E$15+1,1))-AVERAGE(OFFSET($H$3,0,0,'Données projet'!$E$15+1,1))</f>
        <v>561.50881628354409</v>
      </c>
      <c r="EP102" s="59">
        <f t="shared" si="100"/>
        <v>468.67708352238458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229.35171393036521</v>
      </c>
      <c r="EW102" s="21">
        <f>EXP(-LN(2)/25)*EW101+(1-EXP(-LN(2)/25))/(LN(2)/25)*Calculateur!ER102*Calculateur!ET102*VLOOKUP('Données projet'!$B$15,Paramètres!$A$1:$I$89,3,0)*0.475*44/12</f>
        <v>35.726971568651223</v>
      </c>
      <c r="EX102" s="21">
        <f>EXP(-LN(2)/2)*EX101+(1-EXP(-LN(2)/2))/(LN(2)/2)*ER102*EU102*VLOOKUP('Données projet'!$B$15,Paramètres!$A$1:$I$89,3,0)*0.475*44/12</f>
        <v>6.390487341265827E-2</v>
      </c>
      <c r="EY102" s="22">
        <f t="shared" si="75"/>
        <v>265.14259037242908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332.99999999999994</v>
      </c>
      <c r="O103" s="13">
        <f>N103*VLOOKUP('Données projet'!$B$9,Paramètres!$A$1:$I$89,3,0)*VLOOKUP('Données projet'!$B$9,Paramètres!$A$1:$I$89,5,0)</f>
        <v>301.29839999999996</v>
      </c>
      <c r="P103" s="13">
        <f t="shared" si="87"/>
        <v>71.448589534990518</v>
      </c>
      <c r="Q103" s="20">
        <f t="shared" si="107"/>
        <v>649.20100677344169</v>
      </c>
      <c r="R103" s="59">
        <f t="shared" si="55"/>
        <v>926.60506195715084</v>
      </c>
      <c r="S103" s="59">
        <f ca="1">AVERAGE(OFFSET($R$3,0,0,'Données projet'!$E$9+1,1))-AVERAGE(OFFSET($H$3,0,0,'Données projet'!$E$9+1,1))</f>
        <v>484.04602944257209</v>
      </c>
      <c r="T103" s="59">
        <f t="shared" si="88"/>
        <v>297.32483725004124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50.024490998405895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50.024490998405895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282</v>
      </c>
      <c r="AJ103" s="13">
        <f>AI103*VLOOKUP('Données projet'!$B$10,Paramètres!$A$1:$I$89,3,0)*VLOOKUP('Données projet'!$B$10,Paramètres!$A$1:$I$89,5,0)</f>
        <v>321.14159999999998</v>
      </c>
      <c r="AK103" s="13">
        <f t="shared" si="89"/>
        <v>75.590836491360662</v>
      </c>
      <c r="AL103" s="20">
        <f t="shared" si="58"/>
        <v>690.97566022245303</v>
      </c>
      <c r="AM103" s="59">
        <f t="shared" si="59"/>
        <v>968.37971540616218</v>
      </c>
      <c r="AN103" s="59">
        <f ca="1">AVERAGE(OFFSET($AM$3,0,0,'Données projet'!$E$10+1,1))-AVERAGE(OFFSET($H$3,0,0,'Données projet'!$E$10+1,1))</f>
        <v>493.74122500490859</v>
      </c>
      <c r="AO103" s="59">
        <f t="shared" si="90"/>
        <v>299.43985151679692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39.202040124895881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39.202040124895881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364.64276939439014</v>
      </c>
      <c r="BJ103" s="59">
        <f t="shared" si="92"/>
        <v>341.7578598026638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89.116459252219769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89.116459252219769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3.4106051316484809E-13</v>
      </c>
      <c r="BZ103" s="13">
        <f>BY103*VLOOKUP('Données projet'!$B$12,Paramètres!$A$1:$I$89,3,0)*VLOOKUP('Données projet'!$B$12,Paramètres!$A$1:$I$89,5,0)</f>
        <v>2.0395418687257919E-13</v>
      </c>
      <c r="CA103" s="13">
        <f t="shared" si="93"/>
        <v>2.8200388570161721E-12</v>
      </c>
      <c r="CB103" s="20">
        <f t="shared" si="64"/>
        <v>5.2667878847729083E-12</v>
      </c>
      <c r="CC103" s="59">
        <f t="shared" si="65"/>
        <v>277.40405518371449</v>
      </c>
      <c r="CD103" s="59">
        <f ca="1">AVERAGE(OFFSET($CC$3,0,0,'Données projet'!$E$12+1,1))-AVERAGE(OFFSET($H$3,0,0,'Données projet'!$E$12+1,1))</f>
        <v>435.81281313761326</v>
      </c>
      <c r="CE103" s="59">
        <f t="shared" si="94"/>
        <v>460.93390058676493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116.51233915855558</v>
      </c>
      <c r="CL103" s="21">
        <f>EXP(-LN(2)/25)*CL102+(1-EXP(-LN(2)/25))/(LN(2)/25)*Calculateur!CG103*Calculateur!CI103*VLOOKUP('Données projet'!$B$12,Paramètres!$A$1:$I$89,3,0)*0.475*44/12</f>
        <v>19.677414899083644</v>
      </c>
      <c r="CM103" s="21">
        <f>EXP(-LN(2)/2)*CM102+(1-EXP(-LN(2)/2))/(LN(2)/2)*CG103*CJ103*VLOOKUP('Données projet'!$B$12,Paramètres!$A$1:$I$89,3,0)*0.475*44/12</f>
        <v>2.1056970153187019E-4</v>
      </c>
      <c r="CN103" s="22">
        <f t="shared" si="66"/>
        <v>136.18996462734074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379.16472924112111</v>
      </c>
      <c r="CZ103" s="59">
        <f t="shared" si="96"/>
        <v>273.18950868898253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160.80992213715331</v>
      </c>
      <c r="DG103" s="21">
        <f>EXP(-LN(2)/25)*DG102+(1-EXP(-LN(2)/25))/(LN(2)/25)*Calculateur!DB103*Calculateur!DD103*VLOOKUP('Données projet'!$B$13,Paramètres!$A$1:$I$89,3,0)*0.475*44/12</f>
        <v>26.600254438838704</v>
      </c>
      <c r="DH103" s="21">
        <f>EXP(-LN(2)/2)*DH102+(1-EXP(-LN(2)/2))/(LN(2)/2)*DB103*DE103*VLOOKUP('Données projet'!$B$13,Paramètres!$A$1:$I$89,3,0)*0.475*44/12</f>
        <v>0.9559316929883418</v>
      </c>
      <c r="DI103" s="22">
        <f t="shared" si="69"/>
        <v>188.36610826898035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6.8212102632969618E-13</v>
      </c>
      <c r="DP103" s="17">
        <f>DO103*VLOOKUP('Données projet'!$B$14,Paramètres!$A$1:$I$89,3,0)*VLOOKUP('Données projet'!$B$14,Paramètres!$A$1:$I$89,5,0)</f>
        <v>2.7489477361086753E-13</v>
      </c>
      <c r="DQ103" s="13">
        <f t="shared" si="97"/>
        <v>3.6711283554998768E-12</v>
      </c>
      <c r="DR103" s="20">
        <f t="shared" si="70"/>
        <v>6.8726569498678791E-12</v>
      </c>
      <c r="DS103" s="59">
        <f t="shared" si="71"/>
        <v>277.40405518371608</v>
      </c>
      <c r="DT103" s="59">
        <f ca="1">AVERAGE(OFFSET($DS$3,0,0,'Données projet'!$E$14+1,1))-AVERAGE(OFFSET($H$3,0,0,'Données projet'!$E$14+1,1))</f>
        <v>419.35339339286082</v>
      </c>
      <c r="DU103" s="59">
        <f t="shared" si="98"/>
        <v>359.03308141414709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179.19331621895549</v>
      </c>
      <c r="EB103" s="21">
        <f>EXP(-LN(2)/25)*EB102+(1-EXP(-LN(2)/25))/(LN(2)/25)*Calculateur!DW103*Calculateur!DY103*VLOOKUP('Données projet'!$B$14,Paramètres!$A$1:$I$89,3,0)*0.475*44/12</f>
        <v>26.785835303792748</v>
      </c>
      <c r="EC103" s="21">
        <f>EXP(-LN(2)/2)*EC102+(1-EXP(-LN(2)/2))/(LN(2)/2)*DW103*DZ103*VLOOKUP('Données projet'!$B$14,Paramètres!$A$1:$I$89,3,0)*0.475*44/12</f>
        <v>3.4097393222023785E-2</v>
      </c>
      <c r="ED103" s="22">
        <f t="shared" si="72"/>
        <v>206.01324891597025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2.2737367544323206E-13</v>
      </c>
      <c r="EK103" s="17">
        <f>EJ103*VLOOKUP('Données projet'!$B$15,Paramètres!$A$1:$I$89,3,0)*VLOOKUP('Données projet'!$B$15,Paramètres!$A$1:$I$89,5,0)</f>
        <v>1.0049916454590858E-13</v>
      </c>
      <c r="EL103" s="13">
        <f t="shared" si="99"/>
        <v>1.5089081593838289E-12</v>
      </c>
      <c r="EM103" s="20">
        <f t="shared" si="73"/>
        <v>2.8030510891776262E-12</v>
      </c>
      <c r="EN103" s="59">
        <f t="shared" si="74"/>
        <v>277.40405518371199</v>
      </c>
      <c r="EO103" s="59">
        <f ca="1">AVERAGE(OFFSET($EN$3,0,0,'Données projet'!$E$15+1,1))-AVERAGE(OFFSET($H$3,0,0,'Données projet'!$E$15+1,1))</f>
        <v>561.50881628354409</v>
      </c>
      <c r="EP103" s="59">
        <f t="shared" si="100"/>
        <v>468.67708352238458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224.85426671092318</v>
      </c>
      <c r="EW103" s="21">
        <f>EXP(-LN(2)/25)*EW102+(1-EXP(-LN(2)/25))/(LN(2)/25)*Calculateur!ER103*Calculateur!ET103*VLOOKUP('Données projet'!$B$15,Paramètres!$A$1:$I$89,3,0)*0.475*44/12</f>
        <v>34.750015652306672</v>
      </c>
      <c r="EX103" s="21">
        <f>EXP(-LN(2)/2)*EX102+(1-EXP(-LN(2)/2))/(LN(2)/2)*ER103*EU103*VLOOKUP('Données projet'!$B$15,Paramètres!$A$1:$I$89,3,0)*0.475*44/12</f>
        <v>4.5187569340958571E-2</v>
      </c>
      <c r="EY103" s="22">
        <f t="shared" si="75"/>
        <v>259.64946993257081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311.39999999999992</v>
      </c>
      <c r="O104" s="13">
        <f>N104*VLOOKUP('Données projet'!$B$9,Paramètres!$A$1:$I$89,3,0)*VLOOKUP('Données projet'!$B$9,Paramètres!$A$1:$I$89,5,0)</f>
        <v>281.75471999999991</v>
      </c>
      <c r="P104" s="13">
        <f t="shared" si="87"/>
        <v>67.337696723120317</v>
      </c>
      <c r="Q104" s="20">
        <f t="shared" si="107"/>
        <v>608.00262579276762</v>
      </c>
      <c r="R104" s="59">
        <f t="shared" si="55"/>
        <v>885.68301833984196</v>
      </c>
      <c r="S104" s="59">
        <f ca="1">AVERAGE(OFFSET($R$3,0,0,'Données projet'!$E$9+1,1))-AVERAGE(OFFSET($H$3,0,0,'Données projet'!$E$9+1,1))</f>
        <v>484.04602944257209</v>
      </c>
      <c r="T104" s="59">
        <f t="shared" si="88"/>
        <v>297.32483725004124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49.043541241853859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49.043541241853859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2.4</v>
      </c>
      <c r="AI104" s="13">
        <f>IF('Données projet'!$A$62&gt;35,AI103+AH104-AQ103,IF(A104&lt;'Données projet'!$A$62,$AF$205^A104,IF(A104='Données projet'!$A$62,'Données projet'!$B$62,AI103+AH104-AQ103)))</f>
        <v>263.39999999999998</v>
      </c>
      <c r="AJ104" s="13">
        <f>AI104*VLOOKUP('Données projet'!$B$10,Paramètres!$A$1:$I$89,3,0)*VLOOKUP('Données projet'!$B$10,Paramètres!$A$1:$I$89,5,0)</f>
        <v>299.95992000000001</v>
      </c>
      <c r="AK104" s="13">
        <f t="shared" si="89"/>
        <v>71.168061102862964</v>
      </c>
      <c r="AL104" s="20">
        <f t="shared" si="58"/>
        <v>646.38123375415296</v>
      </c>
      <c r="AM104" s="59">
        <f t="shared" si="59"/>
        <v>924.06162630122731</v>
      </c>
      <c r="AN104" s="59">
        <f ca="1">AVERAGE(OFFSET($AM$3,0,0,'Données projet'!$E$10+1,1))-AVERAGE(OFFSET($H$3,0,0,'Données projet'!$E$10+1,1))</f>
        <v>493.74122500490859</v>
      </c>
      <c r="AO104" s="59">
        <f t="shared" si="90"/>
        <v>299.43985151679692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38.433312028930146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38.433312028930146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364.64276939439014</v>
      </c>
      <c r="BJ104" s="59">
        <f t="shared" si="92"/>
        <v>341.7578598026638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87.368939841956703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87.368939841956703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3.4106051316484809E-13</v>
      </c>
      <c r="BZ104" s="13">
        <f>BY104*VLOOKUP('Données projet'!$B$12,Paramètres!$A$1:$I$89,3,0)*VLOOKUP('Données projet'!$B$12,Paramètres!$A$1:$I$89,5,0)</f>
        <v>2.0395418687257919E-13</v>
      </c>
      <c r="CA104" s="13">
        <f t="shared" si="93"/>
        <v>2.8200388570161721E-12</v>
      </c>
      <c r="CB104" s="20">
        <f t="shared" si="64"/>
        <v>5.2667878847729083E-12</v>
      </c>
      <c r="CC104" s="59">
        <f t="shared" si="65"/>
        <v>277.68039254707969</v>
      </c>
      <c r="CD104" s="59">
        <f ca="1">AVERAGE(OFFSET($CC$3,0,0,'Données projet'!$E$12+1,1))-AVERAGE(OFFSET($H$3,0,0,'Données projet'!$E$12+1,1))</f>
        <v>435.81281313761326</v>
      </c>
      <c r="CE104" s="59">
        <f t="shared" si="94"/>
        <v>460.93390058676493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114.22760325316605</v>
      </c>
      <c r="CL104" s="21">
        <f>EXP(-LN(2)/25)*CL103+(1-EXP(-LN(2)/25))/(LN(2)/25)*Calculateur!CG104*Calculateur!CI104*VLOOKUP('Données projet'!$B$12,Paramètres!$A$1:$I$89,3,0)*0.475*44/12</f>
        <v>19.139334953877924</v>
      </c>
      <c r="CM104" s="21">
        <f>EXP(-LN(2)/2)*CM103+(1-EXP(-LN(2)/2))/(LN(2)/2)*CG104*CJ104*VLOOKUP('Données projet'!$B$12,Paramètres!$A$1:$I$89,3,0)*0.475*44/12</f>
        <v>1.4889526386561275E-4</v>
      </c>
      <c r="CN104" s="22">
        <f t="shared" si="66"/>
        <v>133.36708710230783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379.16472924112111</v>
      </c>
      <c r="CZ104" s="59">
        <f t="shared" si="96"/>
        <v>273.18950868898253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157.65653764841122</v>
      </c>
      <c r="DG104" s="21">
        <f>EXP(-LN(2)/25)*DG103+(1-EXP(-LN(2)/25))/(LN(2)/25)*Calculateur!DB104*Calculateur!DD104*VLOOKUP('Données projet'!$B$13,Paramètres!$A$1:$I$89,3,0)*0.475*44/12</f>
        <v>25.872869082362072</v>
      </c>
      <c r="DH104" s="21">
        <f>EXP(-LN(2)/2)*DH103+(1-EXP(-LN(2)/2))/(LN(2)/2)*DB104*DE104*VLOOKUP('Données projet'!$B$13,Paramètres!$A$1:$I$89,3,0)*0.475*44/12</f>
        <v>0.67594578246319337</v>
      </c>
      <c r="DI104" s="22">
        <f t="shared" si="69"/>
        <v>184.20535251323651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6.8212102632969618E-13</v>
      </c>
      <c r="DP104" s="17">
        <f>DO104*VLOOKUP('Données projet'!$B$14,Paramètres!$A$1:$I$89,3,0)*VLOOKUP('Données projet'!$B$14,Paramètres!$A$1:$I$89,5,0)</f>
        <v>2.7489477361086753E-13</v>
      </c>
      <c r="DQ104" s="13">
        <f t="shared" si="97"/>
        <v>3.6711283554998768E-12</v>
      </c>
      <c r="DR104" s="20">
        <f t="shared" si="70"/>
        <v>6.8726569498678791E-12</v>
      </c>
      <c r="DS104" s="59">
        <f t="shared" si="71"/>
        <v>277.68039254708128</v>
      </c>
      <c r="DT104" s="59">
        <f ca="1">AVERAGE(OFFSET($DS$3,0,0,'Données projet'!$E$14+1,1))-AVERAGE(OFFSET($H$3,0,0,'Données projet'!$E$14+1,1))</f>
        <v>419.35339339286082</v>
      </c>
      <c r="DU104" s="59">
        <f t="shared" si="98"/>
        <v>359.03308141414709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175.67944458503246</v>
      </c>
      <c r="EB104" s="21">
        <f>EXP(-LN(2)/25)*EB103+(1-EXP(-LN(2)/25))/(LN(2)/25)*Calculateur!DW104*Calculateur!DY104*VLOOKUP('Données projet'!$B$14,Paramètres!$A$1:$I$89,3,0)*0.475*44/12</f>
        <v>26.053375228804676</v>
      </c>
      <c r="EC104" s="21">
        <f>EXP(-LN(2)/2)*EC103+(1-EXP(-LN(2)/2))/(LN(2)/2)*DW104*DZ104*VLOOKUP('Données projet'!$B$14,Paramètres!$A$1:$I$89,3,0)*0.475*44/12</f>
        <v>2.4110497968077241E-2</v>
      </c>
      <c r="ED104" s="22">
        <f t="shared" si="72"/>
        <v>201.75693031180521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2.2737367544323206E-13</v>
      </c>
      <c r="EK104" s="17">
        <f>EJ104*VLOOKUP('Données projet'!$B$15,Paramètres!$A$1:$I$89,3,0)*VLOOKUP('Données projet'!$B$15,Paramètres!$A$1:$I$89,5,0)</f>
        <v>1.0049916454590858E-13</v>
      </c>
      <c r="EL104" s="13">
        <f t="shared" si="99"/>
        <v>1.5089081593838289E-12</v>
      </c>
      <c r="EM104" s="20">
        <f t="shared" si="73"/>
        <v>2.8030510891776262E-12</v>
      </c>
      <c r="EN104" s="59">
        <f t="shared" si="74"/>
        <v>277.68039254707719</v>
      </c>
      <c r="EO104" s="59">
        <f ca="1">AVERAGE(OFFSET($EN$3,0,0,'Données projet'!$E$15+1,1))-AVERAGE(OFFSET($H$3,0,0,'Données projet'!$E$15+1,1))</f>
        <v>561.50881628354409</v>
      </c>
      <c r="EP104" s="59">
        <f t="shared" si="100"/>
        <v>468.67708352238458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220.44501168828248</v>
      </c>
      <c r="EW104" s="21">
        <f>EXP(-LN(2)/25)*EW103+(1-EXP(-LN(2)/25))/(LN(2)/25)*Calculateur!ER104*Calculateur!ET104*VLOOKUP('Données projet'!$B$15,Paramètres!$A$1:$I$89,3,0)*0.475*44/12</f>
        <v>33.799774646870446</v>
      </c>
      <c r="EX104" s="21">
        <f>EXP(-LN(2)/2)*EX103+(1-EXP(-LN(2)/2))/(LN(2)/2)*ER104*EU104*VLOOKUP('Données projet'!$B$15,Paramètres!$A$1:$I$89,3,0)*0.475*44/12</f>
        <v>3.1952436706329135E-2</v>
      </c>
      <c r="EY104" s="22">
        <f t="shared" si="75"/>
        <v>254.27673877185924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</v>
      </c>
      <c r="O105" s="13">
        <f>N105*VLOOKUP('Données projet'!$B$9,Paramètres!$A$1:$I$89,3,0)*VLOOKUP('Données projet'!$B$9,Paramètres!$A$1:$I$89,5,0)</f>
        <v>286.64063999999985</v>
      </c>
      <c r="P105" s="13">
        <f t="shared" si="87"/>
        <v>68.368446832003599</v>
      </c>
      <c r="Q105" s="20">
        <f t="shared" si="107"/>
        <v>618.3074928990726</v>
      </c>
      <c r="R105" s="59">
        <f t="shared" si="55"/>
        <v>896.25942897405548</v>
      </c>
      <c r="S105" s="59">
        <f ca="1">AVERAGE(OFFSET($R$3,0,0,'Données projet'!$E$9+1,1))-AVERAGE(OFFSET($H$3,0,0,'Données projet'!$E$9+1,1))</f>
        <v>484.04602944257209</v>
      </c>
      <c r="T105" s="59">
        <f t="shared" si="88"/>
        <v>297.32483725004124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48.081827311707542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48.081827311707542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2.4</v>
      </c>
      <c r="AI105" s="13">
        <f>IF('Données projet'!$A$62&gt;35,AI104+AH105-AQ104,IF(A105&lt;'Données projet'!$A$62,$AF$205^A105,IF(A105='Données projet'!$A$62,'Données projet'!$B$62,AI104+AH105-AQ104)))</f>
        <v>265.79999999999995</v>
      </c>
      <c r="AJ105" s="13">
        <f>AI105*VLOOKUP('Données projet'!$B$10,Paramètres!$A$1:$I$89,3,0)*VLOOKUP('Données projet'!$B$10,Paramètres!$A$1:$I$89,5,0)</f>
        <v>302.69303999999994</v>
      </c>
      <c r="AK105" s="13">
        <f t="shared" si="89"/>
        <v>71.740734124511533</v>
      </c>
      <c r="AL105" s="20">
        <f t="shared" si="58"/>
        <v>652.13882326685757</v>
      </c>
      <c r="AM105" s="59">
        <f t="shared" si="59"/>
        <v>930.09075934184057</v>
      </c>
      <c r="AN105" s="59">
        <f ca="1">AVERAGE(OFFSET($AM$3,0,0,'Données projet'!$E$10+1,1))-AVERAGE(OFFSET($H$3,0,0,'Données projet'!$E$10+1,1))</f>
        <v>493.74122500490859</v>
      </c>
      <c r="AO105" s="59">
        <f t="shared" si="90"/>
        <v>299.43985151679692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37.679658222048459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37.679658222048459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364.64276939439014</v>
      </c>
      <c r="BJ105" s="59">
        <f t="shared" si="92"/>
        <v>341.7578598026638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85.655688221447306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85.655688221447306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3.4106051316484809E-13</v>
      </c>
      <c r="BZ105" s="13">
        <f>BY105*VLOOKUP('Données projet'!$B$12,Paramètres!$A$1:$I$89,3,0)*VLOOKUP('Données projet'!$B$12,Paramètres!$A$1:$I$89,5,0)</f>
        <v>2.0395418687257919E-13</v>
      </c>
      <c r="CA105" s="13">
        <f t="shared" si="93"/>
        <v>2.8200388570161721E-12</v>
      </c>
      <c r="CB105" s="20">
        <f t="shared" si="64"/>
        <v>5.2667878847729083E-12</v>
      </c>
      <c r="CC105" s="59">
        <f t="shared" si="65"/>
        <v>277.95193607498823</v>
      </c>
      <c r="CD105" s="59">
        <f ca="1">AVERAGE(OFFSET($CC$3,0,0,'Données projet'!$E$12+1,1))-AVERAGE(OFFSET($H$3,0,0,'Données projet'!$E$12+1,1))</f>
        <v>435.81281313761326</v>
      </c>
      <c r="CE105" s="59">
        <f t="shared" si="94"/>
        <v>460.93390058676493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111.98766962532991</v>
      </c>
      <c r="CL105" s="21">
        <f>EXP(-LN(2)/25)*CL104+(1-EXP(-LN(2)/25))/(LN(2)/25)*Calculateur!CG105*Calculateur!CI105*VLOOKUP('Données projet'!$B$12,Paramètres!$A$1:$I$89,3,0)*0.475*44/12</f>
        <v>18.615968833070252</v>
      </c>
      <c r="CM105" s="21">
        <f>EXP(-LN(2)/2)*CM104+(1-EXP(-LN(2)/2))/(LN(2)/2)*CG105*CJ105*VLOOKUP('Données projet'!$B$12,Paramètres!$A$1:$I$89,3,0)*0.475*44/12</f>
        <v>1.0528485076593509E-4</v>
      </c>
      <c r="CN105" s="22">
        <f t="shared" si="66"/>
        <v>130.60374374325093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379.16472924112111</v>
      </c>
      <c r="CZ105" s="59">
        <f t="shared" si="96"/>
        <v>273.18950868898253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154.56498910611873</v>
      </c>
      <c r="DG105" s="21">
        <f>EXP(-LN(2)/25)*DG104+(1-EXP(-LN(2)/25))/(LN(2)/25)*Calculateur!DB105*Calculateur!DD105*VLOOKUP('Données projet'!$B$13,Paramètres!$A$1:$I$89,3,0)*0.475*44/12</f>
        <v>25.165374116709831</v>
      </c>
      <c r="DH105" s="21">
        <f>EXP(-LN(2)/2)*DH104+(1-EXP(-LN(2)/2))/(LN(2)/2)*DB105*DE105*VLOOKUP('Données projet'!$B$13,Paramètres!$A$1:$I$89,3,0)*0.475*44/12</f>
        <v>0.47796584649417095</v>
      </c>
      <c r="DI105" s="22">
        <f t="shared" si="69"/>
        <v>180.20832906932273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6.8212102632969618E-13</v>
      </c>
      <c r="DP105" s="17">
        <f>DO105*VLOOKUP('Données projet'!$B$14,Paramètres!$A$1:$I$89,3,0)*VLOOKUP('Données projet'!$B$14,Paramètres!$A$1:$I$89,5,0)</f>
        <v>2.7489477361086753E-13</v>
      </c>
      <c r="DQ105" s="13">
        <f t="shared" si="97"/>
        <v>3.6711283554998768E-12</v>
      </c>
      <c r="DR105" s="20">
        <f t="shared" si="70"/>
        <v>6.8726569498678791E-12</v>
      </c>
      <c r="DS105" s="59">
        <f t="shared" si="71"/>
        <v>277.95193607498982</v>
      </c>
      <c r="DT105" s="59">
        <f ca="1">AVERAGE(OFFSET($DS$3,0,0,'Données projet'!$E$14+1,1))-AVERAGE(OFFSET($H$3,0,0,'Données projet'!$E$14+1,1))</f>
        <v>419.35339339286082</v>
      </c>
      <c r="DU105" s="59">
        <f t="shared" si="98"/>
        <v>359.03308141414709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172.23447783060061</v>
      </c>
      <c r="EB105" s="21">
        <f>EXP(-LN(2)/25)*EB104+(1-EXP(-LN(2)/25))/(LN(2)/25)*Calculateur!DW105*Calculateur!DY105*VLOOKUP('Données projet'!$B$14,Paramètres!$A$1:$I$89,3,0)*0.475*44/12</f>
        <v>25.340944313085554</v>
      </c>
      <c r="EC105" s="21">
        <f>EXP(-LN(2)/2)*EC104+(1-EXP(-LN(2)/2))/(LN(2)/2)*DW105*DZ105*VLOOKUP('Données projet'!$B$14,Paramètres!$A$1:$I$89,3,0)*0.475*44/12</f>
        <v>1.7048696611011892E-2</v>
      </c>
      <c r="ED105" s="22">
        <f t="shared" si="72"/>
        <v>197.59247084029715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2.2737367544323206E-13</v>
      </c>
      <c r="EK105" s="17">
        <f>EJ105*VLOOKUP('Données projet'!$B$15,Paramètres!$A$1:$I$89,3,0)*VLOOKUP('Données projet'!$B$15,Paramètres!$A$1:$I$89,5,0)</f>
        <v>1.0049916454590858E-13</v>
      </c>
      <c r="EL105" s="13">
        <f t="shared" si="99"/>
        <v>1.5089081593838289E-12</v>
      </c>
      <c r="EM105" s="20">
        <f t="shared" si="73"/>
        <v>2.8030510891776262E-12</v>
      </c>
      <c r="EN105" s="59">
        <f t="shared" si="74"/>
        <v>277.95193607498572</v>
      </c>
      <c r="EO105" s="59">
        <f ca="1">AVERAGE(OFFSET($EN$3,0,0,'Données projet'!$E$15+1,1))-AVERAGE(OFFSET($H$3,0,0,'Données projet'!$E$15+1,1))</f>
        <v>561.50881628354409</v>
      </c>
      <c r="EP105" s="59">
        <f t="shared" si="100"/>
        <v>468.67708352238458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216.12221946725575</v>
      </c>
      <c r="EW105" s="21">
        <f>EXP(-LN(2)/25)*EW104+(1-EXP(-LN(2)/25))/(LN(2)/25)*Calculateur!ER105*Calculateur!ET105*VLOOKUP('Données projet'!$B$15,Paramètres!$A$1:$I$89,3,0)*0.475*44/12</f>
        <v>32.875518031698874</v>
      </c>
      <c r="EX105" s="21">
        <f>EXP(-LN(2)/2)*EX104+(1-EXP(-LN(2)/2))/(LN(2)/2)*ER105*EU105*VLOOKUP('Données projet'!$B$15,Paramètres!$A$1:$I$89,3,0)*0.475*44/12</f>
        <v>2.2593784670479285E-2</v>
      </c>
      <c r="EY105" s="22">
        <f t="shared" si="75"/>
        <v>249.0203312836251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322.19999999999987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906.82757039833041</v>
      </c>
      <c r="S106" s="59">
        <f ca="1">AVERAGE(OFFSET($R$3,0,0,'Données projet'!$E$9+1,1))-AVERAGE(OFFSET($H$3,0,0,'Données projet'!$E$9+1,1))</f>
        <v>484.04602944257209</v>
      </c>
      <c r="T106" s="59">
        <f t="shared" si="88"/>
        <v>297.32483725004124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47.138972005143813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47.138972005143813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2.4</v>
      </c>
      <c r="AI106" s="13">
        <f>IF('Données projet'!$A$62&gt;35,AI105+AH106-AQ105,IF(A106&lt;'Données projet'!$A$62,$AF$205^A106,IF(A106='Données projet'!$A$62,'Données projet'!$B$62,AI105+AH106-AQ105)))</f>
        <v>268.19999999999993</v>
      </c>
      <c r="AJ106" s="13">
        <f>AI106*VLOOKUP('Données projet'!$B$10,Paramètres!$A$1:$I$89,3,0)*VLOOKUP('Données projet'!$B$10,Paramètres!$A$1:$I$89,5,0)</f>
        <v>305.42615999999992</v>
      </c>
      <c r="AK106" s="13">
        <f t="shared" si="89"/>
        <v>72.312805565305823</v>
      </c>
      <c r="AL106" s="20">
        <f t="shared" si="58"/>
        <v>657.89536502624082</v>
      </c>
      <c r="AM106" s="59">
        <f t="shared" si="59"/>
        <v>936.11413395600357</v>
      </c>
      <c r="AN106" s="59">
        <f ca="1">AVERAGE(OFFSET($AM$3,0,0,'Données projet'!$E$10+1,1))-AVERAGE(OFFSET($H$3,0,0,'Données projet'!$E$10+1,1))</f>
        <v>493.74122500490859</v>
      </c>
      <c r="AO106" s="59">
        <f t="shared" si="90"/>
        <v>299.43985151679692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36.940783106636289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36.940783106636289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364.64276939439014</v>
      </c>
      <c r="BJ106" s="59">
        <f t="shared" si="92"/>
        <v>341.7578598026638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83.976032420235796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83.976032420235796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3.4106051316484809E-13</v>
      </c>
      <c r="BZ106" s="13">
        <f>BY106*VLOOKUP('Données projet'!$B$12,Paramètres!$A$1:$I$89,3,0)*VLOOKUP('Données projet'!$B$12,Paramètres!$A$1:$I$89,5,0)</f>
        <v>2.0395418687257919E-13</v>
      </c>
      <c r="CA106" s="13">
        <f t="shared" si="93"/>
        <v>2.8200388570161721E-12</v>
      </c>
      <c r="CB106" s="20">
        <f t="shared" si="64"/>
        <v>5.2667878847729083E-12</v>
      </c>
      <c r="CC106" s="59">
        <f t="shared" si="65"/>
        <v>278.21876892976798</v>
      </c>
      <c r="CD106" s="59">
        <f ca="1">AVERAGE(OFFSET($CC$3,0,0,'Données projet'!$E$12+1,1))-AVERAGE(OFFSET($H$3,0,0,'Données projet'!$E$12+1,1))</f>
        <v>435.81281313761326</v>
      </c>
      <c r="CE106" s="59">
        <f t="shared" si="94"/>
        <v>460.93390058676493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109.79165972971103</v>
      </c>
      <c r="CL106" s="21">
        <f>EXP(-LN(2)/25)*CL105+(1-EXP(-LN(2)/25))/(LN(2)/25)*Calculateur!CG106*Calculateur!CI106*VLOOKUP('Données projet'!$B$12,Paramètres!$A$1:$I$89,3,0)*0.475*44/12</f>
        <v>18.106914186358694</v>
      </c>
      <c r="CM106" s="21">
        <f>EXP(-LN(2)/2)*CM105+(1-EXP(-LN(2)/2))/(LN(2)/2)*CG106*CJ106*VLOOKUP('Données projet'!$B$12,Paramètres!$A$1:$I$89,3,0)*0.475*44/12</f>
        <v>7.4447631932806377E-5</v>
      </c>
      <c r="CN106" s="22">
        <f t="shared" si="66"/>
        <v>127.89864836370165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379.16472924112111</v>
      </c>
      <c r="CZ106" s="59">
        <f t="shared" si="96"/>
        <v>273.18950868898253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151.53406394508218</v>
      </c>
      <c r="DG106" s="21">
        <f>EXP(-LN(2)/25)*DG105+(1-EXP(-LN(2)/25))/(LN(2)/25)*Calculateur!DB106*Calculateur!DD106*VLOOKUP('Données projet'!$B$13,Paramètres!$A$1:$I$89,3,0)*0.475*44/12</f>
        <v>24.477225638098894</v>
      </c>
      <c r="DH106" s="21">
        <f>EXP(-LN(2)/2)*DH105+(1-EXP(-LN(2)/2))/(LN(2)/2)*DB106*DE106*VLOOKUP('Données projet'!$B$13,Paramètres!$A$1:$I$89,3,0)*0.475*44/12</f>
        <v>0.33797289123159674</v>
      </c>
      <c r="DI106" s="22">
        <f t="shared" si="69"/>
        <v>176.34926247441268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6.8212102632969618E-13</v>
      </c>
      <c r="DP106" s="17">
        <f>DO106*VLOOKUP('Données projet'!$B$14,Paramètres!$A$1:$I$89,3,0)*VLOOKUP('Données projet'!$B$14,Paramètres!$A$1:$I$89,5,0)</f>
        <v>2.7489477361086753E-13</v>
      </c>
      <c r="DQ106" s="13">
        <f t="shared" si="97"/>
        <v>3.6711283554998768E-12</v>
      </c>
      <c r="DR106" s="20">
        <f t="shared" si="70"/>
        <v>6.8726569498678791E-12</v>
      </c>
      <c r="DS106" s="59">
        <f t="shared" si="71"/>
        <v>278.21876892976957</v>
      </c>
      <c r="DT106" s="59">
        <f ca="1">AVERAGE(OFFSET($DS$3,0,0,'Données projet'!$E$14+1,1))-AVERAGE(OFFSET($H$3,0,0,'Données projet'!$E$14+1,1))</f>
        <v>419.35339339286082</v>
      </c>
      <c r="DU106" s="59">
        <f t="shared" si="98"/>
        <v>359.03308141414709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168.85706477300093</v>
      </c>
      <c r="EB106" s="21">
        <f>EXP(-LN(2)/25)*EB105+(1-EXP(-LN(2)/25))/(LN(2)/25)*Calculateur!DW106*Calculateur!DY106*VLOOKUP('Données projet'!$B$14,Paramètres!$A$1:$I$89,3,0)*0.475*44/12</f>
        <v>24.647994858221885</v>
      </c>
      <c r="EC106" s="21">
        <f>EXP(-LN(2)/2)*EC105+(1-EXP(-LN(2)/2))/(LN(2)/2)*DW106*DZ106*VLOOKUP('Données projet'!$B$14,Paramètres!$A$1:$I$89,3,0)*0.475*44/12</f>
        <v>1.2055248984038621E-2</v>
      </c>
      <c r="ED106" s="22">
        <f t="shared" si="72"/>
        <v>193.51711488020686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2.2737367544323206E-13</v>
      </c>
      <c r="EK106" s="17">
        <f>EJ106*VLOOKUP('Données projet'!$B$15,Paramètres!$A$1:$I$89,3,0)*VLOOKUP('Données projet'!$B$15,Paramètres!$A$1:$I$89,5,0)</f>
        <v>1.0049916454590858E-13</v>
      </c>
      <c r="EL106" s="13">
        <f t="shared" si="99"/>
        <v>1.5089081593838289E-12</v>
      </c>
      <c r="EM106" s="20">
        <f t="shared" si="73"/>
        <v>2.8030510891776262E-12</v>
      </c>
      <c r="EN106" s="59">
        <f t="shared" si="74"/>
        <v>278.21876892976547</v>
      </c>
      <c r="EO106" s="59">
        <f ca="1">AVERAGE(OFFSET($EN$3,0,0,'Données projet'!$E$15+1,1))-AVERAGE(OFFSET($H$3,0,0,'Données projet'!$E$15+1,1))</f>
        <v>561.50881628354409</v>
      </c>
      <c r="EP106" s="59">
        <f t="shared" si="100"/>
        <v>468.67708352238458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211.88419456504045</v>
      </c>
      <c r="EW106" s="21">
        <f>EXP(-LN(2)/25)*EW105+(1-EXP(-LN(2)/25))/(LN(2)/25)*Calculateur!ER106*Calculateur!ET106*VLOOKUP('Données projet'!$B$15,Paramètres!$A$1:$I$89,3,0)*0.475*44/12</f>
        <v>31.976535262273714</v>
      </c>
      <c r="EX106" s="21">
        <f>EXP(-LN(2)/2)*EX105+(1-EXP(-LN(2)/2))/(LN(2)/2)*ER106*EU106*VLOOKUP('Données projet'!$B$15,Paramètres!$A$1:$I$89,3,0)*0.475*44/12</f>
        <v>1.5976218353164567E-2</v>
      </c>
      <c r="EY106" s="22">
        <f t="shared" si="75"/>
        <v>243.87670604566733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327.59999999999985</v>
      </c>
      <c r="O107" s="13">
        <f>N107*VLOOKUP('Données projet'!$B$9,Paramètres!$A$1:$I$89,3,0)*VLOOKUP('Données projet'!$B$9,Paramètres!$A$1:$I$89,5,0)</f>
        <v>296.41247999999985</v>
      </c>
      <c r="P107" s="13">
        <f t="shared" si="87"/>
        <v>70.423855708154704</v>
      </c>
      <c r="Q107" s="20">
        <f t="shared" si="107"/>
        <v>638.90661802503575</v>
      </c>
      <c r="R107" s="59">
        <f t="shared" si="55"/>
        <v>917.38759085609672</v>
      </c>
      <c r="S107" s="59">
        <f ca="1">AVERAGE(OFFSET($R$3,0,0,'Données projet'!$E$9+1,1))-AVERAGE(OFFSET($H$3,0,0,'Données projet'!$E$9+1,1))</f>
        <v>484.04602944257209</v>
      </c>
      <c r="T107" s="59">
        <f t="shared" si="88"/>
        <v>297.32483725004124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46.214605516056849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46.214605516056849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2.4</v>
      </c>
      <c r="AI107" s="13">
        <f>IF('Données projet'!$A$62&gt;35,AI106+AH107-AQ106,IF(A107&lt;'Données projet'!$A$62,$AF$205^A107,IF(A107='Données projet'!$A$62,'Données projet'!$B$62,AI106+AH107-AQ106)))</f>
        <v>270.59999999999991</v>
      </c>
      <c r="AJ107" s="13">
        <f>AI107*VLOOKUP('Données projet'!$B$10,Paramètres!$A$1:$I$89,3,0)*VLOOKUP('Données projet'!$B$10,Paramètres!$A$1:$I$89,5,0)</f>
        <v>308.15927999999991</v>
      </c>
      <c r="AK107" s="13">
        <f t="shared" si="89"/>
        <v>72.884281432165011</v>
      </c>
      <c r="AL107" s="20">
        <f t="shared" si="58"/>
        <v>663.65086949435386</v>
      </c>
      <c r="AM107" s="59">
        <f t="shared" si="59"/>
        <v>942.13184232541471</v>
      </c>
      <c r="AN107" s="59">
        <f ca="1">AVERAGE(OFFSET($AM$3,0,0,'Données projet'!$E$10+1,1))-AVERAGE(OFFSET($H$3,0,0,'Données projet'!$E$10+1,1))</f>
        <v>493.74122500490859</v>
      </c>
      <c r="AO107" s="59">
        <f t="shared" si="90"/>
        <v>299.43985151679692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36.216396881568031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36.216396881568031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364.64276939439014</v>
      </c>
      <c r="BJ107" s="59">
        <f t="shared" si="92"/>
        <v>341.7578598026638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82.329313644797168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82.329313644797168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3.4106051316484809E-13</v>
      </c>
      <c r="BZ107" s="13">
        <f>BY107*VLOOKUP('Données projet'!$B$12,Paramètres!$A$1:$I$89,3,0)*VLOOKUP('Données projet'!$B$12,Paramètres!$A$1:$I$89,5,0)</f>
        <v>2.0395418687257919E-13</v>
      </c>
      <c r="CA107" s="13">
        <f t="shared" si="93"/>
        <v>2.8200388570161721E-12</v>
      </c>
      <c r="CB107" s="20">
        <f t="shared" si="64"/>
        <v>5.2667878847729083E-12</v>
      </c>
      <c r="CC107" s="59">
        <f t="shared" si="65"/>
        <v>278.4809728310662</v>
      </c>
      <c r="CD107" s="59">
        <f ca="1">AVERAGE(OFFSET($CC$3,0,0,'Données projet'!$E$12+1,1))-AVERAGE(OFFSET($H$3,0,0,'Données projet'!$E$12+1,1))</f>
        <v>435.81281313761326</v>
      </c>
      <c r="CE107" s="59">
        <f t="shared" si="94"/>
        <v>460.93390058676493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107.63871224871146</v>
      </c>
      <c r="CL107" s="21">
        <f>EXP(-LN(2)/25)*CL106+(1-EXP(-LN(2)/25))/(LN(2)/25)*Calculateur!CG107*Calculateur!CI107*VLOOKUP('Données projet'!$B$12,Paramètres!$A$1:$I$89,3,0)*0.475*44/12</f>
        <v>17.611779665731483</v>
      </c>
      <c r="CM107" s="21">
        <f>EXP(-LN(2)/2)*CM106+(1-EXP(-LN(2)/2))/(LN(2)/2)*CG107*CJ107*VLOOKUP('Données projet'!$B$12,Paramètres!$A$1:$I$89,3,0)*0.475*44/12</f>
        <v>5.2642425382967547E-5</v>
      </c>
      <c r="CN107" s="22">
        <f t="shared" si="66"/>
        <v>125.25054455686832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379.16472924112111</v>
      </c>
      <c r="CZ107" s="59">
        <f t="shared" si="96"/>
        <v>273.18950868898253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148.56257337777174</v>
      </c>
      <c r="DG107" s="21">
        <f>EXP(-LN(2)/25)*DG106+(1-EXP(-LN(2)/25))/(LN(2)/25)*Calculateur!DB107*Calculateur!DD107*VLOOKUP('Données projet'!$B$13,Paramètres!$A$1:$I$89,3,0)*0.475*44/12</f>
        <v>23.807894615823727</v>
      </c>
      <c r="DH107" s="21">
        <f>EXP(-LN(2)/2)*DH106+(1-EXP(-LN(2)/2))/(LN(2)/2)*DB107*DE107*VLOOKUP('Données projet'!$B$13,Paramètres!$A$1:$I$89,3,0)*0.475*44/12</f>
        <v>0.2389829232470855</v>
      </c>
      <c r="DI107" s="22">
        <f t="shared" si="69"/>
        <v>172.60945091684255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6.8212102632969618E-13</v>
      </c>
      <c r="DP107" s="17">
        <f>DO107*VLOOKUP('Données projet'!$B$14,Paramètres!$A$1:$I$89,3,0)*VLOOKUP('Données projet'!$B$14,Paramètres!$A$1:$I$89,5,0)</f>
        <v>2.7489477361086753E-13</v>
      </c>
      <c r="DQ107" s="13">
        <f t="shared" si="97"/>
        <v>3.6711283554998768E-12</v>
      </c>
      <c r="DR107" s="20">
        <f t="shared" si="70"/>
        <v>6.8726569498678791E-12</v>
      </c>
      <c r="DS107" s="59">
        <f t="shared" si="71"/>
        <v>278.48097283106779</v>
      </c>
      <c r="DT107" s="59">
        <f ca="1">AVERAGE(OFFSET($DS$3,0,0,'Données projet'!$E$14+1,1))-AVERAGE(OFFSET($H$3,0,0,'Données projet'!$E$14+1,1))</f>
        <v>419.35339339286082</v>
      </c>
      <c r="DU107" s="59">
        <f t="shared" si="98"/>
        <v>359.03308141414709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165.5458807254422</v>
      </c>
      <c r="EB107" s="21">
        <f>EXP(-LN(2)/25)*EB106+(1-EXP(-LN(2)/25))/(LN(2)/25)*Calculateur!DW107*Calculateur!DY107*VLOOKUP('Données projet'!$B$14,Paramètres!$A$1:$I$89,3,0)*0.475*44/12</f>
        <v>23.973994142642091</v>
      </c>
      <c r="EC107" s="21">
        <f>EXP(-LN(2)/2)*EC106+(1-EXP(-LN(2)/2))/(LN(2)/2)*DW107*DZ107*VLOOKUP('Données projet'!$B$14,Paramètres!$A$1:$I$89,3,0)*0.475*44/12</f>
        <v>8.5243483055059462E-3</v>
      </c>
      <c r="ED107" s="22">
        <f t="shared" si="72"/>
        <v>189.5283992163898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2.2737367544323206E-13</v>
      </c>
      <c r="EK107" s="17">
        <f>EJ107*VLOOKUP('Données projet'!$B$15,Paramètres!$A$1:$I$89,3,0)*VLOOKUP('Données projet'!$B$15,Paramètres!$A$1:$I$89,5,0)</f>
        <v>1.0049916454590858E-13</v>
      </c>
      <c r="EL107" s="13">
        <f t="shared" si="99"/>
        <v>1.5089081593838289E-12</v>
      </c>
      <c r="EM107" s="20">
        <f t="shared" si="73"/>
        <v>2.8030510891776262E-12</v>
      </c>
      <c r="EN107" s="59">
        <f t="shared" si="74"/>
        <v>278.4809728310637</v>
      </c>
      <c r="EO107" s="59">
        <f ca="1">AVERAGE(OFFSET($EN$3,0,0,'Données projet'!$E$15+1,1))-AVERAGE(OFFSET($H$3,0,0,'Données projet'!$E$15+1,1))</f>
        <v>561.50881628354409</v>
      </c>
      <c r="EP107" s="59">
        <f t="shared" si="100"/>
        <v>468.67708352238458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207.72927474621764</v>
      </c>
      <c r="EW107" s="21">
        <f>EXP(-LN(2)/25)*EW106+(1-EXP(-LN(2)/25))/(LN(2)/25)*Calculateur!ER107*Calculateur!ET107*VLOOKUP('Données projet'!$B$15,Paramètres!$A$1:$I$89,3,0)*0.475*44/12</f>
        <v>31.102135223953933</v>
      </c>
      <c r="EX107" s="21">
        <f>EXP(-LN(2)/2)*EX106+(1-EXP(-LN(2)/2))/(LN(2)/2)*ER107*EU107*VLOOKUP('Données projet'!$B$15,Paramètres!$A$1:$I$89,3,0)*0.475*44/12</f>
        <v>1.1296892335239643E-2</v>
      </c>
      <c r="EY107" s="22">
        <f t="shared" si="75"/>
        <v>238.84270686250682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332.99999999999983</v>
      </c>
      <c r="O108" s="13">
        <f>N108*VLOOKUP('Données projet'!$B$9,Paramètres!$A$1:$I$89,3,0)*VLOOKUP('Données projet'!$B$9,Paramètres!$A$1:$I$89,5,0)</f>
        <v>301.29839999999984</v>
      </c>
      <c r="P108" s="13">
        <f t="shared" si="87"/>
        <v>71.448589534990518</v>
      </c>
      <c r="Q108" s="20">
        <f t="shared" si="107"/>
        <v>649.20100677344146</v>
      </c>
      <c r="R108" s="59">
        <f t="shared" si="55"/>
        <v>927.93963485431323</v>
      </c>
      <c r="S108" s="59">
        <f ca="1">AVERAGE(OFFSET($R$3,0,0,'Données projet'!$E$9+1,1))-AVERAGE(OFFSET($H$3,0,0,'Données projet'!$E$9+1,1))</f>
        <v>484.04602944257209</v>
      </c>
      <c r="T108" s="59">
        <f t="shared" si="88"/>
        <v>297.32483725004124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0.34400000000000003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54.254418827059233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54.254418827059233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2.4</v>
      </c>
      <c r="AI108" s="13">
        <f>IF('Données projet'!$A$62&gt;35,AI107+AH108-AQ107,IF(A108&lt;'Données projet'!$A$62,$AF$205^A108,IF(A108='Données projet'!$A$62,'Données projet'!$B$62,AI107+AH108-AQ107)))</f>
        <v>272.99999999999989</v>
      </c>
      <c r="AJ108" s="13">
        <f>AI108*VLOOKUP('Données projet'!$B$10,Paramètres!$A$1:$I$89,3,0)*VLOOKUP('Données projet'!$B$10,Paramètres!$A$1:$I$89,5,0)</f>
        <v>310.89239999999984</v>
      </c>
      <c r="AK108" s="13">
        <f t="shared" si="89"/>
        <v>73.455167619307602</v>
      </c>
      <c r="AL108" s="20">
        <f t="shared" si="58"/>
        <v>669.40534693696043</v>
      </c>
      <c r="AM108" s="59">
        <f t="shared" si="59"/>
        <v>948.14397501783219</v>
      </c>
      <c r="AN108" s="59">
        <f ca="1">AVERAGE(OFFSET($AM$3,0,0,'Données projet'!$E$10+1,1))-AVERAGE(OFFSET($H$3,0,0,'Données projet'!$E$10+1,1))</f>
        <v>493.74122500490859</v>
      </c>
      <c r="AO108" s="59">
        <f t="shared" si="90"/>
        <v>299.43985151679692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35.506215428541388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35.506215428541388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364.64276939439014</v>
      </c>
      <c r="BJ108" s="59">
        <f t="shared" si="92"/>
        <v>341.7578598026638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80.714886020145613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80.714886020145613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3.4106051316484809E-13</v>
      </c>
      <c r="BZ108" s="13">
        <f>BY108*VLOOKUP('Données projet'!$B$12,Paramètres!$A$1:$I$89,3,0)*VLOOKUP('Données projet'!$B$12,Paramètres!$A$1:$I$89,5,0)</f>
        <v>2.0395418687257919E-13</v>
      </c>
      <c r="CA108" s="13">
        <f t="shared" si="93"/>
        <v>2.8200388570161721E-12</v>
      </c>
      <c r="CB108" s="20">
        <f t="shared" si="64"/>
        <v>5.2667878847729083E-12</v>
      </c>
      <c r="CC108" s="59">
        <f t="shared" si="65"/>
        <v>278.73862808087705</v>
      </c>
      <c r="CD108" s="59">
        <f ca="1">AVERAGE(OFFSET($CC$3,0,0,'Données projet'!$E$12+1,1))-AVERAGE(OFFSET($H$3,0,0,'Données projet'!$E$12+1,1))</f>
        <v>435.81281313761326</v>
      </c>
      <c r="CE108" s="59">
        <f t="shared" si="94"/>
        <v>460.93390058676493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105.52798275464599</v>
      </c>
      <c r="CL108" s="21">
        <f>EXP(-LN(2)/25)*CL107+(1-EXP(-LN(2)/25))/(LN(2)/25)*Calculateur!CG108*Calculateur!CI108*VLOOKUP('Données projet'!$B$12,Paramètres!$A$1:$I$89,3,0)*0.475*44/12</f>
        <v>17.130184624608816</v>
      </c>
      <c r="CM108" s="21">
        <f>EXP(-LN(2)/2)*CM107+(1-EXP(-LN(2)/2))/(LN(2)/2)*CG108*CJ108*VLOOKUP('Données projet'!$B$12,Paramètres!$A$1:$I$89,3,0)*0.475*44/12</f>
        <v>3.7223815966403188E-5</v>
      </c>
      <c r="CN108" s="22">
        <f t="shared" si="66"/>
        <v>122.65820460307077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379.16472924112111</v>
      </c>
      <c r="CZ108" s="59">
        <f t="shared" si="96"/>
        <v>273.18950868898253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145.64935192805598</v>
      </c>
      <c r="DG108" s="21">
        <f>EXP(-LN(2)/25)*DG107+(1-EXP(-LN(2)/25))/(LN(2)/25)*Calculateur!DB108*Calculateur!DD108*VLOOKUP('Données projet'!$B$13,Paramètres!$A$1:$I$89,3,0)*0.475*44/12</f>
        <v>23.156866485551262</v>
      </c>
      <c r="DH108" s="21">
        <f>EXP(-LN(2)/2)*DH107+(1-EXP(-LN(2)/2))/(LN(2)/2)*DB108*DE108*VLOOKUP('Données projet'!$B$13,Paramètres!$A$1:$I$89,3,0)*0.475*44/12</f>
        <v>0.16898644561579837</v>
      </c>
      <c r="DI108" s="22">
        <f t="shared" si="69"/>
        <v>168.97520485922303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6.8212102632969618E-13</v>
      </c>
      <c r="DP108" s="17">
        <f>DO108*VLOOKUP('Données projet'!$B$14,Paramètres!$A$1:$I$89,3,0)*VLOOKUP('Données projet'!$B$14,Paramètres!$A$1:$I$89,5,0)</f>
        <v>2.7489477361086753E-13</v>
      </c>
      <c r="DQ108" s="13">
        <f t="shared" si="97"/>
        <v>3.6711283554998768E-12</v>
      </c>
      <c r="DR108" s="20">
        <f t="shared" si="70"/>
        <v>6.8726569498678791E-12</v>
      </c>
      <c r="DS108" s="59">
        <f t="shared" si="71"/>
        <v>278.73862808087864</v>
      </c>
      <c r="DT108" s="59">
        <f ca="1">AVERAGE(OFFSET($DS$3,0,0,'Données projet'!$E$14+1,1))-AVERAGE(OFFSET($H$3,0,0,'Données projet'!$E$14+1,1))</f>
        <v>419.35339339286082</v>
      </c>
      <c r="DU108" s="59">
        <f t="shared" si="98"/>
        <v>359.03308141414709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162.29962697743326</v>
      </c>
      <c r="EB108" s="21">
        <f>EXP(-LN(2)/25)*EB107+(1-EXP(-LN(2)/25))/(LN(2)/25)*Calculateur!DW108*Calculateur!DY108*VLOOKUP('Données projet'!$B$14,Paramètres!$A$1:$I$89,3,0)*0.475*44/12</f>
        <v>23.318424012073983</v>
      </c>
      <c r="EC108" s="21">
        <f>EXP(-LN(2)/2)*EC107+(1-EXP(-LN(2)/2))/(LN(2)/2)*DW108*DZ108*VLOOKUP('Données projet'!$B$14,Paramètres!$A$1:$I$89,3,0)*0.475*44/12</f>
        <v>6.0276244920193104E-3</v>
      </c>
      <c r="ED108" s="22">
        <f t="shared" si="72"/>
        <v>185.62407861399927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2.2737367544323206E-13</v>
      </c>
      <c r="EK108" s="17">
        <f>EJ108*VLOOKUP('Données projet'!$B$15,Paramètres!$A$1:$I$89,3,0)*VLOOKUP('Données projet'!$B$15,Paramètres!$A$1:$I$89,5,0)</f>
        <v>1.0049916454590858E-13</v>
      </c>
      <c r="EL108" s="13">
        <f t="shared" si="99"/>
        <v>1.5089081593838289E-12</v>
      </c>
      <c r="EM108" s="20">
        <f t="shared" si="73"/>
        <v>2.8030510891776262E-12</v>
      </c>
      <c r="EN108" s="59">
        <f t="shared" si="74"/>
        <v>278.73862808087455</v>
      </c>
      <c r="EO108" s="59">
        <f ca="1">AVERAGE(OFFSET($EN$3,0,0,'Données projet'!$E$15+1,1))-AVERAGE(OFFSET($H$3,0,0,'Données projet'!$E$15+1,1))</f>
        <v>561.50881628354409</v>
      </c>
      <c r="EP108" s="59">
        <f t="shared" si="100"/>
        <v>468.67708352238458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203.65583037079108</v>
      </c>
      <c r="EW108" s="21">
        <f>EXP(-LN(2)/25)*EW107+(1-EXP(-LN(2)/25))/(LN(2)/25)*Calculateur!ER108*Calculateur!ET108*VLOOKUP('Données projet'!$B$15,Paramètres!$A$1:$I$89,3,0)*0.475*44/12</f>
        <v>30.251645700664707</v>
      </c>
      <c r="EX108" s="21">
        <f>EXP(-LN(2)/2)*EX107+(1-EXP(-LN(2)/2))/(LN(2)/2)*ER108*EU108*VLOOKUP('Données projet'!$B$15,Paramètres!$A$1:$I$89,3,0)*0.475*44/12</f>
        <v>7.9881091765822837E-3</v>
      </c>
      <c r="EY108" s="22">
        <f t="shared" si="75"/>
        <v>233.91546418063237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311.99999999999983</v>
      </c>
      <c r="O109" s="13">
        <f>N109*VLOOKUP('Données projet'!$B$9,Paramètres!$A$1:$I$89,3,0)*VLOOKUP('Données projet'!$B$9,Paramètres!$A$1:$I$89,5,0)</f>
        <v>282.29759999999982</v>
      </c>
      <c r="P109" s="13">
        <f t="shared" si="87"/>
        <v>67.452326629470107</v>
      </c>
      <c r="Q109" s="20">
        <f t="shared" si="107"/>
        <v>609.1477888796602</v>
      </c>
      <c r="R109" s="59">
        <f t="shared" si="55"/>
        <v>888.13960246778925</v>
      </c>
      <c r="S109" s="59">
        <f ca="1">AVERAGE(OFFSET($R$3,0,0,'Données projet'!$E$9+1,1))-AVERAGE(OFFSET($H$3,0,0,'Données projet'!$E$9+1,1))</f>
        <v>484.04602944257209</v>
      </c>
      <c r="T109" s="59">
        <f t="shared" si="88"/>
        <v>297.32483725004124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53.190522765788529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53.190522765788529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2.4</v>
      </c>
      <c r="AI109" s="13">
        <f>IF('Données projet'!$A$62&gt;35,AI108+AH109-AQ108,IF(A109&lt;'Données projet'!$A$62,$AF$205^A109,IF(A109='Données projet'!$A$62,'Données projet'!$B$62,AI108+AH109-AQ108)))</f>
        <v>275.39999999999986</v>
      </c>
      <c r="AJ109" s="13">
        <f>AI109*VLOOKUP('Données projet'!$B$10,Paramètres!$A$1:$I$89,3,0)*VLOOKUP('Données projet'!$B$10,Paramètres!$A$1:$I$89,5,0)</f>
        <v>313.62551999999982</v>
      </c>
      <c r="AK109" s="13">
        <f t="shared" si="89"/>
        <v>74.025469911337808</v>
      </c>
      <c r="AL109" s="20">
        <f t="shared" si="58"/>
        <v>675.15880742891306</v>
      </c>
      <c r="AM109" s="59">
        <f t="shared" si="59"/>
        <v>954.15062101704211</v>
      </c>
      <c r="AN109" s="59">
        <f ca="1">AVERAGE(OFFSET($AM$3,0,0,'Données projet'!$E$10+1,1))-AVERAGE(OFFSET($H$3,0,0,'Données projet'!$E$10+1,1))</f>
        <v>493.74122500490859</v>
      </c>
      <c r="AO109" s="59">
        <f t="shared" si="90"/>
        <v>299.43985151679692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34.809960200640688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34.809960200640688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364.64276939439014</v>
      </c>
      <c r="BJ109" s="59">
        <f t="shared" si="92"/>
        <v>341.7578598026638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79.132116336509853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79.132116336509853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3.4106051316484809E-13</v>
      </c>
      <c r="BZ109" s="13">
        <f>BY109*VLOOKUP('Données projet'!$B$12,Paramètres!$A$1:$I$89,3,0)*VLOOKUP('Données projet'!$B$12,Paramètres!$A$1:$I$89,5,0)</f>
        <v>2.0395418687257919E-13</v>
      </c>
      <c r="CA109" s="13">
        <f t="shared" si="93"/>
        <v>2.8200388570161721E-12</v>
      </c>
      <c r="CB109" s="20">
        <f t="shared" si="64"/>
        <v>5.2667878847729083E-12</v>
      </c>
      <c r="CC109" s="59">
        <f t="shared" si="65"/>
        <v>278.99181358813439</v>
      </c>
      <c r="CD109" s="59">
        <f ca="1">AVERAGE(OFFSET($CC$3,0,0,'Données projet'!$E$12+1,1))-AVERAGE(OFFSET($H$3,0,0,'Données projet'!$E$12+1,1))</f>
        <v>435.81281313761326</v>
      </c>
      <c r="CE109" s="59">
        <f t="shared" si="94"/>
        <v>460.93390058676493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103.45864337854128</v>
      </c>
      <c r="CL109" s="21">
        <f>EXP(-LN(2)/25)*CL108+(1-EXP(-LN(2)/25))/(LN(2)/25)*Calculateur!CG109*Calculateur!CI109*VLOOKUP('Données projet'!$B$12,Paramètres!$A$1:$I$89,3,0)*0.475*44/12</f>
        <v>16.661758825211631</v>
      </c>
      <c r="CM109" s="21">
        <f>EXP(-LN(2)/2)*CM108+(1-EXP(-LN(2)/2))/(LN(2)/2)*CG109*CJ109*VLOOKUP('Données projet'!$B$12,Paramètres!$A$1:$I$89,3,0)*0.475*44/12</f>
        <v>2.6321212691483774E-5</v>
      </c>
      <c r="CN109" s="22">
        <f t="shared" si="66"/>
        <v>120.1204285249656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379.16472924112111</v>
      </c>
      <c r="CZ109" s="59">
        <f t="shared" si="96"/>
        <v>273.18950868898253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142.79325697407953</v>
      </c>
      <c r="DG109" s="21">
        <f>EXP(-LN(2)/25)*DG108+(1-EXP(-LN(2)/25))/(LN(2)/25)*Calculateur!DB109*Calculateur!DD109*VLOOKUP('Données projet'!$B$13,Paramètres!$A$1:$I$89,3,0)*0.475*44/12</f>
        <v>22.52364075373718</v>
      </c>
      <c r="DH109" s="21">
        <f>EXP(-LN(2)/2)*DH108+(1-EXP(-LN(2)/2))/(LN(2)/2)*DB109*DE109*VLOOKUP('Données projet'!$B$13,Paramètres!$A$1:$I$89,3,0)*0.475*44/12</f>
        <v>0.11949146162354275</v>
      </c>
      <c r="DI109" s="22">
        <f t="shared" si="69"/>
        <v>165.43638918944023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6.8212102632969618E-13</v>
      </c>
      <c r="DP109" s="17">
        <f>DO109*VLOOKUP('Données projet'!$B$14,Paramètres!$A$1:$I$89,3,0)*VLOOKUP('Données projet'!$B$14,Paramètres!$A$1:$I$89,5,0)</f>
        <v>2.7489477361086753E-13</v>
      </c>
      <c r="DQ109" s="13">
        <f t="shared" si="97"/>
        <v>3.6711283554998768E-12</v>
      </c>
      <c r="DR109" s="20">
        <f t="shared" si="70"/>
        <v>6.8726569498678791E-12</v>
      </c>
      <c r="DS109" s="59">
        <f t="shared" si="71"/>
        <v>278.99181358813598</v>
      </c>
      <c r="DT109" s="59">
        <f ca="1">AVERAGE(OFFSET($DS$3,0,0,'Données projet'!$E$14+1,1))-AVERAGE(OFFSET($H$3,0,0,'Données projet'!$E$14+1,1))</f>
        <v>419.35339339286082</v>
      </c>
      <c r="DU109" s="59">
        <f t="shared" si="98"/>
        <v>359.03308141414709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159.1170302854035</v>
      </c>
      <c r="EB109" s="21">
        <f>EXP(-LN(2)/25)*EB108+(1-EXP(-LN(2)/25))/(LN(2)/25)*Calculateur!DW109*Calculateur!DY109*VLOOKUP('Données projet'!$B$14,Paramètres!$A$1:$I$89,3,0)*0.475*44/12</f>
        <v>22.680780481201197</v>
      </c>
      <c r="EC109" s="21">
        <f>EXP(-LN(2)/2)*EC108+(1-EXP(-LN(2)/2))/(LN(2)/2)*DW109*DZ109*VLOOKUP('Données projet'!$B$14,Paramètres!$A$1:$I$89,3,0)*0.475*44/12</f>
        <v>4.2621741527529731E-3</v>
      </c>
      <c r="ED109" s="22">
        <f t="shared" si="72"/>
        <v>181.80207294075745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2.2737367544323206E-13</v>
      </c>
      <c r="EK109" s="17">
        <f>EJ109*VLOOKUP('Données projet'!$B$15,Paramètres!$A$1:$I$89,3,0)*VLOOKUP('Données projet'!$B$15,Paramètres!$A$1:$I$89,5,0)</f>
        <v>1.0049916454590858E-13</v>
      </c>
      <c r="EL109" s="13">
        <f t="shared" si="99"/>
        <v>1.5089081593838289E-12</v>
      </c>
      <c r="EM109" s="20">
        <f t="shared" si="73"/>
        <v>2.8030510891776262E-12</v>
      </c>
      <c r="EN109" s="59">
        <f t="shared" si="74"/>
        <v>278.99181358813189</v>
      </c>
      <c r="EO109" s="59">
        <f ca="1">AVERAGE(OFFSET($EN$3,0,0,'Données projet'!$E$15+1,1))-AVERAGE(OFFSET($H$3,0,0,'Données projet'!$E$15+1,1))</f>
        <v>561.50881628354409</v>
      </c>
      <c r="EP109" s="59">
        <f t="shared" si="100"/>
        <v>468.67708352238458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199.66226375501091</v>
      </c>
      <c r="EW109" s="21">
        <f>EXP(-LN(2)/25)*EW108+(1-EXP(-LN(2)/25))/(LN(2)/25)*Calculateur!ER109*Calculateur!ET109*VLOOKUP('Données projet'!$B$15,Paramètres!$A$1:$I$89,3,0)*0.475*44/12</f>
        <v>29.424412858115122</v>
      </c>
      <c r="EX109" s="21">
        <f>EXP(-LN(2)/2)*EX108+(1-EXP(-LN(2)/2))/(LN(2)/2)*ER109*EU109*VLOOKUP('Données projet'!$B$15,Paramètres!$A$1:$I$89,3,0)*0.475*44/12</f>
        <v>5.6484461676198213E-3</v>
      </c>
      <c r="EY109" s="22">
        <f t="shared" si="75"/>
        <v>229.09232505929364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316.99999999999983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897.92969277978546</v>
      </c>
      <c r="S110" s="59">
        <f ca="1">AVERAGE(OFFSET($R$3,0,0,'Données projet'!$E$9+1,1))-AVERAGE(OFFSET($H$3,0,0,'Données projet'!$E$9+1,1))</f>
        <v>484.04602944257209</v>
      </c>
      <c r="T110" s="59">
        <f t="shared" si="88"/>
        <v>297.32483725004124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52.147489057366819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52.147489057366819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2.4</v>
      </c>
      <c r="AI110" s="13">
        <f>IF('Données projet'!$A$62&gt;35,AI109+AH110-AQ109,IF(A110&lt;'Données projet'!$A$62,$AF$205^A110,IF(A110='Données projet'!$A$62,'Données projet'!$B$62,AI109+AH110-AQ109)))</f>
        <v>277.79999999999984</v>
      </c>
      <c r="AJ110" s="13">
        <f>AI110*VLOOKUP('Données projet'!$B$10,Paramètres!$A$1:$I$89,3,0)*VLOOKUP('Données projet'!$B$10,Paramètres!$A$1:$I$89,5,0)</f>
        <v>316.35863999999981</v>
      </c>
      <c r="AK110" s="13">
        <f t="shared" si="89"/>
        <v>74.595193986221346</v>
      </c>
      <c r="AL110" s="20">
        <f t="shared" si="58"/>
        <v>680.91126085933513</v>
      </c>
      <c r="AM110" s="59">
        <f t="shared" si="59"/>
        <v>960.15186775220877</v>
      </c>
      <c r="AN110" s="59">
        <f ca="1">AVERAGE(OFFSET($AM$3,0,0,'Données projet'!$E$10+1,1))-AVERAGE(OFFSET($H$3,0,0,'Données projet'!$E$10+1,1))</f>
        <v>493.74122500490859</v>
      </c>
      <c r="AO110" s="59">
        <f t="shared" si="90"/>
        <v>299.43985151679692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34.127358113085364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34.127358113085364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364.64276939439014</v>
      </c>
      <c r="BJ110" s="59">
        <f t="shared" si="92"/>
        <v>341.7578598026638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77.580383800976009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77.580383800976009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3.4106051316484809E-13</v>
      </c>
      <c r="BZ110" s="13">
        <f>BY110*VLOOKUP('Données projet'!$B$12,Paramètres!$A$1:$I$89,3,0)*VLOOKUP('Données projet'!$B$12,Paramètres!$A$1:$I$89,5,0)</f>
        <v>2.0395418687257919E-13</v>
      </c>
      <c r="CA110" s="13">
        <f t="shared" si="93"/>
        <v>2.8200388570161721E-12</v>
      </c>
      <c r="CB110" s="20">
        <f t="shared" si="64"/>
        <v>5.2667878847729083E-12</v>
      </c>
      <c r="CC110" s="59">
        <f t="shared" si="65"/>
        <v>279.24060689287893</v>
      </c>
      <c r="CD110" s="59">
        <f ca="1">AVERAGE(OFFSET($CC$3,0,0,'Données projet'!$E$12+1,1))-AVERAGE(OFFSET($H$3,0,0,'Données projet'!$E$12+1,1))</f>
        <v>435.81281313761326</v>
      </c>
      <c r="CE110" s="59">
        <f t="shared" si="94"/>
        <v>460.93390058676493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101.42988248542959</v>
      </c>
      <c r="CL110" s="21">
        <f>EXP(-LN(2)/25)*CL109+(1-EXP(-LN(2)/25))/(LN(2)/25)*Calculateur!CG110*Calculateur!CI110*VLOOKUP('Données projet'!$B$12,Paramètres!$A$1:$I$89,3,0)*0.475*44/12</f>
        <v>16.206142153932404</v>
      </c>
      <c r="CM110" s="21">
        <f>EXP(-LN(2)/2)*CM109+(1-EXP(-LN(2)/2))/(LN(2)/2)*CG110*CJ110*VLOOKUP('Données projet'!$B$12,Paramètres!$A$1:$I$89,3,0)*0.475*44/12</f>
        <v>1.8611907983201594E-5</v>
      </c>
      <c r="CN110" s="22">
        <f t="shared" si="66"/>
        <v>117.63604325126998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379.16472924112111</v>
      </c>
      <c r="CZ110" s="59">
        <f t="shared" si="96"/>
        <v>273.18950868898253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139.99316830010463</v>
      </c>
      <c r="DG110" s="21">
        <f>EXP(-LN(2)/25)*DG109+(1-EXP(-LN(2)/25))/(LN(2)/25)*Calculateur!DB110*Calculateur!DD110*VLOOKUP('Données projet'!$B$13,Paramètres!$A$1:$I$89,3,0)*0.475*44/12</f>
        <v>21.907730612859449</v>
      </c>
      <c r="DH110" s="21">
        <f>EXP(-LN(2)/2)*DH109+(1-EXP(-LN(2)/2))/(LN(2)/2)*DB110*DE110*VLOOKUP('Données projet'!$B$13,Paramètres!$A$1:$I$89,3,0)*0.475*44/12</f>
        <v>8.4493222807899185E-2</v>
      </c>
      <c r="DI110" s="22">
        <f t="shared" si="69"/>
        <v>161.98539213577197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6.8212102632969618E-13</v>
      </c>
      <c r="DP110" s="17">
        <f>DO110*VLOOKUP('Données projet'!$B$14,Paramètres!$A$1:$I$89,3,0)*VLOOKUP('Données projet'!$B$14,Paramètres!$A$1:$I$89,5,0)</f>
        <v>2.7489477361086753E-13</v>
      </c>
      <c r="DQ110" s="13">
        <f t="shared" si="97"/>
        <v>3.6711283554998768E-12</v>
      </c>
      <c r="DR110" s="20">
        <f t="shared" si="70"/>
        <v>6.8726569498678791E-12</v>
      </c>
      <c r="DS110" s="59">
        <f t="shared" si="71"/>
        <v>279.24060689288052</v>
      </c>
      <c r="DT110" s="59">
        <f ca="1">AVERAGE(OFFSET($DS$3,0,0,'Données projet'!$E$14+1,1))-AVERAGE(OFFSET($H$3,0,0,'Données projet'!$E$14+1,1))</f>
        <v>419.35339339286082</v>
      </c>
      <c r="DU110" s="59">
        <f t="shared" si="98"/>
        <v>359.03308141414709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155.99684237331215</v>
      </c>
      <c r="EB110" s="21">
        <f>EXP(-LN(2)/25)*EB109+(1-EXP(-LN(2)/25))/(LN(2)/25)*Calculateur!DW110*Calculateur!DY110*VLOOKUP('Données projet'!$B$14,Paramètres!$A$1:$I$89,3,0)*0.475*44/12</f>
        <v>22.06057334621234</v>
      </c>
      <c r="EC110" s="21">
        <f>EXP(-LN(2)/2)*EC109+(1-EXP(-LN(2)/2))/(LN(2)/2)*DW110*DZ110*VLOOKUP('Données projet'!$B$14,Paramètres!$A$1:$I$89,3,0)*0.475*44/12</f>
        <v>3.0138122460096552E-3</v>
      </c>
      <c r="ED110" s="22">
        <f t="shared" si="72"/>
        <v>178.0604295317705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2.2737367544323206E-13</v>
      </c>
      <c r="EK110" s="17">
        <f>EJ110*VLOOKUP('Données projet'!$B$15,Paramètres!$A$1:$I$89,3,0)*VLOOKUP('Données projet'!$B$15,Paramètres!$A$1:$I$89,5,0)</f>
        <v>1.0049916454590858E-13</v>
      </c>
      <c r="EL110" s="13">
        <f t="shared" si="99"/>
        <v>1.5089081593838289E-12</v>
      </c>
      <c r="EM110" s="20">
        <f t="shared" si="73"/>
        <v>2.8030510891776262E-12</v>
      </c>
      <c r="EN110" s="59">
        <f t="shared" si="74"/>
        <v>279.24060689287643</v>
      </c>
      <c r="EO110" s="59">
        <f ca="1">AVERAGE(OFFSET($EN$3,0,0,'Données projet'!$E$15+1,1))-AVERAGE(OFFSET($H$3,0,0,'Données projet'!$E$15+1,1))</f>
        <v>561.50881628354409</v>
      </c>
      <c r="EP110" s="59">
        <f t="shared" si="100"/>
        <v>468.67708352238458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195.74700854473107</v>
      </c>
      <c r="EW110" s="21">
        <f>EXP(-LN(2)/25)*EW109+(1-EXP(-LN(2)/25))/(LN(2)/25)*Calculateur!ER110*Calculateur!ET110*VLOOKUP('Données projet'!$B$15,Paramètres!$A$1:$I$89,3,0)*0.475*44/12</f>
        <v>28.619800741147344</v>
      </c>
      <c r="EX110" s="21">
        <f>EXP(-LN(2)/2)*EX109+(1-EXP(-LN(2)/2))/(LN(2)/2)*ER110*EU110*VLOOKUP('Données projet'!$B$15,Paramètres!$A$1:$I$89,3,0)*0.475*44/12</f>
        <v>3.9940545882911418E-3</v>
      </c>
      <c r="EY110" s="22">
        <f t="shared" si="75"/>
        <v>224.37080334046672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321.99999999999983</v>
      </c>
      <c r="O111" s="13">
        <f>N111*VLOOKUP('Données projet'!$B$9,Paramètres!$A$1:$I$89,3,0)*VLOOKUP('Données projet'!$B$9,Paramètres!$A$1:$I$89,5,0)</f>
        <v>291.34559999999982</v>
      </c>
      <c r="P111" s="13">
        <f t="shared" si="87"/>
        <v>69.359089490698651</v>
      </c>
      <c r="Q111" s="20">
        <f t="shared" si="107"/>
        <v>628.22733419629969</v>
      </c>
      <c r="R111" s="59">
        <f t="shared" si="55"/>
        <v>907.71241838629908</v>
      </c>
      <c r="S111" s="59">
        <f ca="1">AVERAGE(OFFSET($R$3,0,0,'Données projet'!$E$9+1,1))-AVERAGE(OFFSET($H$3,0,0,'Données projet'!$E$9+1,1))</f>
        <v>484.04602944257209</v>
      </c>
      <c r="T111" s="59">
        <f t="shared" si="88"/>
        <v>297.32483725004124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51.124908603779517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51.124908603779517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2.4</v>
      </c>
      <c r="AI111" s="13">
        <f>IF('Données projet'!$A$62&gt;35,AI110+AH111-AQ110,IF(A111&lt;'Données projet'!$A$62,$AF$205^A111,IF(A111='Données projet'!$A$62,'Données projet'!$B$62,AI110+AH111-AQ110)))</f>
        <v>280.19999999999982</v>
      </c>
      <c r="AJ111" s="13">
        <f>AI111*VLOOKUP('Données projet'!$B$10,Paramètres!$A$1:$I$89,3,0)*VLOOKUP('Données projet'!$B$10,Paramètres!$A$1:$I$89,5,0)</f>
        <v>319.09175999999979</v>
      </c>
      <c r="AK111" s="13">
        <f t="shared" si="89"/>
        <v>75.164345418154994</v>
      </c>
      <c r="AL111" s="20">
        <f t="shared" si="58"/>
        <v>686.66271693661963</v>
      </c>
      <c r="AM111" s="59">
        <f t="shared" si="59"/>
        <v>966.14780112661902</v>
      </c>
      <c r="AN111" s="59">
        <f ca="1">AVERAGE(OFFSET($AM$3,0,0,'Données projet'!$E$10+1,1))-AVERAGE(OFFSET($H$3,0,0,'Données projet'!$E$10+1,1))</f>
        <v>493.74122500490859</v>
      </c>
      <c r="AO111" s="59">
        <f t="shared" si="90"/>
        <v>299.43985151679692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33.458141436120833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33.458141436120833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364.64276939439014</v>
      </c>
      <c r="BJ111" s="59">
        <f t="shared" si="92"/>
        <v>341.7578598026638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76.059079794000596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76.059079794000596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3.4106051316484809E-13</v>
      </c>
      <c r="BZ111" s="13">
        <f>BY111*VLOOKUP('Données projet'!$B$12,Paramètres!$A$1:$I$89,3,0)*VLOOKUP('Données projet'!$B$12,Paramètres!$A$1:$I$89,5,0)</f>
        <v>2.0395418687257919E-13</v>
      </c>
      <c r="CA111" s="13">
        <f t="shared" si="93"/>
        <v>2.8200388570161721E-12</v>
      </c>
      <c r="CB111" s="20">
        <f t="shared" si="64"/>
        <v>5.2667878847729083E-12</v>
      </c>
      <c r="CC111" s="59">
        <f t="shared" si="65"/>
        <v>279.48508419000461</v>
      </c>
      <c r="CD111" s="59">
        <f ca="1">AVERAGE(OFFSET($CC$3,0,0,'Données projet'!$E$12+1,1))-AVERAGE(OFFSET($H$3,0,0,'Données projet'!$E$12+1,1))</f>
        <v>435.81281313761326</v>
      </c>
      <c r="CE111" s="59">
        <f t="shared" si="94"/>
        <v>460.93390058676493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99.440904356009852</v>
      </c>
      <c r="CL111" s="21">
        <f>EXP(-LN(2)/25)*CL110+(1-EXP(-LN(2)/25))/(LN(2)/25)*Calculateur!CG111*Calculateur!CI111*VLOOKUP('Données projet'!$B$12,Paramètres!$A$1:$I$89,3,0)*0.475*44/12</f>
        <v>15.762984344489146</v>
      </c>
      <c r="CM111" s="21">
        <f>EXP(-LN(2)/2)*CM110+(1-EXP(-LN(2)/2))/(LN(2)/2)*CG111*CJ111*VLOOKUP('Données projet'!$B$12,Paramètres!$A$1:$I$89,3,0)*0.475*44/12</f>
        <v>1.3160606345741887E-5</v>
      </c>
      <c r="CN111" s="22">
        <f t="shared" si="66"/>
        <v>115.20390186110534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379.16472924112111</v>
      </c>
      <c r="CZ111" s="59">
        <f t="shared" si="96"/>
        <v>273.18950868898253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137.24798765714092</v>
      </c>
      <c r="DG111" s="21">
        <f>EXP(-LN(2)/25)*DG110+(1-EXP(-LN(2)/25))/(LN(2)/25)*Calculateur!DB111*Calculateur!DD111*VLOOKUP('Données projet'!$B$13,Paramètres!$A$1:$I$89,3,0)*0.475*44/12</f>
        <v>21.308662567173325</v>
      </c>
      <c r="DH111" s="21">
        <f>EXP(-LN(2)/2)*DH110+(1-EXP(-LN(2)/2))/(LN(2)/2)*DB111*DE111*VLOOKUP('Données projet'!$B$13,Paramètres!$A$1:$I$89,3,0)*0.475*44/12</f>
        <v>5.9745730811771376E-2</v>
      </c>
      <c r="DI111" s="22">
        <f t="shared" si="69"/>
        <v>158.61639595512602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6.8212102632969618E-13</v>
      </c>
      <c r="DP111" s="17">
        <f>DO111*VLOOKUP('Données projet'!$B$14,Paramètres!$A$1:$I$89,3,0)*VLOOKUP('Données projet'!$B$14,Paramètres!$A$1:$I$89,5,0)</f>
        <v>2.7489477361086753E-13</v>
      </c>
      <c r="DQ111" s="13">
        <f t="shared" si="97"/>
        <v>3.6711283554998768E-12</v>
      </c>
      <c r="DR111" s="20">
        <f t="shared" si="70"/>
        <v>6.8726569498678791E-12</v>
      </c>
      <c r="DS111" s="59">
        <f t="shared" si="71"/>
        <v>279.48508419000621</v>
      </c>
      <c r="DT111" s="59">
        <f ca="1">AVERAGE(OFFSET($DS$3,0,0,'Données projet'!$E$14+1,1))-AVERAGE(OFFSET($H$3,0,0,'Données projet'!$E$14+1,1))</f>
        <v>419.35339339286082</v>
      </c>
      <c r="DU111" s="59">
        <f t="shared" si="98"/>
        <v>359.03308141414709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152.93783944305019</v>
      </c>
      <c r="EB111" s="21">
        <f>EXP(-LN(2)/25)*EB110+(1-EXP(-LN(2)/25))/(LN(2)/25)*Calculateur!DW111*Calculateur!DY111*VLOOKUP('Données projet'!$B$14,Paramètres!$A$1:$I$89,3,0)*0.475*44/12</f>
        <v>21.457325807945033</v>
      </c>
      <c r="EC111" s="21">
        <f>EXP(-LN(2)/2)*EC110+(1-EXP(-LN(2)/2))/(LN(2)/2)*DW111*DZ111*VLOOKUP('Données projet'!$B$14,Paramètres!$A$1:$I$89,3,0)*0.475*44/12</f>
        <v>2.1310870763764866E-3</v>
      </c>
      <c r="ED111" s="22">
        <f t="shared" si="72"/>
        <v>174.39729633807161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2.2737367544323206E-13</v>
      </c>
      <c r="EK111" s="17">
        <f>EJ111*VLOOKUP('Données projet'!$B$15,Paramètres!$A$1:$I$89,3,0)*VLOOKUP('Données projet'!$B$15,Paramètres!$A$1:$I$89,5,0)</f>
        <v>1.0049916454590858E-13</v>
      </c>
      <c r="EL111" s="13">
        <f t="shared" si="99"/>
        <v>1.5089081593838289E-12</v>
      </c>
      <c r="EM111" s="20">
        <f t="shared" si="73"/>
        <v>2.8030510891776262E-12</v>
      </c>
      <c r="EN111" s="59">
        <f t="shared" si="74"/>
        <v>279.48508419000211</v>
      </c>
      <c r="EO111" s="59">
        <f ca="1">AVERAGE(OFFSET($EN$3,0,0,'Données projet'!$E$15+1,1))-AVERAGE(OFFSET($H$3,0,0,'Données projet'!$E$15+1,1))</f>
        <v>561.50881628354409</v>
      </c>
      <c r="EP111" s="59">
        <f t="shared" si="100"/>
        <v>468.67708352238458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191.90852910105494</v>
      </c>
      <c r="EW111" s="21">
        <f>EXP(-LN(2)/25)*EW110+(1-EXP(-LN(2)/25))/(LN(2)/25)*Calculateur!ER111*Calculateur!ET111*VLOOKUP('Données projet'!$B$15,Paramètres!$A$1:$I$89,3,0)*0.475*44/12</f>
        <v>27.83719078483076</v>
      </c>
      <c r="EX111" s="21">
        <f>EXP(-LN(2)/2)*EX110+(1-EXP(-LN(2)/2))/(LN(2)/2)*ER111*EU111*VLOOKUP('Données projet'!$B$15,Paramètres!$A$1:$I$89,3,0)*0.475*44/12</f>
        <v>2.8242230838099107E-3</v>
      </c>
      <c r="EY111" s="22">
        <f t="shared" si="75"/>
        <v>219.74854410896953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326.99999999999983</v>
      </c>
      <c r="O112" s="13">
        <f>N112*VLOOKUP('Données projet'!$B$9,Paramètres!$A$1:$I$89,3,0)*VLOOKUP('Données projet'!$B$9,Paramètres!$A$1:$I$89,5,0)</f>
        <v>295.86959999999982</v>
      </c>
      <c r="P112" s="13">
        <f t="shared" si="87"/>
        <v>70.309875568291147</v>
      </c>
      <c r="Q112" s="20">
        <f t="shared" si="107"/>
        <v>637.76258661477345</v>
      </c>
      <c r="R112" s="59">
        <f t="shared" si="55"/>
        <v>917.48790696736273</v>
      </c>
      <c r="S112" s="59">
        <f ca="1">AVERAGE(OFFSET($R$3,0,0,'Données projet'!$E$9+1,1))-AVERAGE(OFFSET($H$3,0,0,'Données projet'!$E$9+1,1))</f>
        <v>484.04602944257209</v>
      </c>
      <c r="T112" s="59">
        <f t="shared" si="88"/>
        <v>297.32483725004124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50.122380329174568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50.122380329174568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2.4</v>
      </c>
      <c r="AI112" s="13">
        <f>IF('Données projet'!$A$62&gt;35,AI111+AH112-AQ111,IF(A112&lt;'Données projet'!$A$62,$AF$205^A112,IF(A112='Données projet'!$A$62,'Données projet'!$B$62,AI111+AH112-AQ111)))</f>
        <v>282.5999999999998</v>
      </c>
      <c r="AJ112" s="13">
        <f>AI112*VLOOKUP('Données projet'!$B$10,Paramètres!$A$1:$I$89,3,0)*VLOOKUP('Données projet'!$B$10,Paramètres!$A$1:$I$89,5,0)</f>
        <v>321.82487999999978</v>
      </c>
      <c r="AK112" s="13">
        <f t="shared" si="89"/>
        <v>75.732929680335189</v>
      </c>
      <c r="AL112" s="20">
        <f t="shared" si="58"/>
        <v>692.41318519325011</v>
      </c>
      <c r="AM112" s="59">
        <f t="shared" si="59"/>
        <v>972.13850554583939</v>
      </c>
      <c r="AN112" s="59">
        <f ca="1">AVERAGE(OFFSET($AM$3,0,0,'Données projet'!$E$10+1,1))-AVERAGE(OFFSET($H$3,0,0,'Données projet'!$E$10+1,1))</f>
        <v>493.74122500490859</v>
      </c>
      <c r="AO112" s="59">
        <f t="shared" si="90"/>
        <v>299.43985151679692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32.802047690009708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32.802047690009708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364.64276939439014</v>
      </c>
      <c r="BJ112" s="59">
        <f t="shared" si="92"/>
        <v>341.7578598026638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74.567607630698149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74.567607630698149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3.4106051316484809E-13</v>
      </c>
      <c r="BZ112" s="13">
        <f>BY112*VLOOKUP('Données projet'!$B$12,Paramètres!$A$1:$I$89,3,0)*VLOOKUP('Données projet'!$B$12,Paramètres!$A$1:$I$89,5,0)</f>
        <v>2.0395418687257919E-13</v>
      </c>
      <c r="CA112" s="13">
        <f t="shared" si="93"/>
        <v>2.8200388570161721E-12</v>
      </c>
      <c r="CB112" s="20">
        <f t="shared" si="64"/>
        <v>5.2667878847729083E-12</v>
      </c>
      <c r="CC112" s="59">
        <f t="shared" si="65"/>
        <v>279.72532035259457</v>
      </c>
      <c r="CD112" s="59">
        <f ca="1">AVERAGE(OFFSET($CC$3,0,0,'Données projet'!$E$12+1,1))-AVERAGE(OFFSET($H$3,0,0,'Données projet'!$E$12+1,1))</f>
        <v>435.81281313761326</v>
      </c>
      <c r="CE112" s="59">
        <f t="shared" si="94"/>
        <v>460.93390058676493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97.490928874551173</v>
      </c>
      <c r="CL112" s="21">
        <f>EXP(-LN(2)/25)*CL111+(1-EXP(-LN(2)/25))/(LN(2)/25)*Calculateur!CG112*Calculateur!CI112*VLOOKUP('Données projet'!$B$12,Paramètres!$A$1:$I$89,3,0)*0.475*44/12</f>
        <v>15.33194470864977</v>
      </c>
      <c r="CM112" s="21">
        <f>EXP(-LN(2)/2)*CM111+(1-EXP(-LN(2)/2))/(LN(2)/2)*CG112*CJ112*VLOOKUP('Données projet'!$B$12,Paramètres!$A$1:$I$89,3,0)*0.475*44/12</f>
        <v>9.3059539916007971E-6</v>
      </c>
      <c r="CN112" s="22">
        <f t="shared" si="66"/>
        <v>112.82288288915494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379.16472924112111</v>
      </c>
      <c r="CZ112" s="59">
        <f t="shared" si="96"/>
        <v>273.18950868898253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134.55663833219089</v>
      </c>
      <c r="DG112" s="21">
        <f>EXP(-LN(2)/25)*DG111+(1-EXP(-LN(2)/25))/(LN(2)/25)*Calculateur!DB112*Calculateur!DD112*VLOOKUP('Données projet'!$B$13,Paramètres!$A$1:$I$89,3,0)*0.475*44/12</f>
        <v>20.725976068700106</v>
      </c>
      <c r="DH112" s="21">
        <f>EXP(-LN(2)/2)*DH111+(1-EXP(-LN(2)/2))/(LN(2)/2)*DB112*DE112*VLOOKUP('Données projet'!$B$13,Paramètres!$A$1:$I$89,3,0)*0.475*44/12</f>
        <v>4.2246611403949592E-2</v>
      </c>
      <c r="DI112" s="22">
        <f t="shared" si="69"/>
        <v>155.32486101229495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6.8212102632969618E-13</v>
      </c>
      <c r="DP112" s="17">
        <f>DO112*VLOOKUP('Données projet'!$B$14,Paramètres!$A$1:$I$89,3,0)*VLOOKUP('Données projet'!$B$14,Paramètres!$A$1:$I$89,5,0)</f>
        <v>2.7489477361086753E-13</v>
      </c>
      <c r="DQ112" s="13">
        <f t="shared" si="97"/>
        <v>3.6711283554998768E-12</v>
      </c>
      <c r="DR112" s="20">
        <f t="shared" si="70"/>
        <v>6.8726569498678791E-12</v>
      </c>
      <c r="DS112" s="59">
        <f t="shared" si="71"/>
        <v>279.72532035259616</v>
      </c>
      <c r="DT112" s="59">
        <f ca="1">AVERAGE(OFFSET($DS$3,0,0,'Données projet'!$E$14+1,1))-AVERAGE(OFFSET($H$3,0,0,'Données projet'!$E$14+1,1))</f>
        <v>419.35339339286082</v>
      </c>
      <c r="DU112" s="59">
        <f t="shared" si="98"/>
        <v>359.03308141414709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149.93882169444313</v>
      </c>
      <c r="EB112" s="21">
        <f>EXP(-LN(2)/25)*EB111+(1-EXP(-LN(2)/25))/(LN(2)/25)*Calculateur!DW112*Calculateur!DY112*VLOOKUP('Données projet'!$B$14,Paramètres!$A$1:$I$89,3,0)*0.475*44/12</f>
        <v>20.870574105335052</v>
      </c>
      <c r="EC112" s="21">
        <f>EXP(-LN(2)/2)*EC111+(1-EXP(-LN(2)/2))/(LN(2)/2)*DW112*DZ112*VLOOKUP('Données projet'!$B$14,Paramètres!$A$1:$I$89,3,0)*0.475*44/12</f>
        <v>1.5069061230048276E-3</v>
      </c>
      <c r="ED112" s="22">
        <f t="shared" si="72"/>
        <v>170.81090270590121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2.2737367544323206E-13</v>
      </c>
      <c r="EK112" s="17">
        <f>EJ112*VLOOKUP('Données projet'!$B$15,Paramètres!$A$1:$I$89,3,0)*VLOOKUP('Données projet'!$B$15,Paramètres!$A$1:$I$89,5,0)</f>
        <v>1.0049916454590858E-13</v>
      </c>
      <c r="EL112" s="13">
        <f t="shared" si="99"/>
        <v>1.5089081593838289E-12</v>
      </c>
      <c r="EM112" s="20">
        <f t="shared" si="73"/>
        <v>2.8030510891776262E-12</v>
      </c>
      <c r="EN112" s="59">
        <f t="shared" si="74"/>
        <v>279.72532035259206</v>
      </c>
      <c r="EO112" s="59">
        <f ca="1">AVERAGE(OFFSET($EN$3,0,0,'Données projet'!$E$15+1,1))-AVERAGE(OFFSET($H$3,0,0,'Données projet'!$E$15+1,1))</f>
        <v>561.50881628354409</v>
      </c>
      <c r="EP112" s="59">
        <f t="shared" si="100"/>
        <v>468.67708352238458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188.14531989802802</v>
      </c>
      <c r="EW112" s="21">
        <f>EXP(-LN(2)/25)*EW111+(1-EXP(-LN(2)/25))/(LN(2)/25)*Calculateur!ER112*Calculateur!ET112*VLOOKUP('Données projet'!$B$15,Paramètres!$A$1:$I$89,3,0)*0.475*44/12</f>
        <v>27.075981338925324</v>
      </c>
      <c r="EX112" s="21">
        <f>EXP(-LN(2)/2)*EX111+(1-EXP(-LN(2)/2))/(LN(2)/2)*ER112*EU112*VLOOKUP('Données projet'!$B$15,Paramètres!$A$1:$I$89,3,0)*0.475*44/12</f>
        <v>1.9970272941455709E-3</v>
      </c>
      <c r="EY112" s="22">
        <f t="shared" si="75"/>
        <v>215.22329826424749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331.99999999999983</v>
      </c>
      <c r="O113" s="13">
        <f>N113*VLOOKUP('Données projet'!$B$9,Paramètres!$A$1:$I$89,3,0)*VLOOKUP('Données projet'!$B$9,Paramètres!$A$1:$I$89,5,0)</f>
        <v>300.39359999999982</v>
      </c>
      <c r="P113" s="13">
        <f t="shared" si="87"/>
        <v>71.258970856492667</v>
      </c>
      <c r="Q113" s="20">
        <f t="shared" si="107"/>
        <v>647.29489424172436</v>
      </c>
      <c r="R113" s="59">
        <f t="shared" si="55"/>
        <v>927.25628319657017</v>
      </c>
      <c r="S113" s="59">
        <f ca="1">AVERAGE(OFFSET($R$3,0,0,'Données projet'!$E$9+1,1))-AVERAGE(OFFSET($H$3,0,0,'Données projet'!$E$9+1,1))</f>
        <v>484.04602944257209</v>
      </c>
      <c r="T113" s="59">
        <f t="shared" si="88"/>
        <v>297.32483725004124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57.741485577404916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57.741485577404916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2.4</v>
      </c>
      <c r="AH113" s="12">
        <f t="array" ref="AH113">INDEX(AG:AG,MIN(IF(ISNUMBER(AG113:AG309),ROW(AG113:AG309),"")))</f>
        <v>2.4</v>
      </c>
      <c r="AI113" s="13">
        <f>IF('Données projet'!$A$62&gt;35,AI112+AH113-AQ112,IF(A113&lt;'Données projet'!$A$62,$AF$205^A113,IF(A113='Données projet'!$A$62,'Données projet'!$B$62,AI112+AH113-AQ112)))</f>
        <v>284.99999999999977</v>
      </c>
      <c r="AJ113" s="13">
        <f>AI113*VLOOKUP('Données projet'!$B$10,Paramètres!$A$1:$I$89,3,0)*VLOOKUP('Données projet'!$B$10,Paramètres!$A$1:$I$89,5,0)</f>
        <v>324.55799999999977</v>
      </c>
      <c r="AK113" s="13">
        <f t="shared" si="89"/>
        <v>76.300952147630127</v>
      </c>
      <c r="AL113" s="20">
        <f t="shared" si="58"/>
        <v>698.16267499045534</v>
      </c>
      <c r="AM113" s="59">
        <f t="shared" si="59"/>
        <v>978.12406394530126</v>
      </c>
      <c r="AN113" s="59">
        <f ca="1">AVERAGE(OFFSET($AM$3,0,0,'Données projet'!$E$10+1,1))-AVERAGE(OFFSET($H$3,0,0,'Données projet'!$E$10+1,1))</f>
        <v>493.74122500490859</v>
      </c>
      <c r="AO113" s="59">
        <f t="shared" si="90"/>
        <v>299.43985151679692</v>
      </c>
      <c r="AP113" s="15">
        <f>IF(ISNA(VLOOKUP(A113,'Données projet'!$A$61:$I$81,3,0)),0,VLOOKUP(A113,'Données projet'!$A$61:$I$81,3,0))</f>
        <v>17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40.387053133516595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40.387053133516595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364.64276939439014</v>
      </c>
      <c r="BJ113" s="59">
        <f t="shared" si="92"/>
        <v>341.7578598026638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73.10538232680986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73.10538232680986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3.4106051316484809E-13</v>
      </c>
      <c r="BZ113" s="13">
        <f>BY113*VLOOKUP('Données projet'!$B$12,Paramètres!$A$1:$I$89,3,0)*VLOOKUP('Données projet'!$B$12,Paramètres!$A$1:$I$89,5,0)</f>
        <v>2.0395418687257919E-13</v>
      </c>
      <c r="CA113" s="13">
        <f t="shared" si="93"/>
        <v>2.8200388570161721E-12</v>
      </c>
      <c r="CB113" s="20">
        <f t="shared" si="64"/>
        <v>5.2667878847729083E-12</v>
      </c>
      <c r="CC113" s="59">
        <f t="shared" si="65"/>
        <v>279.96138895485115</v>
      </c>
      <c r="CD113" s="59">
        <f ca="1">AVERAGE(OFFSET($CC$3,0,0,'Données projet'!$E$12+1,1))-AVERAGE(OFFSET($H$3,0,0,'Données projet'!$E$12+1,1))</f>
        <v>435.81281313761326</v>
      </c>
      <c r="CE113" s="59">
        <f t="shared" si="94"/>
        <v>460.93390058676493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95.579191222916293</v>
      </c>
      <c r="CL113" s="21">
        <f>EXP(-LN(2)/25)*CL112+(1-EXP(-LN(2)/25))/(LN(2)/25)*Calculateur!CG113*Calculateur!CI113*VLOOKUP('Données projet'!$B$12,Paramètres!$A$1:$I$89,3,0)*0.475*44/12</f>
        <v>14.912691874319812</v>
      </c>
      <c r="CM113" s="21">
        <f>EXP(-LN(2)/2)*CM112+(1-EXP(-LN(2)/2))/(LN(2)/2)*CG113*CJ113*VLOOKUP('Données projet'!$B$12,Paramètres!$A$1:$I$89,3,0)*0.475*44/12</f>
        <v>6.5803031728709434E-6</v>
      </c>
      <c r="CN113" s="22">
        <f t="shared" si="66"/>
        <v>110.49188967753928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379.16472924112111</v>
      </c>
      <c r="CZ113" s="59">
        <f t="shared" si="96"/>
        <v>273.18950868898253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131.91806472594212</v>
      </c>
      <c r="DG113" s="21">
        <f>EXP(-LN(2)/25)*DG112+(1-EXP(-LN(2)/25))/(LN(2)/25)*Calculateur!DB113*Calculateur!DD113*VLOOKUP('Données projet'!$B$13,Paramètres!$A$1:$I$89,3,0)*0.475*44/12</f>
        <v>20.159223163169791</v>
      </c>
      <c r="DH113" s="21">
        <f>EXP(-LN(2)/2)*DH112+(1-EXP(-LN(2)/2))/(LN(2)/2)*DB113*DE113*VLOOKUP('Données projet'!$B$13,Paramètres!$A$1:$I$89,3,0)*0.475*44/12</f>
        <v>2.9872865405885688E-2</v>
      </c>
      <c r="DI113" s="22">
        <f t="shared" si="69"/>
        <v>152.10716075451779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6.8212102632969618E-13</v>
      </c>
      <c r="DP113" s="17">
        <f>DO113*VLOOKUP('Données projet'!$B$14,Paramètres!$A$1:$I$89,3,0)*VLOOKUP('Données projet'!$B$14,Paramètres!$A$1:$I$89,5,0)</f>
        <v>2.7489477361086753E-13</v>
      </c>
      <c r="DQ113" s="13">
        <f t="shared" si="97"/>
        <v>3.6711283554998768E-12</v>
      </c>
      <c r="DR113" s="20">
        <f t="shared" si="70"/>
        <v>6.8726569498678791E-12</v>
      </c>
      <c r="DS113" s="59">
        <f t="shared" si="71"/>
        <v>279.96138895485274</v>
      </c>
      <c r="DT113" s="59">
        <f ca="1">AVERAGE(OFFSET($DS$3,0,0,'Données projet'!$E$14+1,1))-AVERAGE(OFFSET($H$3,0,0,'Données projet'!$E$14+1,1))</f>
        <v>419.35339339286082</v>
      </c>
      <c r="DU113" s="59">
        <f t="shared" si="98"/>
        <v>359.03308141414709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146.99861285466605</v>
      </c>
      <c r="EB113" s="21">
        <f>EXP(-LN(2)/25)*EB112+(1-EXP(-LN(2)/25))/(LN(2)/25)*Calculateur!DW113*Calculateur!DY113*VLOOKUP('Données projet'!$B$14,Paramètres!$A$1:$I$89,3,0)*0.475*44/12</f>
        <v>20.299867158888873</v>
      </c>
      <c r="EC113" s="21">
        <f>EXP(-LN(2)/2)*EC112+(1-EXP(-LN(2)/2))/(LN(2)/2)*DW113*DZ113*VLOOKUP('Données projet'!$B$14,Paramètres!$A$1:$I$89,3,0)*0.475*44/12</f>
        <v>1.0655435381882433E-3</v>
      </c>
      <c r="ED113" s="22">
        <f t="shared" si="72"/>
        <v>167.2995455570931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2.2737367544323206E-13</v>
      </c>
      <c r="EK113" s="17">
        <f>EJ113*VLOOKUP('Données projet'!$B$15,Paramètres!$A$1:$I$89,3,0)*VLOOKUP('Données projet'!$B$15,Paramètres!$A$1:$I$89,5,0)</f>
        <v>1.0049916454590858E-13</v>
      </c>
      <c r="EL113" s="13">
        <f t="shared" si="99"/>
        <v>1.5089081593838289E-12</v>
      </c>
      <c r="EM113" s="20">
        <f t="shared" si="73"/>
        <v>2.8030510891776262E-12</v>
      </c>
      <c r="EN113" s="59">
        <f t="shared" si="74"/>
        <v>279.96138895484864</v>
      </c>
      <c r="EO113" s="59">
        <f ca="1">AVERAGE(OFFSET($EN$3,0,0,'Données projet'!$E$15+1,1))-AVERAGE(OFFSET($H$3,0,0,'Données projet'!$E$15+1,1))</f>
        <v>561.50881628354409</v>
      </c>
      <c r="EP113" s="59">
        <f t="shared" si="100"/>
        <v>468.67708352238458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184.45590493214149</v>
      </c>
      <c r="EW113" s="21">
        <f>EXP(-LN(2)/25)*EW112+(1-EXP(-LN(2)/25))/(LN(2)/25)*Calculateur!ER113*Calculateur!ET113*VLOOKUP('Données projet'!$B$15,Paramètres!$A$1:$I$89,3,0)*0.475*44/12</f>
        <v>26.335587205348435</v>
      </c>
      <c r="EX113" s="21">
        <f>EXP(-LN(2)/2)*EX112+(1-EXP(-LN(2)/2))/(LN(2)/2)*ER113*EU113*VLOOKUP('Données projet'!$B$15,Paramètres!$A$1:$I$89,3,0)*0.475*44/12</f>
        <v>1.4121115419049553E-3</v>
      </c>
      <c r="EY113" s="22">
        <f t="shared" si="75"/>
        <v>210.79290424903184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2.1</v>
      </c>
      <c r="N114" s="13">
        <f>IF('Données projet'!$A$36&gt;35,N113+M114-V113,IF(A114&lt;'Données projet'!$A$36,$K$205^A114,IF(A114='Données projet'!$A$36,'Données projet'!$B$36,N113+M114-V113)))</f>
        <v>309.09999999999985</v>
      </c>
      <c r="O114" s="13">
        <f>N114*VLOOKUP('Données projet'!$B$9,Paramètres!$A$1:$I$89,3,0)*VLOOKUP('Données projet'!$B$9,Paramètres!$A$1:$I$89,5,0)</f>
        <v>279.67367999999988</v>
      </c>
      <c r="P114" s="13">
        <f t="shared" si="87"/>
        <v>66.898043405019408</v>
      </c>
      <c r="Q114" s="20">
        <f t="shared" si="107"/>
        <v>603.61241826374192</v>
      </c>
      <c r="R114" s="59">
        <f t="shared" si="55"/>
        <v>883.80578055836554</v>
      </c>
      <c r="S114" s="59">
        <f ca="1">AVERAGE(OFFSET($R$3,0,0,'Données projet'!$E$9+1,1))-AVERAGE(OFFSET($H$3,0,0,'Données projet'!$E$9+1,1))</f>
        <v>484.04602944257209</v>
      </c>
      <c r="T114" s="59">
        <f t="shared" si="88"/>
        <v>297.32483725004124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56.609210264060636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56.609210264060636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1.9</v>
      </c>
      <c r="AI114" s="13">
        <f>IF('Données projet'!$A$62&gt;35,AI113+AH114-AQ113,IF(A114&lt;'Données projet'!$A$62,$AF$205^A114,IF(A114='Données projet'!$A$62,'Données projet'!$B$62,AI113+AH114-AQ113)))</f>
        <v>267.89999999999975</v>
      </c>
      <c r="AJ114" s="13">
        <f>AI114*VLOOKUP('Données projet'!$B$10,Paramètres!$A$1:$I$89,3,0)*VLOOKUP('Données projet'!$B$10,Paramètres!$A$1:$I$89,5,0)</f>
        <v>305.08451999999971</v>
      </c>
      <c r="AK114" s="13">
        <f t="shared" si="89"/>
        <v>72.241329327748588</v>
      </c>
      <c r="AL114" s="20">
        <f t="shared" si="58"/>
        <v>657.17585424582819</v>
      </c>
      <c r="AM114" s="59">
        <f t="shared" si="59"/>
        <v>937.36921654045182</v>
      </c>
      <c r="AN114" s="59">
        <f ca="1">AVERAGE(OFFSET($AM$3,0,0,'Données projet'!$E$10+1,1))-AVERAGE(OFFSET($H$3,0,0,'Données projet'!$E$10+1,1))</f>
        <v>493.74122500490859</v>
      </c>
      <c r="AO114" s="59">
        <f t="shared" si="90"/>
        <v>299.43985151679692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39.595087655238373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39.595087655238373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364.64276939439014</v>
      </c>
      <c r="BJ114" s="59">
        <f t="shared" si="92"/>
        <v>341.7578598026638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71.671830369261457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71.671830369261457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3.4106051316484809E-13</v>
      </c>
      <c r="BZ114" s="13">
        <f>BY114*VLOOKUP('Données projet'!$B$12,Paramètres!$A$1:$I$89,3,0)*VLOOKUP('Données projet'!$B$12,Paramètres!$A$1:$I$89,5,0)</f>
        <v>2.0395418687257919E-13</v>
      </c>
      <c r="CA114" s="13">
        <f t="shared" si="93"/>
        <v>2.8200388570161721E-12</v>
      </c>
      <c r="CB114" s="20">
        <f t="shared" si="64"/>
        <v>5.2667878847729083E-12</v>
      </c>
      <c r="CC114" s="59">
        <f t="shared" si="65"/>
        <v>280.19336229462886</v>
      </c>
      <c r="CD114" s="59">
        <f ca="1">AVERAGE(OFFSET($CC$3,0,0,'Données projet'!$E$12+1,1))-AVERAGE(OFFSET($H$3,0,0,'Données projet'!$E$12+1,1))</f>
        <v>435.81281313761326</v>
      </c>
      <c r="CE114" s="59">
        <f t="shared" si="94"/>
        <v>460.93390058676493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93.704941580585142</v>
      </c>
      <c r="CL114" s="21">
        <f>EXP(-LN(2)/25)*CL113+(1-EXP(-LN(2)/25))/(LN(2)/25)*Calculateur!CG114*Calculateur!CI114*VLOOKUP('Données projet'!$B$12,Paramètres!$A$1:$I$89,3,0)*0.475*44/12</f>
        <v>14.504903530792154</v>
      </c>
      <c r="CM114" s="21">
        <f>EXP(-LN(2)/2)*CM113+(1-EXP(-LN(2)/2))/(LN(2)/2)*CG114*CJ114*VLOOKUP('Données projet'!$B$12,Paramètres!$A$1:$I$89,3,0)*0.475*44/12</f>
        <v>4.6529769958003985E-6</v>
      </c>
      <c r="CN114" s="22">
        <f t="shared" si="66"/>
        <v>108.20984976435429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379.16472924112111</v>
      </c>
      <c r="CZ114" s="59">
        <f t="shared" si="96"/>
        <v>273.18950868898253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129.3312319387409</v>
      </c>
      <c r="DG114" s="21">
        <f>EXP(-LN(2)/25)*DG113+(1-EXP(-LN(2)/25))/(LN(2)/25)*Calculateur!DB114*Calculateur!DD114*VLOOKUP('Données projet'!$B$13,Paramètres!$A$1:$I$89,3,0)*0.475*44/12</f>
        <v>19.60796814564544</v>
      </c>
      <c r="DH114" s="21">
        <f>EXP(-LN(2)/2)*DH113+(1-EXP(-LN(2)/2))/(LN(2)/2)*DB114*DE114*VLOOKUP('Données projet'!$B$13,Paramètres!$A$1:$I$89,3,0)*0.475*44/12</f>
        <v>2.1123305701974796E-2</v>
      </c>
      <c r="DI114" s="22">
        <f t="shared" si="69"/>
        <v>148.96032339008829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6.8212102632969618E-13</v>
      </c>
      <c r="DP114" s="17">
        <f>DO114*VLOOKUP('Données projet'!$B$14,Paramètres!$A$1:$I$89,3,0)*VLOOKUP('Données projet'!$B$14,Paramètres!$A$1:$I$89,5,0)</f>
        <v>2.7489477361086753E-13</v>
      </c>
      <c r="DQ114" s="13">
        <f t="shared" si="97"/>
        <v>3.6711283554998768E-12</v>
      </c>
      <c r="DR114" s="20">
        <f t="shared" si="70"/>
        <v>6.8726569498678791E-12</v>
      </c>
      <c r="DS114" s="59">
        <f t="shared" si="71"/>
        <v>280.19336229463045</v>
      </c>
      <c r="DT114" s="59">
        <f ca="1">AVERAGE(OFFSET($DS$3,0,0,'Données projet'!$E$14+1,1))-AVERAGE(OFFSET($H$3,0,0,'Données projet'!$E$14+1,1))</f>
        <v>419.35339339286082</v>
      </c>
      <c r="DU114" s="59">
        <f t="shared" si="98"/>
        <v>359.03308141414709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144.11605971688667</v>
      </c>
      <c r="EB114" s="21">
        <f>EXP(-LN(2)/25)*EB113+(1-EXP(-LN(2)/25))/(LN(2)/25)*Calculateur!DW114*Calculateur!DY114*VLOOKUP('Données projet'!$B$14,Paramètres!$A$1:$I$89,3,0)*0.475*44/12</f>
        <v>19.74476622390544</v>
      </c>
      <c r="EC114" s="21">
        <f>EXP(-LN(2)/2)*EC113+(1-EXP(-LN(2)/2))/(LN(2)/2)*DW114*DZ114*VLOOKUP('Données projet'!$B$14,Paramètres!$A$1:$I$89,3,0)*0.475*44/12</f>
        <v>7.534530615024138E-4</v>
      </c>
      <c r="ED114" s="22">
        <f t="shared" si="72"/>
        <v>163.86157939385359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2.2737367544323206E-13</v>
      </c>
      <c r="EK114" s="17">
        <f>EJ114*VLOOKUP('Données projet'!$B$15,Paramètres!$A$1:$I$89,3,0)*VLOOKUP('Données projet'!$B$15,Paramètres!$A$1:$I$89,5,0)</f>
        <v>1.0049916454590858E-13</v>
      </c>
      <c r="EL114" s="13">
        <f t="shared" si="99"/>
        <v>1.5089081593838289E-12</v>
      </c>
      <c r="EM114" s="20">
        <f t="shared" si="73"/>
        <v>2.8030510891776262E-12</v>
      </c>
      <c r="EN114" s="59">
        <f t="shared" si="74"/>
        <v>280.19336229462635</v>
      </c>
      <c r="EO114" s="59">
        <f ca="1">AVERAGE(OFFSET($EN$3,0,0,'Données projet'!$E$15+1,1))-AVERAGE(OFFSET($H$3,0,0,'Données projet'!$E$15+1,1))</f>
        <v>561.50881628354409</v>
      </c>
      <c r="EP114" s="59">
        <f t="shared" si="100"/>
        <v>468.67708352238458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180.83883714341508</v>
      </c>
      <c r="EW114" s="21">
        <f>EXP(-LN(2)/25)*EW113+(1-EXP(-LN(2)/25))/(LN(2)/25)*Calculateur!ER114*Calculateur!ET114*VLOOKUP('Données projet'!$B$15,Paramètres!$A$1:$I$89,3,0)*0.475*44/12</f>
        <v>25.615439188289841</v>
      </c>
      <c r="EX114" s="21">
        <f>EXP(-LN(2)/2)*EX113+(1-EXP(-LN(2)/2))/(LN(2)/2)*ER114*EU114*VLOOKUP('Données projet'!$B$15,Paramètres!$A$1:$I$89,3,0)*0.475*44/12</f>
        <v>9.9851364707278546E-4</v>
      </c>
      <c r="EY114" s="22">
        <f t="shared" si="75"/>
        <v>206.45527484535199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2.1</v>
      </c>
      <c r="N115" s="13">
        <f>IF('Données projet'!$A$36&gt;35,N114+M115-V114,IF(A115&lt;'Données projet'!$A$36,$K$205^A115,IF(A115='Données projet'!$A$36,'Données projet'!$B$36,N114+M115-V114)))</f>
        <v>311.19999999999987</v>
      </c>
      <c r="O115" s="13">
        <f>N115*VLOOKUP('Données projet'!$B$9,Paramètres!$A$1:$I$89,3,0)*VLOOKUP('Données projet'!$B$9,Paramètres!$A$1:$I$89,5,0)</f>
        <v>281.57375999999988</v>
      </c>
      <c r="P115" s="13">
        <f t="shared" si="87"/>
        <v>67.299481043334993</v>
      </c>
      <c r="Q115" s="20">
        <f t="shared" si="107"/>
        <v>607.62089481714156</v>
      </c>
      <c r="R115" s="59">
        <f t="shared" si="55"/>
        <v>888.04220623271249</v>
      </c>
      <c r="S115" s="59">
        <f ca="1">AVERAGE(OFFSET($R$3,0,0,'Données projet'!$E$9+1,1))-AVERAGE(OFFSET($H$3,0,0,'Données projet'!$E$9+1,1))</f>
        <v>484.04602944257209</v>
      </c>
      <c r="T115" s="59">
        <f t="shared" si="88"/>
        <v>297.32483725004124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55.499138178991288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55.499138178991288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1.9</v>
      </c>
      <c r="AI115" s="13">
        <f>IF('Données projet'!$A$62&gt;35,AI114+AH115-AQ114,IF(A115&lt;'Données projet'!$A$62,$AF$205^A115,IF(A115='Données projet'!$A$62,'Données projet'!$B$62,AI114+AH115-AQ114)))</f>
        <v>269.79999999999973</v>
      </c>
      <c r="AJ115" s="13">
        <f>AI115*VLOOKUP('Données projet'!$B$10,Paramètres!$A$1:$I$89,3,0)*VLOOKUP('Données projet'!$B$10,Paramètres!$A$1:$I$89,5,0)</f>
        <v>307.24823999999973</v>
      </c>
      <c r="AK115" s="13">
        <f t="shared" si="89"/>
        <v>72.693855285301623</v>
      </c>
      <c r="AL115" s="20">
        <f t="shared" si="58"/>
        <v>661.73248262189975</v>
      </c>
      <c r="AM115" s="59">
        <f t="shared" si="59"/>
        <v>942.15379403747056</v>
      </c>
      <c r="AN115" s="59">
        <f ca="1">AVERAGE(OFFSET($AM$3,0,0,'Données projet'!$E$10+1,1))-AVERAGE(OFFSET($H$3,0,0,'Données projet'!$E$10+1,1))</f>
        <v>493.74122500490859</v>
      </c>
      <c r="AO115" s="59">
        <f t="shared" si="90"/>
        <v>299.43985151679692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38.818652136937942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38.818652136937942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364.64276939439014</v>
      </c>
      <c r="BJ115" s="59">
        <f t="shared" si="92"/>
        <v>341.7578598026638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70.266389491220224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70.266389491220224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3.4106051316484809E-13</v>
      </c>
      <c r="BZ115" s="13">
        <f>BY115*VLOOKUP('Données projet'!$B$12,Paramètres!$A$1:$I$89,3,0)*VLOOKUP('Données projet'!$B$12,Paramètres!$A$1:$I$89,5,0)</f>
        <v>2.0395418687257919E-13</v>
      </c>
      <c r="CA115" s="13">
        <f t="shared" si="93"/>
        <v>2.8200388570161721E-12</v>
      </c>
      <c r="CB115" s="20">
        <f t="shared" si="64"/>
        <v>5.2667878847729083E-12</v>
      </c>
      <c r="CC115" s="59">
        <f t="shared" si="65"/>
        <v>280.42131141557616</v>
      </c>
      <c r="CD115" s="59">
        <f ca="1">AVERAGE(OFFSET($CC$3,0,0,'Données projet'!$E$12+1,1))-AVERAGE(OFFSET($H$3,0,0,'Données projet'!$E$12+1,1))</f>
        <v>435.81281313761326</v>
      </c>
      <c r="CE115" s="59">
        <f t="shared" si="94"/>
        <v>460.93390058676493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91.8674448305607</v>
      </c>
      <c r="CL115" s="21">
        <f>EXP(-LN(2)/25)*CL114+(1-EXP(-LN(2)/25))/(LN(2)/25)*Calculateur!CG115*Calculateur!CI115*VLOOKUP('Données projet'!$B$12,Paramètres!$A$1:$I$89,3,0)*0.475*44/12</f>
        <v>14.108266180962918</v>
      </c>
      <c r="CM115" s="21">
        <f>EXP(-LN(2)/2)*CM114+(1-EXP(-LN(2)/2))/(LN(2)/2)*CG115*CJ115*VLOOKUP('Données projet'!$B$12,Paramètres!$A$1:$I$89,3,0)*0.475*44/12</f>
        <v>3.2901515864354717E-6</v>
      </c>
      <c r="CN115" s="22">
        <f t="shared" si="66"/>
        <v>105.9757143016752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379.16472924112111</v>
      </c>
      <c r="CZ115" s="59">
        <f t="shared" si="96"/>
        <v>273.18950868898253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126.79512536468449</v>
      </c>
      <c r="DG115" s="21">
        <f>EXP(-LN(2)/25)*DG114+(1-EXP(-LN(2)/25))/(LN(2)/25)*Calculateur!DB115*Calculateur!DD115*VLOOKUP('Données projet'!$B$13,Paramètres!$A$1:$I$89,3,0)*0.475*44/12</f>
        <v>19.071787225564535</v>
      </c>
      <c r="DH115" s="21">
        <f>EXP(-LN(2)/2)*DH114+(1-EXP(-LN(2)/2))/(LN(2)/2)*DB115*DE115*VLOOKUP('Données projet'!$B$13,Paramètres!$A$1:$I$89,3,0)*0.475*44/12</f>
        <v>1.4936432702942844E-2</v>
      </c>
      <c r="DI115" s="22">
        <f t="shared" si="69"/>
        <v>145.88184902295197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6.8212102632969618E-13</v>
      </c>
      <c r="DP115" s="17">
        <f>DO115*VLOOKUP('Données projet'!$B$14,Paramètres!$A$1:$I$89,3,0)*VLOOKUP('Données projet'!$B$14,Paramètres!$A$1:$I$89,5,0)</f>
        <v>2.7489477361086753E-13</v>
      </c>
      <c r="DQ115" s="13">
        <f t="shared" si="97"/>
        <v>3.6711283554998768E-12</v>
      </c>
      <c r="DR115" s="20">
        <f t="shared" si="70"/>
        <v>6.8726569498678791E-12</v>
      </c>
      <c r="DS115" s="59">
        <f t="shared" si="71"/>
        <v>280.42131141557775</v>
      </c>
      <c r="DT115" s="59">
        <f ca="1">AVERAGE(OFFSET($DS$3,0,0,'Données projet'!$E$14+1,1))-AVERAGE(OFFSET($H$3,0,0,'Données projet'!$E$14+1,1))</f>
        <v>419.35339339286082</v>
      </c>
      <c r="DU115" s="59">
        <f t="shared" si="98"/>
        <v>359.03308141414709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141.29003168795532</v>
      </c>
      <c r="EB115" s="21">
        <f>EXP(-LN(2)/25)*EB114+(1-EXP(-LN(2)/25))/(LN(2)/25)*Calculateur!DW115*Calculateur!DY115*VLOOKUP('Données projet'!$B$14,Paramètres!$A$1:$I$89,3,0)*0.475*44/12</f>
        <v>19.204844553180617</v>
      </c>
      <c r="EC115" s="21">
        <f>EXP(-LN(2)/2)*EC114+(1-EXP(-LN(2)/2))/(LN(2)/2)*DW115*DZ115*VLOOKUP('Données projet'!$B$14,Paramètres!$A$1:$I$89,3,0)*0.475*44/12</f>
        <v>5.3277176909412164E-4</v>
      </c>
      <c r="ED115" s="22">
        <f t="shared" si="72"/>
        <v>160.49540901290501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2.2737367544323206E-13</v>
      </c>
      <c r="EK115" s="17">
        <f>EJ115*VLOOKUP('Données projet'!$B$15,Paramètres!$A$1:$I$89,3,0)*VLOOKUP('Données projet'!$B$15,Paramètres!$A$1:$I$89,5,0)</f>
        <v>1.0049916454590858E-13</v>
      </c>
      <c r="EL115" s="13">
        <f t="shared" si="99"/>
        <v>1.5089081593838289E-12</v>
      </c>
      <c r="EM115" s="20">
        <f t="shared" si="73"/>
        <v>2.8030510891776262E-12</v>
      </c>
      <c r="EN115" s="59">
        <f t="shared" si="74"/>
        <v>280.42131141557365</v>
      </c>
      <c r="EO115" s="59">
        <f ca="1">AVERAGE(OFFSET($EN$3,0,0,'Données projet'!$E$15+1,1))-AVERAGE(OFFSET($H$3,0,0,'Données projet'!$E$15+1,1))</f>
        <v>561.50881628354409</v>
      </c>
      <c r="EP115" s="59">
        <f t="shared" si="100"/>
        <v>468.67708352238458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177.29269784783207</v>
      </c>
      <c r="EW115" s="21">
        <f>EXP(-LN(2)/25)*EW114+(1-EXP(-LN(2)/25))/(LN(2)/25)*Calculateur!ER115*Calculateur!ET115*VLOOKUP('Données projet'!$B$15,Paramètres!$A$1:$I$89,3,0)*0.475*44/12</f>
        <v>24.914983656628653</v>
      </c>
      <c r="EX115" s="21">
        <f>EXP(-LN(2)/2)*EX114+(1-EXP(-LN(2)/2))/(LN(2)/2)*ER115*EU115*VLOOKUP('Données projet'!$B$15,Paramètres!$A$1:$I$89,3,0)*0.475*44/12</f>
        <v>7.0605577095247767E-4</v>
      </c>
      <c r="EY115" s="22">
        <f t="shared" si="75"/>
        <v>202.2083875602317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2.1</v>
      </c>
      <c r="N116" s="13">
        <f>IF('Données projet'!$A$36&gt;35,N115+M116-V115,IF(A116&lt;'Données projet'!$A$36,$K$205^A116,IF(A116='Données projet'!$A$36,'Données projet'!$B$36,N115+M116-V115)))</f>
        <v>313.2999999999999</v>
      </c>
      <c r="O116" s="13">
        <f>N116*VLOOKUP('Données projet'!$B$9,Paramètres!$A$1:$I$89,3,0)*VLOOKUP('Données projet'!$B$9,Paramètres!$A$1:$I$89,5,0)</f>
        <v>283.47383999999994</v>
      </c>
      <c r="P116" s="13">
        <f t="shared" si="87"/>
        <v>67.700603483464477</v>
      </c>
      <c r="Q116" s="20">
        <f t="shared" si="107"/>
        <v>611.6288224003672</v>
      </c>
      <c r="R116" s="59">
        <f t="shared" si="55"/>
        <v>892.27412852925477</v>
      </c>
      <c r="S116" s="59">
        <f ca="1">AVERAGE(OFFSET($R$3,0,0,'Données projet'!$E$9+1,1))-AVERAGE(OFFSET($H$3,0,0,'Données projet'!$E$9+1,1))</f>
        <v>484.04602944257209</v>
      </c>
      <c r="T116" s="59">
        <f t="shared" si="88"/>
        <v>297.32483725004124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54.410833930433036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54.410833930433036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1.9</v>
      </c>
      <c r="AI116" s="13">
        <f>IF('Données projet'!$A$62&gt;35,AI115+AH116-AQ115,IF(A116&lt;'Données projet'!$A$62,$AF$205^A116,IF(A116='Données projet'!$A$62,'Données projet'!$B$62,AI115+AH116-AQ115)))</f>
        <v>271.6999999999997</v>
      </c>
      <c r="AJ116" s="13">
        <f>AI116*VLOOKUP('Données projet'!$B$10,Paramètres!$A$1:$I$89,3,0)*VLOOKUP('Données projet'!$B$10,Paramètres!$A$1:$I$89,5,0)</f>
        <v>309.41195999999968</v>
      </c>
      <c r="AK116" s="13">
        <f t="shared" si="89"/>
        <v>73.146010447792946</v>
      </c>
      <c r="AL116" s="20">
        <f t="shared" si="58"/>
        <v>666.28846519657202</v>
      </c>
      <c r="AM116" s="59">
        <f t="shared" si="59"/>
        <v>946.9337713254597</v>
      </c>
      <c r="AN116" s="59">
        <f ca="1">AVERAGE(OFFSET($AM$3,0,0,'Données projet'!$E$10+1,1))-AVERAGE(OFFSET($H$3,0,0,'Données projet'!$E$10+1,1))</f>
        <v>493.74122500490859</v>
      </c>
      <c r="AO116" s="59">
        <f t="shared" si="90"/>
        <v>299.43985151679692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38.057442045572479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38.057442045572479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364.64276939439014</v>
      </c>
      <c r="BJ116" s="59">
        <f t="shared" si="92"/>
        <v>341.7578598026638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68.888508451563084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68.888508451563084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3.4106051316484809E-13</v>
      </c>
      <c r="BZ116" s="13">
        <f>BY116*VLOOKUP('Données projet'!$B$12,Paramètres!$A$1:$I$89,3,0)*VLOOKUP('Données projet'!$B$12,Paramètres!$A$1:$I$89,5,0)</f>
        <v>2.0395418687257919E-13</v>
      </c>
      <c r="CA116" s="13">
        <f t="shared" si="93"/>
        <v>2.8200388570161721E-12</v>
      </c>
      <c r="CB116" s="20">
        <f t="shared" si="64"/>
        <v>5.2667878847729083E-12</v>
      </c>
      <c r="CC116" s="59">
        <f t="shared" si="65"/>
        <v>280.64530612889291</v>
      </c>
      <c r="CD116" s="59">
        <f ca="1">AVERAGE(OFFSET($CC$3,0,0,'Données projet'!$E$12+1,1))-AVERAGE(OFFSET($H$3,0,0,'Données projet'!$E$12+1,1))</f>
        <v>435.81281313761326</v>
      </c>
      <c r="CE116" s="59">
        <f t="shared" si="94"/>
        <v>460.93390058676493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90.065980271041894</v>
      </c>
      <c r="CL116" s="21">
        <f>EXP(-LN(2)/25)*CL115+(1-EXP(-LN(2)/25))/(LN(2)/25)*Calculateur!CG116*Calculateur!CI116*VLOOKUP('Données projet'!$B$12,Paramètres!$A$1:$I$89,3,0)*0.475*44/12</f>
        <v>13.722474900323013</v>
      </c>
      <c r="CM116" s="21">
        <f>EXP(-LN(2)/2)*CM115+(1-EXP(-LN(2)/2))/(LN(2)/2)*CG116*CJ116*VLOOKUP('Données projet'!$B$12,Paramètres!$A$1:$I$89,3,0)*0.475*44/12</f>
        <v>2.3264884979001993E-6</v>
      </c>
      <c r="CN116" s="22">
        <f t="shared" si="66"/>
        <v>103.7884574978534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379.16472924112111</v>
      </c>
      <c r="CZ116" s="59">
        <f t="shared" si="96"/>
        <v>273.18950868898253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124.30875029367307</v>
      </c>
      <c r="DG116" s="21">
        <f>EXP(-LN(2)/25)*DG115+(1-EXP(-LN(2)/25))/(LN(2)/25)*Calculateur!DB116*Calculateur!DD116*VLOOKUP('Données projet'!$B$13,Paramètres!$A$1:$I$89,3,0)*0.475*44/12</f>
        <v>18.550268200939772</v>
      </c>
      <c r="DH116" s="21">
        <f>EXP(-LN(2)/2)*DH115+(1-EXP(-LN(2)/2))/(LN(2)/2)*DB116*DE116*VLOOKUP('Données projet'!$B$13,Paramètres!$A$1:$I$89,3,0)*0.475*44/12</f>
        <v>1.0561652850987398E-2</v>
      </c>
      <c r="DI116" s="22">
        <f t="shared" si="69"/>
        <v>142.86958014746384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6.8212102632969618E-13</v>
      </c>
      <c r="DP116" s="17">
        <f>DO116*VLOOKUP('Données projet'!$B$14,Paramètres!$A$1:$I$89,3,0)*VLOOKUP('Données projet'!$B$14,Paramètres!$A$1:$I$89,5,0)</f>
        <v>2.7489477361086753E-13</v>
      </c>
      <c r="DQ116" s="13">
        <f t="shared" si="97"/>
        <v>3.6711283554998768E-12</v>
      </c>
      <c r="DR116" s="20">
        <f t="shared" si="70"/>
        <v>6.8726569498678791E-12</v>
      </c>
      <c r="DS116" s="59">
        <f t="shared" si="71"/>
        <v>280.6453061288945</v>
      </c>
      <c r="DT116" s="59">
        <f ca="1">AVERAGE(OFFSET($DS$3,0,0,'Données projet'!$E$14+1,1))-AVERAGE(OFFSET($H$3,0,0,'Données projet'!$E$14+1,1))</f>
        <v>419.35339339286082</v>
      </c>
      <c r="DU116" s="59">
        <f t="shared" si="98"/>
        <v>359.03308141414709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138.51942034496443</v>
      </c>
      <c r="EB116" s="21">
        <f>EXP(-LN(2)/25)*EB115+(1-EXP(-LN(2)/25))/(LN(2)/25)*Calculateur!DW116*Calculateur!DY116*VLOOKUP('Données projet'!$B$14,Paramètres!$A$1:$I$89,3,0)*0.475*44/12</f>
        <v>18.67968706893501</v>
      </c>
      <c r="EC116" s="21">
        <f>EXP(-LN(2)/2)*EC115+(1-EXP(-LN(2)/2))/(LN(2)/2)*DW116*DZ116*VLOOKUP('Données projet'!$B$14,Paramètres!$A$1:$I$89,3,0)*0.475*44/12</f>
        <v>3.767265307512069E-4</v>
      </c>
      <c r="ED116" s="22">
        <f t="shared" si="72"/>
        <v>157.1994841404302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2.2737367544323206E-13</v>
      </c>
      <c r="EK116" s="17">
        <f>EJ116*VLOOKUP('Données projet'!$B$15,Paramètres!$A$1:$I$89,3,0)*VLOOKUP('Données projet'!$B$15,Paramètres!$A$1:$I$89,5,0)</f>
        <v>1.0049916454590858E-13</v>
      </c>
      <c r="EL116" s="13">
        <f t="shared" si="99"/>
        <v>1.5089081593838289E-12</v>
      </c>
      <c r="EM116" s="20">
        <f t="shared" si="73"/>
        <v>2.8030510891776262E-12</v>
      </c>
      <c r="EN116" s="59">
        <f t="shared" si="74"/>
        <v>280.64530612889041</v>
      </c>
      <c r="EO116" s="59">
        <f ca="1">AVERAGE(OFFSET($EN$3,0,0,'Données projet'!$E$15+1,1))-AVERAGE(OFFSET($H$3,0,0,'Données projet'!$E$15+1,1))</f>
        <v>561.50881628354409</v>
      </c>
      <c r="EP116" s="59">
        <f t="shared" si="100"/>
        <v>468.67708352238458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173.81609618090405</v>
      </c>
      <c r="EW116" s="21">
        <f>EXP(-LN(2)/25)*EW115+(1-EXP(-LN(2)/25))/(LN(2)/25)*Calculateur!ER116*Calculateur!ET116*VLOOKUP('Données projet'!$B$15,Paramètres!$A$1:$I$89,3,0)*0.475*44/12</f>
        <v>24.233682118316096</v>
      </c>
      <c r="EX116" s="21">
        <f>EXP(-LN(2)/2)*EX115+(1-EXP(-LN(2)/2))/(LN(2)/2)*ER116*EU116*VLOOKUP('Données projet'!$B$15,Paramètres!$A$1:$I$89,3,0)*0.475*44/12</f>
        <v>4.9925682353639273E-4</v>
      </c>
      <c r="EY116" s="22">
        <f t="shared" si="75"/>
        <v>198.05027755604368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2.1</v>
      </c>
      <c r="N117" s="13">
        <f>IF('Données projet'!$A$36&gt;35,N116+M117-V116,IF(A117&lt;'Données projet'!$A$36,$K$205^A117,IF(A117='Données projet'!$A$36,'Données projet'!$B$36,N116+M117-V116)))</f>
        <v>315.39999999999992</v>
      </c>
      <c r="O117" s="13">
        <f>N117*VLOOKUP('Données projet'!$B$9,Paramètres!$A$1:$I$89,3,0)*VLOOKUP('Données projet'!$B$9,Paramètres!$A$1:$I$89,5,0)</f>
        <v>285.37391999999988</v>
      </c>
      <c r="P117" s="13">
        <f t="shared" si="87"/>
        <v>68.101413083167643</v>
      </c>
      <c r="Q117" s="20">
        <f t="shared" si="107"/>
        <v>615.63620511985016</v>
      </c>
      <c r="R117" s="59">
        <f t="shared" si="55"/>
        <v>896.50162015455567</v>
      </c>
      <c r="S117" s="59">
        <f ca="1">AVERAGE(OFFSET($R$3,0,0,'Données projet'!$E$9+1,1))-AVERAGE(OFFSET($H$3,0,0,'Données projet'!$E$9+1,1))</f>
        <v>484.04602944257209</v>
      </c>
      <c r="T117" s="59">
        <f t="shared" si="88"/>
        <v>297.32483725004124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53.343870664388966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53.343870664388966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1.9</v>
      </c>
      <c r="AI117" s="13">
        <f>IF('Données projet'!$A$62&gt;35,AI116+AH117-AQ116,IF(A117&lt;'Données projet'!$A$62,$AF$205^A117,IF(A117='Données projet'!$A$62,'Données projet'!$B$62,AI116+AH117-AQ116)))</f>
        <v>273.59999999999968</v>
      </c>
      <c r="AJ117" s="13">
        <f>AI117*VLOOKUP('Données projet'!$B$10,Paramètres!$A$1:$I$89,3,0)*VLOOKUP('Données projet'!$B$10,Paramètres!$A$1:$I$89,5,0)</f>
        <v>311.57567999999964</v>
      </c>
      <c r="AK117" s="13">
        <f t="shared" si="89"/>
        <v>73.597797708886276</v>
      </c>
      <c r="AL117" s="20">
        <f t="shared" si="58"/>
        <v>670.843807009643</v>
      </c>
      <c r="AM117" s="59">
        <f t="shared" si="59"/>
        <v>951.70922204434851</v>
      </c>
      <c r="AN117" s="59">
        <f ca="1">AVERAGE(OFFSET($AM$3,0,0,'Données projet'!$E$10+1,1))-AVERAGE(OFFSET($H$3,0,0,'Données projet'!$E$10+1,1))</f>
        <v>493.74122500490859</v>
      </c>
      <c r="AO117" s="59">
        <f t="shared" si="90"/>
        <v>299.43985151679692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37.31115881980638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37.31115881980638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364.64276939439014</v>
      </c>
      <c r="BJ117" s="59">
        <f t="shared" si="92"/>
        <v>341.7578598026638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67.537646818669174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67.537646818669174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3.4106051316484809E-13</v>
      </c>
      <c r="BZ117" s="13">
        <f>BY117*VLOOKUP('Données projet'!$B$12,Paramètres!$A$1:$I$89,3,0)*VLOOKUP('Données projet'!$B$12,Paramètres!$A$1:$I$89,5,0)</f>
        <v>2.0395418687257919E-13</v>
      </c>
      <c r="CA117" s="13">
        <f t="shared" si="93"/>
        <v>2.8200388570161721E-12</v>
      </c>
      <c r="CB117" s="20">
        <f t="shared" si="64"/>
        <v>5.2667878847729083E-12</v>
      </c>
      <c r="CC117" s="59">
        <f t="shared" si="65"/>
        <v>280.86541503471074</v>
      </c>
      <c r="CD117" s="59">
        <f ca="1">AVERAGE(OFFSET($CC$3,0,0,'Données projet'!$E$12+1,1))-AVERAGE(OFFSET($H$3,0,0,'Données projet'!$E$12+1,1))</f>
        <v>435.81281313761326</v>
      </c>
      <c r="CE117" s="59">
        <f t="shared" si="94"/>
        <v>460.93390058676493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88.299841332750361</v>
      </c>
      <c r="CL117" s="21">
        <f>EXP(-LN(2)/25)*CL116+(1-EXP(-LN(2)/25))/(LN(2)/25)*Calculateur!CG117*Calculateur!CI117*VLOOKUP('Données projet'!$B$12,Paramètres!$A$1:$I$89,3,0)*0.475*44/12</f>
        <v>13.347233102540088</v>
      </c>
      <c r="CM117" s="21">
        <f>EXP(-LN(2)/2)*CM116+(1-EXP(-LN(2)/2))/(LN(2)/2)*CG117*CJ117*VLOOKUP('Données projet'!$B$12,Paramètres!$A$1:$I$89,3,0)*0.475*44/12</f>
        <v>1.6450757932177359E-6</v>
      </c>
      <c r="CN117" s="22">
        <f t="shared" si="66"/>
        <v>101.64707608036625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379.16472924112111</v>
      </c>
      <c r="CZ117" s="59">
        <f t="shared" si="96"/>
        <v>273.18950868898253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121.87113152126514</v>
      </c>
      <c r="DG117" s="21">
        <f>EXP(-LN(2)/25)*DG116+(1-EXP(-LN(2)/25))/(LN(2)/25)*Calculateur!DB117*Calculateur!DD117*VLOOKUP('Données projet'!$B$13,Paramètres!$A$1:$I$89,3,0)*0.475*44/12</f>
        <v>18.043010141468866</v>
      </c>
      <c r="DH117" s="21">
        <f>EXP(-LN(2)/2)*DH116+(1-EXP(-LN(2)/2))/(LN(2)/2)*DB117*DE117*VLOOKUP('Données projet'!$B$13,Paramètres!$A$1:$I$89,3,0)*0.475*44/12</f>
        <v>7.468216351471422E-3</v>
      </c>
      <c r="DI117" s="22">
        <f t="shared" si="69"/>
        <v>139.92160987908548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6.8212102632969618E-13</v>
      </c>
      <c r="DP117" s="17">
        <f>DO117*VLOOKUP('Données projet'!$B$14,Paramètres!$A$1:$I$89,3,0)*VLOOKUP('Données projet'!$B$14,Paramètres!$A$1:$I$89,5,0)</f>
        <v>2.7489477361086753E-13</v>
      </c>
      <c r="DQ117" s="13">
        <f t="shared" si="97"/>
        <v>3.6711283554998768E-12</v>
      </c>
      <c r="DR117" s="20">
        <f t="shared" si="70"/>
        <v>6.8726569498678791E-12</v>
      </c>
      <c r="DS117" s="59">
        <f t="shared" si="71"/>
        <v>280.86541503471233</v>
      </c>
      <c r="DT117" s="59">
        <f ca="1">AVERAGE(OFFSET($DS$3,0,0,'Données projet'!$E$14+1,1))-AVERAGE(OFFSET($H$3,0,0,'Données projet'!$E$14+1,1))</f>
        <v>419.35339339286082</v>
      </c>
      <c r="DU117" s="59">
        <f t="shared" si="98"/>
        <v>359.03308141414709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135.80313900050353</v>
      </c>
      <c r="EB117" s="21">
        <f>EXP(-LN(2)/25)*EB116+(1-EXP(-LN(2)/25))/(LN(2)/25)*Calculateur!DW117*Calculateur!DY117*VLOOKUP('Données projet'!$B$14,Paramètres!$A$1:$I$89,3,0)*0.475*44/12</f>
        <v>18.168890043712931</v>
      </c>
      <c r="EC117" s="21">
        <f>EXP(-LN(2)/2)*EC116+(1-EXP(-LN(2)/2))/(LN(2)/2)*DW117*DZ117*VLOOKUP('Données projet'!$B$14,Paramètres!$A$1:$I$89,3,0)*0.475*44/12</f>
        <v>2.6638588454706082E-4</v>
      </c>
      <c r="ED117" s="22">
        <f t="shared" si="72"/>
        <v>153.97229543010101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2.2737367544323206E-13</v>
      </c>
      <c r="EK117" s="17">
        <f>EJ117*VLOOKUP('Données projet'!$B$15,Paramètres!$A$1:$I$89,3,0)*VLOOKUP('Données projet'!$B$15,Paramètres!$A$1:$I$89,5,0)</f>
        <v>1.0049916454590858E-13</v>
      </c>
      <c r="EL117" s="13">
        <f t="shared" si="99"/>
        <v>1.5089081593838289E-12</v>
      </c>
      <c r="EM117" s="20">
        <f t="shared" si="73"/>
        <v>2.8030510891776262E-12</v>
      </c>
      <c r="EN117" s="59">
        <f t="shared" si="74"/>
        <v>280.86541503470823</v>
      </c>
      <c r="EO117" s="59">
        <f ca="1">AVERAGE(OFFSET($EN$3,0,0,'Données projet'!$E$15+1,1))-AVERAGE(OFFSET($H$3,0,0,'Données projet'!$E$15+1,1))</f>
        <v>561.50881628354409</v>
      </c>
      <c r="EP117" s="59">
        <f t="shared" si="100"/>
        <v>468.67708352238458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170.40766855214684</v>
      </c>
      <c r="EW117" s="21">
        <f>EXP(-LN(2)/25)*EW116+(1-EXP(-LN(2)/25))/(LN(2)/25)*Calculateur!ER117*Calculateur!ET117*VLOOKUP('Données projet'!$B$15,Paramètres!$A$1:$I$89,3,0)*0.475*44/12</f>
        <v>23.571010806396789</v>
      </c>
      <c r="EX117" s="21">
        <f>EXP(-LN(2)/2)*EX116+(1-EXP(-LN(2)/2))/(LN(2)/2)*ER117*EU117*VLOOKUP('Données projet'!$B$15,Paramètres!$A$1:$I$89,3,0)*0.475*44/12</f>
        <v>3.5302788547623883E-4</v>
      </c>
      <c r="EY117" s="22">
        <f t="shared" si="75"/>
        <v>193.97903238642911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2.1</v>
      </c>
      <c r="N118" s="13">
        <f>IF('Données projet'!$A$36&gt;35,N117+M118-V117,IF(A118&lt;'Données projet'!$A$36,$K$205^A118,IF(A118='Données projet'!$A$36,'Données projet'!$B$36,N117+M118-V117)))</f>
        <v>317.49999999999994</v>
      </c>
      <c r="O118" s="13">
        <f>N118*VLOOKUP('Données projet'!$B$9,Paramètres!$A$1:$I$89,3,0)*VLOOKUP('Données projet'!$B$9,Paramètres!$A$1:$I$89,5,0)</f>
        <v>287.27399999999994</v>
      </c>
      <c r="P118" s="13">
        <f t="shared" si="87"/>
        <v>68.501912166992028</v>
      </c>
      <c r="Q118" s="20">
        <f t="shared" si="107"/>
        <v>619.64304702417769</v>
      </c>
      <c r="R118" s="59">
        <f t="shared" si="55"/>
        <v>900.72475256727489</v>
      </c>
      <c r="S118" s="59">
        <f ca="1">AVERAGE(OFFSET($R$3,0,0,'Données projet'!$E$9+1,1))-AVERAGE(OFFSET($H$3,0,0,'Données projet'!$E$9+1,1))</f>
        <v>484.04602944257209</v>
      </c>
      <c r="T118" s="59">
        <f t="shared" si="88"/>
        <v>297.32483725004124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52.297829897208686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52.297829897208686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1.9</v>
      </c>
      <c r="AI118" s="13">
        <f>IF('Données projet'!$A$62&gt;35,AI117+AH118-AQ117,IF(A118&lt;'Données projet'!$A$62,$AF$205^A118,IF(A118='Données projet'!$A$62,'Données projet'!$B$62,AI117+AH118-AQ117)))</f>
        <v>275.49999999999966</v>
      </c>
      <c r="AJ118" s="13">
        <f>AI118*VLOOKUP('Données projet'!$B$10,Paramètres!$A$1:$I$89,3,0)*VLOOKUP('Données projet'!$B$10,Paramètres!$A$1:$I$89,5,0)</f>
        <v>313.73939999999965</v>
      </c>
      <c r="AK118" s="13">
        <f t="shared" si="89"/>
        <v>74.049219919733119</v>
      </c>
      <c r="AL118" s="20">
        <f t="shared" si="58"/>
        <v>675.39851302686793</v>
      </c>
      <c r="AM118" s="59">
        <f t="shared" si="59"/>
        <v>956.48021856996525</v>
      </c>
      <c r="AN118" s="59">
        <f ca="1">AVERAGE(OFFSET($AM$3,0,0,'Données projet'!$E$10+1,1))-AVERAGE(OFFSET($H$3,0,0,'Données projet'!$E$10+1,1))</f>
        <v>493.74122500490859</v>
      </c>
      <c r="AO118" s="59">
        <f t="shared" si="90"/>
        <v>299.43985151679692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36.579509752909736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36.579509752909736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364.64276939439014</v>
      </c>
      <c r="BJ118" s="59">
        <f t="shared" si="92"/>
        <v>341.7578598026638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66.213274758452073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66.213274758452073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3.4106051316484809E-13</v>
      </c>
      <c r="BZ118" s="13">
        <f>BY118*VLOOKUP('Données projet'!$B$12,Paramètres!$A$1:$I$89,3,0)*VLOOKUP('Données projet'!$B$12,Paramètres!$A$1:$I$89,5,0)</f>
        <v>2.0395418687257919E-13</v>
      </c>
      <c r="CA118" s="13">
        <f t="shared" si="93"/>
        <v>2.8200388570161721E-12</v>
      </c>
      <c r="CB118" s="20">
        <f t="shared" si="64"/>
        <v>5.2667878847729083E-12</v>
      </c>
      <c r="CC118" s="59">
        <f t="shared" si="65"/>
        <v>281.08170554310254</v>
      </c>
      <c r="CD118" s="59">
        <f ca="1">AVERAGE(OFFSET($CC$3,0,0,'Données projet'!$E$12+1,1))-AVERAGE(OFFSET($H$3,0,0,'Données projet'!$E$12+1,1))</f>
        <v>435.81281313761326</v>
      </c>
      <c r="CE118" s="59">
        <f t="shared" si="94"/>
        <v>460.93390058676493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86.568335301800346</v>
      </c>
      <c r="CL118" s="21">
        <f>EXP(-LN(2)/25)*CL117+(1-EXP(-LN(2)/25))/(LN(2)/25)*Calculateur!CG118*Calculateur!CI118*VLOOKUP('Données projet'!$B$12,Paramètres!$A$1:$I$89,3,0)*0.475*44/12</f>
        <v>12.982252311450646</v>
      </c>
      <c r="CM118" s="21">
        <f>EXP(-LN(2)/2)*CM117+(1-EXP(-LN(2)/2))/(LN(2)/2)*CG118*CJ118*VLOOKUP('Données projet'!$B$12,Paramètres!$A$1:$I$89,3,0)*0.475*44/12</f>
        <v>1.1632442489500996E-6</v>
      </c>
      <c r="CN118" s="22">
        <f t="shared" si="66"/>
        <v>99.550588776495246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379.16472924112111</v>
      </c>
      <c r="CZ118" s="59">
        <f t="shared" si="96"/>
        <v>273.18950868898253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119.48131296618348</v>
      </c>
      <c r="DG118" s="21">
        <f>EXP(-LN(2)/25)*DG117+(1-EXP(-LN(2)/25))/(LN(2)/25)*Calculateur!DB118*Calculateur!DD118*VLOOKUP('Données projet'!$B$13,Paramètres!$A$1:$I$89,3,0)*0.475*44/12</f>
        <v>17.549623080309733</v>
      </c>
      <c r="DH118" s="21">
        <f>EXP(-LN(2)/2)*DH117+(1-EXP(-LN(2)/2))/(LN(2)/2)*DB118*DE118*VLOOKUP('Données projet'!$B$13,Paramètres!$A$1:$I$89,3,0)*0.475*44/12</f>
        <v>5.2808264254936991E-3</v>
      </c>
      <c r="DI118" s="22">
        <f t="shared" si="69"/>
        <v>137.03621687291871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6.8212102632969618E-13</v>
      </c>
      <c r="DP118" s="17">
        <f>DO118*VLOOKUP('Données projet'!$B$14,Paramètres!$A$1:$I$89,3,0)*VLOOKUP('Données projet'!$B$14,Paramètres!$A$1:$I$89,5,0)</f>
        <v>2.7489477361086753E-13</v>
      </c>
      <c r="DQ118" s="13">
        <f t="shared" si="97"/>
        <v>3.6711283554998768E-12</v>
      </c>
      <c r="DR118" s="20">
        <f t="shared" si="70"/>
        <v>6.8726569498678791E-12</v>
      </c>
      <c r="DS118" s="59">
        <f t="shared" si="71"/>
        <v>281.08170554310414</v>
      </c>
      <c r="DT118" s="59">
        <f ca="1">AVERAGE(OFFSET($DS$3,0,0,'Données projet'!$E$14+1,1))-AVERAGE(OFFSET($H$3,0,0,'Données projet'!$E$14+1,1))</f>
        <v>419.35339339286082</v>
      </c>
      <c r="DU118" s="59">
        <f t="shared" si="98"/>
        <v>359.03308141414709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133.14012227643948</v>
      </c>
      <c r="EB118" s="21">
        <f>EXP(-LN(2)/25)*EB117+(1-EXP(-LN(2)/25))/(LN(2)/25)*Calculateur!DW118*Calculateur!DY118*VLOOKUP('Données projet'!$B$14,Paramètres!$A$1:$I$89,3,0)*0.475*44/12</f>
        <v>17.672060790007201</v>
      </c>
      <c r="EC118" s="21">
        <f>EXP(-LN(2)/2)*EC117+(1-EXP(-LN(2)/2))/(LN(2)/2)*DW118*DZ118*VLOOKUP('Données projet'!$B$14,Paramètres!$A$1:$I$89,3,0)*0.475*44/12</f>
        <v>1.8836326537560345E-4</v>
      </c>
      <c r="ED118" s="22">
        <f t="shared" si="72"/>
        <v>150.81237142971207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2.2737367544323206E-13</v>
      </c>
      <c r="EK118" s="17">
        <f>EJ118*VLOOKUP('Données projet'!$B$15,Paramètres!$A$1:$I$89,3,0)*VLOOKUP('Données projet'!$B$15,Paramètres!$A$1:$I$89,5,0)</f>
        <v>1.0049916454590858E-13</v>
      </c>
      <c r="EL118" s="13">
        <f t="shared" si="99"/>
        <v>1.5089081593838289E-12</v>
      </c>
      <c r="EM118" s="20">
        <f t="shared" si="73"/>
        <v>2.8030510891776262E-12</v>
      </c>
      <c r="EN118" s="59">
        <f t="shared" si="74"/>
        <v>281.08170554310004</v>
      </c>
      <c r="EO118" s="59">
        <f ca="1">AVERAGE(OFFSET($EN$3,0,0,'Données projet'!$E$15+1,1))-AVERAGE(OFFSET($H$3,0,0,'Données projet'!$E$15+1,1))</f>
        <v>561.50881628354409</v>
      </c>
      <c r="EP118" s="59">
        <f t="shared" si="100"/>
        <v>468.67708352238458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167.06607811025398</v>
      </c>
      <c r="EW118" s="21">
        <f>EXP(-LN(2)/25)*EW117+(1-EXP(-LN(2)/25))/(LN(2)/25)*Calculateur!ER118*Calculateur!ET118*VLOOKUP('Données projet'!$B$15,Paramètres!$A$1:$I$89,3,0)*0.475*44/12</f>
        <v>22.926460276350284</v>
      </c>
      <c r="EX118" s="21">
        <f>EXP(-LN(2)/2)*EX117+(1-EXP(-LN(2)/2))/(LN(2)/2)*ER118*EU118*VLOOKUP('Données projet'!$B$15,Paramètres!$A$1:$I$89,3,0)*0.475*44/12</f>
        <v>2.4962841176819637E-4</v>
      </c>
      <c r="EY118" s="22">
        <f t="shared" si="75"/>
        <v>189.99278801501606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2.1</v>
      </c>
      <c r="N119" s="13">
        <f>IF('Données projet'!$A$36&gt;35,N118+M119-V118,IF(A119&lt;'Données projet'!$A$36,$K$205^A119,IF(A119='Données projet'!$A$36,'Données projet'!$B$36,N118+M119-V118)))</f>
        <v>319.59999999999997</v>
      </c>
      <c r="O119" s="13">
        <f>N119*VLOOKUP('Données projet'!$B$9,Paramètres!$A$1:$I$89,3,0)*VLOOKUP('Données projet'!$B$9,Paramètres!$A$1:$I$89,5,0)</f>
        <v>289.17407999999995</v>
      </c>
      <c r="P119" s="13">
        <f t="shared" si="87"/>
        <v>68.902103026957676</v>
      </c>
      <c r="Q119" s="20">
        <f t="shared" si="107"/>
        <v>623.64935210528449</v>
      </c>
      <c r="R119" s="59">
        <f t="shared" si="55"/>
        <v>904.94359600000598</v>
      </c>
      <c r="S119" s="59">
        <f ca="1">AVERAGE(OFFSET($R$3,0,0,'Données projet'!$E$9+1,1))-AVERAGE(OFFSET($H$3,0,0,'Données projet'!$E$9+1,1))</f>
        <v>484.04602944257209</v>
      </c>
      <c r="T119" s="59">
        <f t="shared" si="88"/>
        <v>297.32483725004124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51.272301351450942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51.272301351450942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1.9</v>
      </c>
      <c r="AI119" s="13">
        <f>IF('Données projet'!$A$62&gt;35,AI118+AH119-AQ118,IF(A119&lt;'Données projet'!$A$62,$AF$205^A119,IF(A119='Données projet'!$A$62,'Données projet'!$B$62,AI118+AH119-AQ118)))</f>
        <v>277.39999999999964</v>
      </c>
      <c r="AJ119" s="13">
        <f>AI119*VLOOKUP('Données projet'!$B$10,Paramètres!$A$1:$I$89,3,0)*VLOOKUP('Données projet'!$B$10,Paramètres!$A$1:$I$89,5,0)</f>
        <v>315.9031199999996</v>
      </c>
      <c r="AK119" s="13">
        <f t="shared" si="89"/>
        <v>74.500279889885164</v>
      </c>
      <c r="AL119" s="20">
        <f t="shared" si="58"/>
        <v>679.95258814154931</v>
      </c>
      <c r="AM119" s="59">
        <f t="shared" si="59"/>
        <v>961.2468320362708</v>
      </c>
      <c r="AN119" s="59">
        <f ca="1">AVERAGE(OFFSET($AM$3,0,0,'Données projet'!$E$10+1,1))-AVERAGE(OFFSET($H$3,0,0,'Données projet'!$E$10+1,1))</f>
        <v>493.74122500490859</v>
      </c>
      <c r="AO119" s="59">
        <f t="shared" si="90"/>
        <v>299.43985151679692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35.862207877953068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35.862207877953068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364.64276939439014</v>
      </c>
      <c r="BJ119" s="59">
        <f t="shared" si="92"/>
        <v>341.7578598026638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64.914872826548631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64.914872826548631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3.4106051316484809E-13</v>
      </c>
      <c r="BZ119" s="13">
        <f>BY119*VLOOKUP('Données projet'!$B$12,Paramètres!$A$1:$I$89,3,0)*VLOOKUP('Données projet'!$B$12,Paramètres!$A$1:$I$89,5,0)</f>
        <v>2.0395418687257919E-13</v>
      </c>
      <c r="CA119" s="13">
        <f t="shared" si="93"/>
        <v>2.8200388570161721E-12</v>
      </c>
      <c r="CB119" s="20">
        <f t="shared" si="64"/>
        <v>5.2667878847729083E-12</v>
      </c>
      <c r="CC119" s="59">
        <f t="shared" si="65"/>
        <v>281.29424389472678</v>
      </c>
      <c r="CD119" s="59">
        <f ca="1">AVERAGE(OFFSET($CC$3,0,0,'Données projet'!$E$12+1,1))-AVERAGE(OFFSET($H$3,0,0,'Données projet'!$E$12+1,1))</f>
        <v>435.81281313761326</v>
      </c>
      <c r="CE119" s="59">
        <f t="shared" si="94"/>
        <v>460.93390058676493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84.870783048002863</v>
      </c>
      <c r="CL119" s="21">
        <f>EXP(-LN(2)/25)*CL118+(1-EXP(-LN(2)/25))/(LN(2)/25)*Calculateur!CG119*Calculateur!CI119*VLOOKUP('Données projet'!$B$12,Paramètres!$A$1:$I$89,3,0)*0.475*44/12</f>
        <v>12.627251939287049</v>
      </c>
      <c r="CM119" s="21">
        <f>EXP(-LN(2)/2)*CM118+(1-EXP(-LN(2)/2))/(LN(2)/2)*CG119*CJ119*VLOOKUP('Données projet'!$B$12,Paramètres!$A$1:$I$89,3,0)*0.475*44/12</f>
        <v>8.2253789660886793E-7</v>
      </c>
      <c r="CN119" s="22">
        <f t="shared" si="66"/>
        <v>97.498035809827812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379.16472924112111</v>
      </c>
      <c r="CZ119" s="59">
        <f t="shared" si="96"/>
        <v>273.18950868898253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117.13835729532158</v>
      </c>
      <c r="DG119" s="21">
        <f>EXP(-LN(2)/25)*DG118+(1-EXP(-LN(2)/25))/(LN(2)/25)*Calculateur!DB119*Calculateur!DD119*VLOOKUP('Données projet'!$B$13,Paramètres!$A$1:$I$89,3,0)*0.475*44/12</f>
        <v>17.069727714284095</v>
      </c>
      <c r="DH119" s="21">
        <f>EXP(-LN(2)/2)*DH118+(1-EXP(-LN(2)/2))/(LN(2)/2)*DB119*DE119*VLOOKUP('Données projet'!$B$13,Paramètres!$A$1:$I$89,3,0)*0.475*44/12</f>
        <v>3.734108175735711E-3</v>
      </c>
      <c r="DI119" s="22">
        <f t="shared" si="69"/>
        <v>134.2118191177814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6.8212102632969618E-13</v>
      </c>
      <c r="DP119" s="17">
        <f>DO119*VLOOKUP('Données projet'!$B$14,Paramètres!$A$1:$I$89,3,0)*VLOOKUP('Données projet'!$B$14,Paramètres!$A$1:$I$89,5,0)</f>
        <v>2.7489477361086753E-13</v>
      </c>
      <c r="DQ119" s="13">
        <f t="shared" si="97"/>
        <v>3.6711283554998768E-12</v>
      </c>
      <c r="DR119" s="20">
        <f t="shared" si="70"/>
        <v>6.8726569498678791E-12</v>
      </c>
      <c r="DS119" s="59">
        <f t="shared" si="71"/>
        <v>281.29424389472837</v>
      </c>
      <c r="DT119" s="59">
        <f ca="1">AVERAGE(OFFSET($DS$3,0,0,'Données projet'!$E$14+1,1))-AVERAGE(OFFSET($H$3,0,0,'Données projet'!$E$14+1,1))</f>
        <v>419.35339339286082</v>
      </c>
      <c r="DU119" s="59">
        <f t="shared" si="98"/>
        <v>359.03308141414709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130.52932568605453</v>
      </c>
      <c r="EB119" s="21">
        <f>EXP(-LN(2)/25)*EB118+(1-EXP(-LN(2)/25))/(LN(2)/25)*Calculateur!DW119*Calculateur!DY119*VLOOKUP('Données projet'!$B$14,Paramètres!$A$1:$I$89,3,0)*0.475*44/12</f>
        <v>17.188817358371168</v>
      </c>
      <c r="EC119" s="21">
        <f>EXP(-LN(2)/2)*EC118+(1-EXP(-LN(2)/2))/(LN(2)/2)*DW119*DZ119*VLOOKUP('Données projet'!$B$14,Paramètres!$A$1:$I$89,3,0)*0.475*44/12</f>
        <v>1.3319294227353041E-4</v>
      </c>
      <c r="ED119" s="22">
        <f t="shared" si="72"/>
        <v>147.71827623736797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2.2737367544323206E-13</v>
      </c>
      <c r="EK119" s="17">
        <f>EJ119*VLOOKUP('Données projet'!$B$15,Paramètres!$A$1:$I$89,3,0)*VLOOKUP('Données projet'!$B$15,Paramètres!$A$1:$I$89,5,0)</f>
        <v>1.0049916454590858E-13</v>
      </c>
      <c r="EL119" s="13">
        <f t="shared" si="99"/>
        <v>1.5089081593838289E-12</v>
      </c>
      <c r="EM119" s="20">
        <f t="shared" si="73"/>
        <v>2.8030510891776262E-12</v>
      </c>
      <c r="EN119" s="59">
        <f t="shared" si="74"/>
        <v>281.29424389472427</v>
      </c>
      <c r="EO119" s="59">
        <f ca="1">AVERAGE(OFFSET($EN$3,0,0,'Données projet'!$E$15+1,1))-AVERAGE(OFFSET($H$3,0,0,'Données projet'!$E$15+1,1))</f>
        <v>561.50881628354409</v>
      </c>
      <c r="EP119" s="59">
        <f t="shared" si="100"/>
        <v>468.67708352238458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163.79001421875773</v>
      </c>
      <c r="EW119" s="21">
        <f>EXP(-LN(2)/25)*EW118+(1-EXP(-LN(2)/25))/(LN(2)/25)*Calculateur!ER119*Calculateur!ET119*VLOOKUP('Données projet'!$B$15,Paramètres!$A$1:$I$89,3,0)*0.475*44/12</f>
        <v>22.29953501444334</v>
      </c>
      <c r="EX119" s="21">
        <f>EXP(-LN(2)/2)*EX118+(1-EXP(-LN(2)/2))/(LN(2)/2)*ER119*EU119*VLOOKUP('Données projet'!$B$15,Paramètres!$A$1:$I$89,3,0)*0.475*44/12</f>
        <v>1.7651394273811942E-4</v>
      </c>
      <c r="EY119" s="22">
        <f t="shared" si="75"/>
        <v>186.0897257471438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2.1</v>
      </c>
      <c r="N120" s="13">
        <f>IF('Données projet'!$A$36&gt;35,N119+M120-V119,IF(A120&lt;'Données projet'!$A$36,$K$205^A120,IF(A120='Données projet'!$A$36,'Données projet'!$B$36,N119+M120-V119)))</f>
        <v>321.7</v>
      </c>
      <c r="O120" s="13">
        <f>N120*VLOOKUP('Données projet'!$B$9,Paramètres!$A$1:$I$89,3,0)*VLOOKUP('Données projet'!$B$9,Paramètres!$A$1:$I$89,5,0)</f>
        <v>291.07416000000001</v>
      </c>
      <c r="P120" s="13">
        <f t="shared" si="87"/>
        <v>69.301987923222555</v>
      </c>
      <c r="Q120" s="20">
        <f t="shared" si="107"/>
        <v>627.65512429961257</v>
      </c>
      <c r="R120" s="59">
        <f t="shared" si="55"/>
        <v>909.15821948072221</v>
      </c>
      <c r="S120" s="59">
        <f ca="1">AVERAGE(OFFSET($R$3,0,0,'Données projet'!$E$9+1,1))-AVERAGE(OFFSET($H$3,0,0,'Données projet'!$E$9+1,1))</f>
        <v>484.04602944257209</v>
      </c>
      <c r="T120" s="59">
        <f t="shared" si="88"/>
        <v>297.32483725004124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50.266882794964857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50.266882794964857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1.9</v>
      </c>
      <c r="AI120" s="13">
        <f>IF('Données projet'!$A$62&gt;35,AI119+AH120-AQ119,IF(A120&lt;'Données projet'!$A$62,$AF$205^A120,IF(A120='Données projet'!$A$62,'Données projet'!$B$62,AI119+AH120-AQ119)))</f>
        <v>279.29999999999961</v>
      </c>
      <c r="AJ120" s="13">
        <f>AI120*VLOOKUP('Données projet'!$B$10,Paramètres!$A$1:$I$89,3,0)*VLOOKUP('Données projet'!$B$10,Paramètres!$A$1:$I$89,5,0)</f>
        <v>318.06683999999956</v>
      </c>
      <c r="AK120" s="13">
        <f t="shared" si="89"/>
        <v>74.950980388183012</v>
      </c>
      <c r="AL120" s="20">
        <f t="shared" si="58"/>
        <v>684.50603717608465</v>
      </c>
      <c r="AM120" s="59">
        <f t="shared" si="59"/>
        <v>966.00913235719429</v>
      </c>
      <c r="AN120" s="59">
        <f ca="1">AVERAGE(OFFSET($AM$3,0,0,'Données projet'!$E$10+1,1))-AVERAGE(OFFSET($H$3,0,0,'Données projet'!$E$10+1,1))</f>
        <v>493.74122500490859</v>
      </c>
      <c r="AO120" s="59">
        <f t="shared" si="90"/>
        <v>299.43985151679692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35.158971855253355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35.158971855253355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364.64276939439014</v>
      </c>
      <c r="BJ120" s="59">
        <f t="shared" si="92"/>
        <v>341.7578598026638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63.641931764582836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63.641931764582836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3.4106051316484809E-13</v>
      </c>
      <c r="BZ120" s="13">
        <f>BY120*VLOOKUP('Données projet'!$B$12,Paramètres!$A$1:$I$89,3,0)*VLOOKUP('Données projet'!$B$12,Paramètres!$A$1:$I$89,5,0)</f>
        <v>2.0395418687257919E-13</v>
      </c>
      <c r="CA120" s="13">
        <f t="shared" si="93"/>
        <v>2.8200388570161721E-12</v>
      </c>
      <c r="CB120" s="20">
        <f t="shared" si="64"/>
        <v>5.2667878847729083E-12</v>
      </c>
      <c r="CC120" s="59">
        <f t="shared" si="65"/>
        <v>281.50309518111493</v>
      </c>
      <c r="CD120" s="59">
        <f ca="1">AVERAGE(OFFSET($CC$3,0,0,'Données projet'!$E$12+1,1))-AVERAGE(OFFSET($H$3,0,0,'Données projet'!$E$12+1,1))</f>
        <v>435.81281313761326</v>
      </c>
      <c r="CE120" s="59">
        <f t="shared" si="94"/>
        <v>460.93390058676493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83.206518758497708</v>
      </c>
      <c r="CL120" s="21">
        <f>EXP(-LN(2)/25)*CL119+(1-EXP(-LN(2)/25))/(LN(2)/25)*Calculateur!CG120*Calculateur!CI120*VLOOKUP('Données projet'!$B$12,Paramètres!$A$1:$I$89,3,0)*0.475*44/12</f>
        <v>12.281959070968925</v>
      </c>
      <c r="CM120" s="21">
        <f>EXP(-LN(2)/2)*CM119+(1-EXP(-LN(2)/2))/(LN(2)/2)*CG120*CJ120*VLOOKUP('Données projet'!$B$12,Paramètres!$A$1:$I$89,3,0)*0.475*44/12</f>
        <v>5.8162212447504982E-7</v>
      </c>
      <c r="CN120" s="22">
        <f t="shared" si="66"/>
        <v>95.488478411088749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379.16472924112111</v>
      </c>
      <c r="CZ120" s="59">
        <f t="shared" si="96"/>
        <v>273.18950868898253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114.84134555610343</v>
      </c>
      <c r="DG120" s="21">
        <f>EXP(-LN(2)/25)*DG119+(1-EXP(-LN(2)/25))/(LN(2)/25)*Calculateur!DB120*Calculateur!DD120*VLOOKUP('Données projet'!$B$13,Paramètres!$A$1:$I$89,3,0)*0.475*44/12</f>
        <v>16.60295511227903</v>
      </c>
      <c r="DH120" s="21">
        <f>EXP(-LN(2)/2)*DH119+(1-EXP(-LN(2)/2))/(LN(2)/2)*DB120*DE120*VLOOKUP('Données projet'!$B$13,Paramètres!$A$1:$I$89,3,0)*0.475*44/12</f>
        <v>2.6404132127468495E-3</v>
      </c>
      <c r="DI120" s="22">
        <f t="shared" si="69"/>
        <v>131.44694108159521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6.8212102632969618E-13</v>
      </c>
      <c r="DP120" s="17">
        <f>DO120*VLOOKUP('Données projet'!$B$14,Paramètres!$A$1:$I$89,3,0)*VLOOKUP('Données projet'!$B$14,Paramètres!$A$1:$I$89,5,0)</f>
        <v>2.7489477361086753E-13</v>
      </c>
      <c r="DQ120" s="13">
        <f t="shared" si="97"/>
        <v>3.6711283554998768E-12</v>
      </c>
      <c r="DR120" s="20">
        <f t="shared" si="70"/>
        <v>6.8726569498678791E-12</v>
      </c>
      <c r="DS120" s="59">
        <f t="shared" si="71"/>
        <v>281.50309518111652</v>
      </c>
      <c r="DT120" s="59">
        <f ca="1">AVERAGE(OFFSET($DS$3,0,0,'Données projet'!$E$14+1,1))-AVERAGE(OFFSET($H$3,0,0,'Données projet'!$E$14+1,1))</f>
        <v>419.35339339286082</v>
      </c>
      <c r="DU120" s="59">
        <f t="shared" si="98"/>
        <v>359.03308141414709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127.96972522437834</v>
      </c>
      <c r="EB120" s="21">
        <f>EXP(-LN(2)/25)*EB119+(1-EXP(-LN(2)/25))/(LN(2)/25)*Calculateur!DW120*Calculateur!DY120*VLOOKUP('Données projet'!$B$14,Paramètres!$A$1:$I$89,3,0)*0.475*44/12</f>
        <v>16.718788243785887</v>
      </c>
      <c r="EC120" s="21">
        <f>EXP(-LN(2)/2)*EC119+(1-EXP(-LN(2)/2))/(LN(2)/2)*DW120*DZ120*VLOOKUP('Données projet'!$B$14,Paramètres!$A$1:$I$89,3,0)*0.475*44/12</f>
        <v>9.4181632687801724E-5</v>
      </c>
      <c r="ED120" s="22">
        <f t="shared" si="72"/>
        <v>144.68860764979689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2.2737367544323206E-13</v>
      </c>
      <c r="EK120" s="17">
        <f>EJ120*VLOOKUP('Données projet'!$B$15,Paramètres!$A$1:$I$89,3,0)*VLOOKUP('Données projet'!$B$15,Paramètres!$A$1:$I$89,5,0)</f>
        <v>1.0049916454590858E-13</v>
      </c>
      <c r="EL120" s="13">
        <f t="shared" si="99"/>
        <v>1.5089081593838289E-12</v>
      </c>
      <c r="EM120" s="20">
        <f t="shared" si="73"/>
        <v>2.8030510891776262E-12</v>
      </c>
      <c r="EN120" s="59">
        <f t="shared" si="74"/>
        <v>281.50309518111243</v>
      </c>
      <c r="EO120" s="59">
        <f ca="1">AVERAGE(OFFSET($EN$3,0,0,'Données projet'!$E$15+1,1))-AVERAGE(OFFSET($H$3,0,0,'Données projet'!$E$15+1,1))</f>
        <v>561.50881628354409</v>
      </c>
      <c r="EP120" s="59">
        <f t="shared" si="100"/>
        <v>468.67708352238458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160.57819194197205</v>
      </c>
      <c r="EW120" s="21">
        <f>EXP(-LN(2)/25)*EW119+(1-EXP(-LN(2)/25))/(LN(2)/25)*Calculateur!ER120*Calculateur!ET120*VLOOKUP('Données projet'!$B$15,Paramètres!$A$1:$I$89,3,0)*0.475*44/12</f>
        <v>21.689753056791805</v>
      </c>
      <c r="EX120" s="21">
        <f>EXP(-LN(2)/2)*EX119+(1-EXP(-LN(2)/2))/(LN(2)/2)*ER120*EU120*VLOOKUP('Données projet'!$B$15,Paramètres!$A$1:$I$89,3,0)*0.475*44/12</f>
        <v>1.2481420588409818E-4</v>
      </c>
      <c r="EY120" s="22">
        <f t="shared" si="75"/>
        <v>182.26806981296974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2.1</v>
      </c>
      <c r="N121" s="13">
        <f>IF('Données projet'!$A$36&gt;35,N120+M121-V120,IF(A121&lt;'Données projet'!$A$36,$K$205^A121,IF(A121='Données projet'!$A$36,'Données projet'!$B$36,N120+M121-V120)))</f>
        <v>323.8</v>
      </c>
      <c r="O121" s="13">
        <f>N121*VLOOKUP('Données projet'!$B$9,Paramètres!$A$1:$I$89,3,0)*VLOOKUP('Données projet'!$B$9,Paramètres!$A$1:$I$89,5,0)</f>
        <v>292.97424000000001</v>
      </c>
      <c r="P121" s="13">
        <f t="shared" si="87"/>
        <v>69.701569084730806</v>
      </c>
      <c r="Q121" s="20">
        <f t="shared" si="107"/>
        <v>631.66036748923955</v>
      </c>
      <c r="R121" s="59">
        <f t="shared" si="55"/>
        <v>913.36869085384001</v>
      </c>
      <c r="S121" s="59">
        <f ca="1">AVERAGE(OFFSET($R$3,0,0,'Données projet'!$E$9+1,1))-AVERAGE(OFFSET($H$3,0,0,'Données projet'!$E$9+1,1))</f>
        <v>484.04602944257209</v>
      </c>
      <c r="T121" s="59">
        <f t="shared" si="88"/>
        <v>297.32483725004124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49.281179883126697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49.281179883126697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1.9</v>
      </c>
      <c r="AI121" s="13">
        <f>IF('Données projet'!$A$62&gt;35,AI120+AH121-AQ120,IF(A121&lt;'Données projet'!$A$62,$AF$205^A121,IF(A121='Données projet'!$A$62,'Données projet'!$B$62,AI120+AH121-AQ120)))</f>
        <v>281.19999999999959</v>
      </c>
      <c r="AJ121" s="13">
        <f>AI121*VLOOKUP('Données projet'!$B$10,Paramètres!$A$1:$I$89,3,0)*VLOOKUP('Données projet'!$B$10,Paramètres!$A$1:$I$89,5,0)</f>
        <v>320.23055999999951</v>
      </c>
      <c r="AK121" s="13">
        <f t="shared" si="89"/>
        <v>75.401324143617984</v>
      </c>
      <c r="AL121" s="20">
        <f t="shared" si="58"/>
        <v>689.05886488346721</v>
      </c>
      <c r="AM121" s="59">
        <f t="shared" si="59"/>
        <v>970.76718824806767</v>
      </c>
      <c r="AN121" s="59">
        <f ca="1">AVERAGE(OFFSET($AM$3,0,0,'Données projet'!$E$10+1,1))-AVERAGE(OFFSET($H$3,0,0,'Données projet'!$E$10+1,1))</f>
        <v>493.74122500490859</v>
      </c>
      <c r="AO121" s="59">
        <f t="shared" si="90"/>
        <v>299.43985151679692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34.469525862027169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34.469525862027169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364.64276939439014</v>
      </c>
      <c r="BJ121" s="59">
        <f t="shared" si="92"/>
        <v>341.7578598026638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62.393952300424807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62.393952300424807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3.4106051316484809E-13</v>
      </c>
      <c r="BZ121" s="13">
        <f>BY121*VLOOKUP('Données projet'!$B$12,Paramètres!$A$1:$I$89,3,0)*VLOOKUP('Données projet'!$B$12,Paramètres!$A$1:$I$89,5,0)</f>
        <v>2.0395418687257919E-13</v>
      </c>
      <c r="CA121" s="13">
        <f t="shared" si="93"/>
        <v>2.8200388570161721E-12</v>
      </c>
      <c r="CB121" s="20">
        <f t="shared" si="64"/>
        <v>5.2667878847729083E-12</v>
      </c>
      <c r="CC121" s="59">
        <f t="shared" si="65"/>
        <v>281.70832336460569</v>
      </c>
      <c r="CD121" s="59">
        <f ca="1">AVERAGE(OFFSET($CC$3,0,0,'Données projet'!$E$12+1,1))-AVERAGE(OFFSET($H$3,0,0,'Données projet'!$E$12+1,1))</f>
        <v>435.81281313761326</v>
      </c>
      <c r="CE121" s="59">
        <f t="shared" si="94"/>
        <v>460.93390058676493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81.574889676608763</v>
      </c>
      <c r="CL121" s="21">
        <f>EXP(-LN(2)/25)*CL120+(1-EXP(-LN(2)/25))/(LN(2)/25)*Calculateur!CG121*Calculateur!CI121*VLOOKUP('Données projet'!$B$12,Paramètres!$A$1:$I$89,3,0)*0.475*44/12</f>
        <v>11.946108254293124</v>
      </c>
      <c r="CM121" s="21">
        <f>EXP(-LN(2)/2)*CM120+(1-EXP(-LN(2)/2))/(LN(2)/2)*CG121*CJ121*VLOOKUP('Données projet'!$B$12,Paramètres!$A$1:$I$89,3,0)*0.475*44/12</f>
        <v>4.1126894830443396E-7</v>
      </c>
      <c r="CN121" s="22">
        <f t="shared" si="66"/>
        <v>93.520998342170827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379.16472924112111</v>
      </c>
      <c r="CZ121" s="59">
        <f t="shared" si="96"/>
        <v>273.18950868898253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112.58937681605254</v>
      </c>
      <c r="DG121" s="21">
        <f>EXP(-LN(2)/25)*DG120+(1-EXP(-LN(2)/25))/(LN(2)/25)*Calculateur!DB121*Calculateur!DD121*VLOOKUP('Données projet'!$B$13,Paramètres!$A$1:$I$89,3,0)*0.475*44/12</f>
        <v>16.148946431622296</v>
      </c>
      <c r="DH121" s="21">
        <f>EXP(-LN(2)/2)*DH120+(1-EXP(-LN(2)/2))/(LN(2)/2)*DB121*DE121*VLOOKUP('Données projet'!$B$13,Paramètres!$A$1:$I$89,3,0)*0.475*44/12</f>
        <v>1.8670540878678555E-3</v>
      </c>
      <c r="DI121" s="22">
        <f t="shared" si="69"/>
        <v>128.74019030176271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6.8212102632969618E-13</v>
      </c>
      <c r="DP121" s="17">
        <f>DO121*VLOOKUP('Données projet'!$B$14,Paramètres!$A$1:$I$89,3,0)*VLOOKUP('Données projet'!$B$14,Paramètres!$A$1:$I$89,5,0)</f>
        <v>2.7489477361086753E-13</v>
      </c>
      <c r="DQ121" s="13">
        <f t="shared" si="97"/>
        <v>3.6711283554998768E-12</v>
      </c>
      <c r="DR121" s="20">
        <f t="shared" si="70"/>
        <v>6.8726569498678791E-12</v>
      </c>
      <c r="DS121" s="59">
        <f t="shared" si="71"/>
        <v>281.70832336460728</v>
      </c>
      <c r="DT121" s="59">
        <f ca="1">AVERAGE(OFFSET($DS$3,0,0,'Données projet'!$E$14+1,1))-AVERAGE(OFFSET($H$3,0,0,'Données projet'!$E$14+1,1))</f>
        <v>419.35339339286082</v>
      </c>
      <c r="DU121" s="59">
        <f t="shared" si="98"/>
        <v>359.03308141414709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125.46031696655349</v>
      </c>
      <c r="EB121" s="21">
        <f>EXP(-LN(2)/25)*EB120+(1-EXP(-LN(2)/25))/(LN(2)/25)*Calculateur!DW121*Calculateur!DY121*VLOOKUP('Données projet'!$B$14,Paramètres!$A$1:$I$89,3,0)*0.475*44/12</f>
        <v>16.261612100056698</v>
      </c>
      <c r="EC121" s="21">
        <f>EXP(-LN(2)/2)*EC120+(1-EXP(-LN(2)/2))/(LN(2)/2)*DW121*DZ121*VLOOKUP('Données projet'!$B$14,Paramètres!$A$1:$I$89,3,0)*0.475*44/12</f>
        <v>6.6596471136765205E-5</v>
      </c>
      <c r="ED121" s="22">
        <f t="shared" si="72"/>
        <v>141.72199566308132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2.2737367544323206E-13</v>
      </c>
      <c r="EK121" s="17">
        <f>EJ121*VLOOKUP('Données projet'!$B$15,Paramètres!$A$1:$I$89,3,0)*VLOOKUP('Données projet'!$B$15,Paramètres!$A$1:$I$89,5,0)</f>
        <v>1.0049916454590858E-13</v>
      </c>
      <c r="EL121" s="13">
        <f t="shared" si="99"/>
        <v>1.5089081593838289E-12</v>
      </c>
      <c r="EM121" s="20">
        <f t="shared" si="73"/>
        <v>2.8030510891776262E-12</v>
      </c>
      <c r="EN121" s="59">
        <f t="shared" si="74"/>
        <v>281.70832336460319</v>
      </c>
      <c r="EO121" s="59">
        <f ca="1">AVERAGE(OFFSET($EN$3,0,0,'Données projet'!$E$15+1,1))-AVERAGE(OFFSET($H$3,0,0,'Données projet'!$E$15+1,1))</f>
        <v>561.50881628354409</v>
      </c>
      <c r="EP121" s="59">
        <f t="shared" si="100"/>
        <v>468.67708352238458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157.42935154101599</v>
      </c>
      <c r="EW121" s="21">
        <f>EXP(-LN(2)/25)*EW120+(1-EXP(-LN(2)/25))/(LN(2)/25)*Calculateur!ER121*Calculateur!ET121*VLOOKUP('Données projet'!$B$15,Paramètres!$A$1:$I$89,3,0)*0.475*44/12</f>
        <v>21.096645618839293</v>
      </c>
      <c r="EX121" s="21">
        <f>EXP(-LN(2)/2)*EX120+(1-EXP(-LN(2)/2))/(LN(2)/2)*ER121*EU121*VLOOKUP('Données projet'!$B$15,Paramètres!$A$1:$I$89,3,0)*0.475*44/12</f>
        <v>8.8256971369059708E-5</v>
      </c>
      <c r="EY121" s="22">
        <f t="shared" si="75"/>
        <v>178.52608541682665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2.1</v>
      </c>
      <c r="N122" s="13">
        <f>IF('Données projet'!$A$36&gt;35,N121+M122-V121,IF(A122&lt;'Données projet'!$A$36,$K$205^A122,IF(A122='Données projet'!$A$36,'Données projet'!$B$36,N121+M122-V121)))</f>
        <v>325.90000000000003</v>
      </c>
      <c r="O122" s="13">
        <f>N122*VLOOKUP('Données projet'!$B$9,Paramètres!$A$1:$I$89,3,0)*VLOOKUP('Données projet'!$B$9,Paramètres!$A$1:$I$89,5,0)</f>
        <v>294.87432000000007</v>
      </c>
      <c r="P122" s="13">
        <f t="shared" si="87"/>
        <v>70.100848709843106</v>
      </c>
      <c r="Q122" s="20">
        <f t="shared" si="107"/>
        <v>635.66508550297681</v>
      </c>
      <c r="R122" s="59">
        <f t="shared" si="55"/>
        <v>917.57507680090589</v>
      </c>
      <c r="S122" s="59">
        <f ca="1">AVERAGE(OFFSET($R$3,0,0,'Données projet'!$E$9+1,1))-AVERAGE(OFFSET($H$3,0,0,'Données projet'!$E$9+1,1))</f>
        <v>484.04602944257209</v>
      </c>
      <c r="T122" s="59">
        <f t="shared" si="88"/>
        <v>297.32483725004124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48.314806004170279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48.314806004170279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1.9</v>
      </c>
      <c r="AI122" s="13">
        <f>IF('Données projet'!$A$62&gt;35,AI121+AH122-AQ121,IF(A122&lt;'Données projet'!$A$62,$AF$205^A122,IF(A122='Données projet'!$A$62,'Données projet'!$B$62,AI121+AH122-AQ121)))</f>
        <v>283.09999999999957</v>
      </c>
      <c r="AJ122" s="13">
        <f>AI122*VLOOKUP('Données projet'!$B$10,Paramètres!$A$1:$I$89,3,0)*VLOOKUP('Données projet'!$B$10,Paramètres!$A$1:$I$89,5,0)</f>
        <v>322.39427999999947</v>
      </c>
      <c r="AK122" s="13">
        <f t="shared" si="89"/>
        <v>75.851313846171408</v>
      </c>
      <c r="AL122" s="20">
        <f t="shared" si="58"/>
        <v>693.6110759487475</v>
      </c>
      <c r="AM122" s="59">
        <f t="shared" si="59"/>
        <v>975.52106724667669</v>
      </c>
      <c r="AN122" s="59">
        <f ca="1">AVERAGE(OFFSET($AM$3,0,0,'Données projet'!$E$10+1,1))-AVERAGE(OFFSET($H$3,0,0,'Données projet'!$E$10+1,1))</f>
        <v>493.74122500490859</v>
      </c>
      <c r="AO122" s="59">
        <f t="shared" si="90"/>
        <v>299.43985151679692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33.793599484207611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33.793599484207611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364.64276939439014</v>
      </c>
      <c r="BJ122" s="59">
        <f t="shared" si="92"/>
        <v>341.7578598026638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61.170444952366609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61.170444952366609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3.4106051316484809E-13</v>
      </c>
      <c r="BZ122" s="13">
        <f>BY122*VLOOKUP('Données projet'!$B$12,Paramètres!$A$1:$I$89,3,0)*VLOOKUP('Données projet'!$B$12,Paramètres!$A$1:$I$89,5,0)</f>
        <v>2.0395418687257919E-13</v>
      </c>
      <c r="CA122" s="13">
        <f t="shared" si="93"/>
        <v>2.8200388570161721E-12</v>
      </c>
      <c r="CB122" s="20">
        <f t="shared" si="64"/>
        <v>5.2667878847729083E-12</v>
      </c>
      <c r="CC122" s="59">
        <f t="shared" si="65"/>
        <v>281.90999129793443</v>
      </c>
      <c r="CD122" s="59">
        <f ca="1">AVERAGE(OFFSET($CC$3,0,0,'Données projet'!$E$12+1,1))-AVERAGE(OFFSET($H$3,0,0,'Données projet'!$E$12+1,1))</f>
        <v>435.81281313761326</v>
      </c>
      <c r="CE122" s="59">
        <f t="shared" si="94"/>
        <v>460.93390058676493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79.9752558458202</v>
      </c>
      <c r="CL122" s="21">
        <f>EXP(-LN(2)/25)*CL121+(1-EXP(-LN(2)/25))/(LN(2)/25)*Calculateur!CG122*Calculateur!CI122*VLOOKUP('Données projet'!$B$12,Paramètres!$A$1:$I$89,3,0)*0.475*44/12</f>
        <v>11.619441295860948</v>
      </c>
      <c r="CM122" s="21">
        <f>EXP(-LN(2)/2)*CM121+(1-EXP(-LN(2)/2))/(LN(2)/2)*CG122*CJ122*VLOOKUP('Données projet'!$B$12,Paramètres!$A$1:$I$89,3,0)*0.475*44/12</f>
        <v>2.9081106223752491E-7</v>
      </c>
      <c r="CN122" s="22">
        <f t="shared" si="66"/>
        <v>91.594697432492211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379.16472924112111</v>
      </c>
      <c r="CZ122" s="59">
        <f t="shared" si="96"/>
        <v>273.18950868898253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110.38156780942873</v>
      </c>
      <c r="DG122" s="21">
        <f>EXP(-LN(2)/25)*DG121+(1-EXP(-LN(2)/25))/(LN(2)/25)*Calculateur!DB122*Calculateur!DD122*VLOOKUP('Données projet'!$B$13,Paramètres!$A$1:$I$89,3,0)*0.475*44/12</f>
        <v>15.707352642213401</v>
      </c>
      <c r="DH122" s="21">
        <f>EXP(-LN(2)/2)*DH121+(1-EXP(-LN(2)/2))/(LN(2)/2)*DB122*DE122*VLOOKUP('Données projet'!$B$13,Paramètres!$A$1:$I$89,3,0)*0.475*44/12</f>
        <v>1.3202066063734248E-3</v>
      </c>
      <c r="DI122" s="22">
        <f t="shared" si="69"/>
        <v>126.09024065824852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6.8212102632969618E-13</v>
      </c>
      <c r="DP122" s="17">
        <f>DO122*VLOOKUP('Données projet'!$B$14,Paramètres!$A$1:$I$89,3,0)*VLOOKUP('Données projet'!$B$14,Paramètres!$A$1:$I$89,5,0)</f>
        <v>2.7489477361086753E-13</v>
      </c>
      <c r="DQ122" s="13">
        <f t="shared" si="97"/>
        <v>3.6711283554998768E-12</v>
      </c>
      <c r="DR122" s="20">
        <f t="shared" si="70"/>
        <v>6.8726569498678791E-12</v>
      </c>
      <c r="DS122" s="59">
        <f t="shared" si="71"/>
        <v>281.90999129793602</v>
      </c>
      <c r="DT122" s="59">
        <f ca="1">AVERAGE(OFFSET($DS$3,0,0,'Données projet'!$E$14+1,1))-AVERAGE(OFFSET($H$3,0,0,'Données projet'!$E$14+1,1))</f>
        <v>419.35339339286082</v>
      </c>
      <c r="DU122" s="59">
        <f t="shared" si="98"/>
        <v>359.03308141414709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123.00011667407668</v>
      </c>
      <c r="EB122" s="21">
        <f>EXP(-LN(2)/25)*EB121+(1-EXP(-LN(2)/25))/(LN(2)/25)*Calculateur!DW122*Calculateur!DY122*VLOOKUP('Données projet'!$B$14,Paramètres!$A$1:$I$89,3,0)*0.475*44/12</f>
        <v>15.816937462019634</v>
      </c>
      <c r="EC122" s="21">
        <f>EXP(-LN(2)/2)*EC121+(1-EXP(-LN(2)/2))/(LN(2)/2)*DW122*DZ122*VLOOKUP('Données projet'!$B$14,Paramètres!$A$1:$I$89,3,0)*0.475*44/12</f>
        <v>4.7090816343900862E-5</v>
      </c>
      <c r="ED122" s="22">
        <f t="shared" si="72"/>
        <v>138.81710122691265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2.2737367544323206E-13</v>
      </c>
      <c r="EK122" s="17">
        <f>EJ122*VLOOKUP('Données projet'!$B$15,Paramètres!$A$1:$I$89,3,0)*VLOOKUP('Données projet'!$B$15,Paramètres!$A$1:$I$89,5,0)</f>
        <v>1.0049916454590858E-13</v>
      </c>
      <c r="EL122" s="13">
        <f t="shared" si="99"/>
        <v>1.5089081593838289E-12</v>
      </c>
      <c r="EM122" s="20">
        <f t="shared" si="73"/>
        <v>2.8030510891776262E-12</v>
      </c>
      <c r="EN122" s="59">
        <f t="shared" si="74"/>
        <v>281.90999129793192</v>
      </c>
      <c r="EO122" s="59">
        <f ca="1">AVERAGE(OFFSET($EN$3,0,0,'Données projet'!$E$15+1,1))-AVERAGE(OFFSET($H$3,0,0,'Données projet'!$E$15+1,1))</f>
        <v>561.50881628354409</v>
      </c>
      <c r="EP122" s="59">
        <f t="shared" si="100"/>
        <v>468.67708352238458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154.34225797971968</v>
      </c>
      <c r="EW122" s="21">
        <f>EXP(-LN(2)/25)*EW121+(1-EXP(-LN(2)/25))/(LN(2)/25)*Calculateur!ER122*Calculateur!ET122*VLOOKUP('Données projet'!$B$15,Paramètres!$A$1:$I$89,3,0)*0.475*44/12</f>
        <v>20.519756734967757</v>
      </c>
      <c r="EX122" s="21">
        <f>EXP(-LN(2)/2)*EX121+(1-EXP(-LN(2)/2))/(LN(2)/2)*ER122*EU122*VLOOKUP('Données projet'!$B$15,Paramètres!$A$1:$I$89,3,0)*0.475*44/12</f>
        <v>6.2407102942049091E-5</v>
      </c>
      <c r="EY122" s="22">
        <f t="shared" si="75"/>
        <v>174.86207712179038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328</v>
      </c>
      <c r="L123" s="12">
        <f>VLOOKUP(A123,'Données projet'!$A$35:$I$55,9,0)</f>
        <v>2.1</v>
      </c>
      <c r="M123" s="12">
        <f t="array" ref="M123">INDEX(L:L,MIN(IF(ISNUMBER(L123:L319),ROW(L123:L319),"")))</f>
        <v>2.1</v>
      </c>
      <c r="N123" s="13">
        <f>IF('Données projet'!$A$36&gt;35,N122+M123-V122,IF(A123&lt;'Données projet'!$A$36,$K$205^A123,IF(A123='Données projet'!$A$36,'Données projet'!$B$36,N122+M123-V122)))</f>
        <v>328.00000000000006</v>
      </c>
      <c r="O123" s="13">
        <f>N123*VLOOKUP('Données projet'!$B$9,Paramètres!$A$1:$I$89,3,0)*VLOOKUP('Données projet'!$B$9,Paramètres!$A$1:$I$89,5,0)</f>
        <v>296.77440000000001</v>
      </c>
      <c r="P123" s="13">
        <f t="shared" si="87"/>
        <v>70.499828966950744</v>
      </c>
      <c r="Q123" s="20">
        <f t="shared" si="107"/>
        <v>639.66928211743925</v>
      </c>
      <c r="R123" s="59">
        <f t="shared" si="55"/>
        <v>921.77744286091593</v>
      </c>
      <c r="S123" s="59">
        <f ca="1">AVERAGE(OFFSET($R$3,0,0,'Données projet'!$E$9+1,1))-AVERAGE(OFFSET($H$3,0,0,'Données projet'!$E$9+1,1))</f>
        <v>484.04602944257209</v>
      </c>
      <c r="T123" s="59">
        <f t="shared" si="88"/>
        <v>297.32483725004124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328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174.33252655716814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174.33252655716814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1.9</v>
      </c>
      <c r="AH123" s="12">
        <f t="array" ref="AH123">INDEX(AG:AG,MIN(IF(ISNUMBER(AG123:AG319),ROW(AG123:AG319),"")))</f>
        <v>1.9</v>
      </c>
      <c r="AI123" s="13">
        <f>IF('Données projet'!$A$62&gt;35,AI122+AH123-AQ122,IF(A123&lt;'Données projet'!$A$62,$AF$205^A123,IF(A123='Données projet'!$A$62,'Données projet'!$B$62,AI122+AH123-AQ122)))</f>
        <v>284.99999999999955</v>
      </c>
      <c r="AJ123" s="13">
        <f>AI123*VLOOKUP('Données projet'!$B$10,Paramètres!$A$1:$I$89,3,0)*VLOOKUP('Données projet'!$B$10,Paramètres!$A$1:$I$89,5,0)</f>
        <v>324.55799999999948</v>
      </c>
      <c r="AK123" s="13">
        <f t="shared" si="89"/>
        <v>76.30095214763007</v>
      </c>
      <c r="AL123" s="20">
        <f t="shared" si="58"/>
        <v>698.16267499045478</v>
      </c>
      <c r="AM123" s="59">
        <f t="shared" si="59"/>
        <v>980.27083573393134</v>
      </c>
      <c r="AN123" s="59">
        <f ca="1">AVERAGE(OFFSET($AM$3,0,0,'Données projet'!$E$10+1,1))-AVERAGE(OFFSET($H$3,0,0,'Données projet'!$E$10+1,1))</f>
        <v>493.74122500490859</v>
      </c>
      <c r="AO123" s="59">
        <f t="shared" si="90"/>
        <v>299.43985151679692</v>
      </c>
      <c r="AP123" s="15">
        <f>IF(ISNA(VLOOKUP(A123,'Données projet'!$A$61:$I$81,3,0)),0,VLOOKUP(A123,'Données projet'!$A$61:$I$81,3,0))</f>
        <v>18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156.55443148189931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156.55443148189931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364.64276939439014</v>
      </c>
      <c r="BJ123" s="59">
        <f t="shared" si="92"/>
        <v>341.7578598026638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59.970929837138037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59.970929837138037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3.4106051316484809E-13</v>
      </c>
      <c r="BZ123" s="13">
        <f>BY123*VLOOKUP('Données projet'!$B$12,Paramètres!$A$1:$I$89,3,0)*VLOOKUP('Données projet'!$B$12,Paramètres!$A$1:$I$89,5,0)</f>
        <v>2.0395418687257919E-13</v>
      </c>
      <c r="CA123" s="13">
        <f t="shared" si="93"/>
        <v>2.8200388570161721E-12</v>
      </c>
      <c r="CB123" s="20">
        <f t="shared" si="64"/>
        <v>5.2667878847729083E-12</v>
      </c>
      <c r="CC123" s="59">
        <f t="shared" si="65"/>
        <v>282.1081607434819</v>
      </c>
      <c r="CD123" s="59">
        <f ca="1">AVERAGE(OFFSET($CC$3,0,0,'Données projet'!$E$12+1,1))-AVERAGE(OFFSET($H$3,0,0,'Données projet'!$E$12+1,1))</f>
        <v>435.81281313761326</v>
      </c>
      <c r="CE123" s="59">
        <f t="shared" si="94"/>
        <v>460.93390058676493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78.406989858773102</v>
      </c>
      <c r="CL123" s="21">
        <f>EXP(-LN(2)/25)*CL122+(1-EXP(-LN(2)/25))/(LN(2)/25)*Calculateur!CG123*Calculateur!CI123*VLOOKUP('Données projet'!$B$12,Paramètres!$A$1:$I$89,3,0)*0.475*44/12</f>
        <v>11.30170706258577</v>
      </c>
      <c r="CM123" s="21">
        <f>EXP(-LN(2)/2)*CM122+(1-EXP(-LN(2)/2))/(LN(2)/2)*CG123*CJ123*VLOOKUP('Données projet'!$B$12,Paramètres!$A$1:$I$89,3,0)*0.475*44/12</f>
        <v>2.0563447415221698E-7</v>
      </c>
      <c r="CN123" s="22">
        <f t="shared" si="66"/>
        <v>89.708697126993343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379.16472924112111</v>
      </c>
      <c r="CZ123" s="59">
        <f t="shared" si="96"/>
        <v>273.18950868898253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108.2170525907943</v>
      </c>
      <c r="DG123" s="21">
        <f>EXP(-LN(2)/25)*DG122+(1-EXP(-LN(2)/25))/(LN(2)/25)*Calculateur!DB123*Calculateur!DD123*VLOOKUP('Données projet'!$B$13,Paramètres!$A$1:$I$89,3,0)*0.475*44/12</f>
        <v>15.2778342581983</v>
      </c>
      <c r="DH123" s="21">
        <f>EXP(-LN(2)/2)*DH122+(1-EXP(-LN(2)/2))/(LN(2)/2)*DB123*DE123*VLOOKUP('Données projet'!$B$13,Paramètres!$A$1:$I$89,3,0)*0.475*44/12</f>
        <v>9.3352704393392775E-4</v>
      </c>
      <c r="DI123" s="22">
        <f t="shared" si="69"/>
        <v>123.49582037603653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6.8212102632969618E-13</v>
      </c>
      <c r="DP123" s="17">
        <f>DO123*VLOOKUP('Données projet'!$B$14,Paramètres!$A$1:$I$89,3,0)*VLOOKUP('Données projet'!$B$14,Paramètres!$A$1:$I$89,5,0)</f>
        <v>2.7489477361086753E-13</v>
      </c>
      <c r="DQ123" s="13">
        <f t="shared" si="97"/>
        <v>3.6711283554998768E-12</v>
      </c>
      <c r="DR123" s="20">
        <f t="shared" si="70"/>
        <v>6.8726569498678791E-12</v>
      </c>
      <c r="DS123" s="59">
        <f t="shared" si="71"/>
        <v>282.1081607434835</v>
      </c>
      <c r="DT123" s="59">
        <f ca="1">AVERAGE(OFFSET($DS$3,0,0,'Données projet'!$E$14+1,1))-AVERAGE(OFFSET($H$3,0,0,'Données projet'!$E$14+1,1))</f>
        <v>419.35339339286082</v>
      </c>
      <c r="DU123" s="59">
        <f t="shared" si="98"/>
        <v>359.03308141414709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120.58815940876133</v>
      </c>
      <c r="EB123" s="21">
        <f>EXP(-LN(2)/25)*EB122+(1-EXP(-LN(2)/25))/(LN(2)/25)*Calculateur!DW123*Calculateur!DY123*VLOOKUP('Données projet'!$B$14,Paramètres!$A$1:$I$89,3,0)*0.475*44/12</f>
        <v>15.384422475344117</v>
      </c>
      <c r="EC123" s="21">
        <f>EXP(-LN(2)/2)*EC122+(1-EXP(-LN(2)/2))/(LN(2)/2)*DW123*DZ123*VLOOKUP('Données projet'!$B$14,Paramètres!$A$1:$I$89,3,0)*0.475*44/12</f>
        <v>3.3298235568382602E-5</v>
      </c>
      <c r="ED123" s="22">
        <f t="shared" si="72"/>
        <v>135.972615182341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2.2737367544323206E-13</v>
      </c>
      <c r="EK123" s="17">
        <f>EJ123*VLOOKUP('Données projet'!$B$15,Paramètres!$A$1:$I$89,3,0)*VLOOKUP('Données projet'!$B$15,Paramètres!$A$1:$I$89,5,0)</f>
        <v>1.0049916454590858E-13</v>
      </c>
      <c r="EL123" s="13">
        <f t="shared" si="99"/>
        <v>1.5089081593838289E-12</v>
      </c>
      <c r="EM123" s="20">
        <f t="shared" si="73"/>
        <v>2.8030510891776262E-12</v>
      </c>
      <c r="EN123" s="59">
        <f t="shared" si="74"/>
        <v>282.1081607434794</v>
      </c>
      <c r="EO123" s="59">
        <f ca="1">AVERAGE(OFFSET($EN$3,0,0,'Données projet'!$E$15+1,1))-AVERAGE(OFFSET($H$3,0,0,'Données projet'!$E$15+1,1))</f>
        <v>561.50881628354409</v>
      </c>
      <c r="EP123" s="59">
        <f t="shared" si="100"/>
        <v>468.67708352238458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151.31570044021925</v>
      </c>
      <c r="EW123" s="21">
        <f>EXP(-LN(2)/25)*EW122+(1-EXP(-LN(2)/25))/(LN(2)/25)*Calculateur!ER123*Calculateur!ET123*VLOOKUP('Données projet'!$B$15,Paramètres!$A$1:$I$89,3,0)*0.475*44/12</f>
        <v>19.958642907962954</v>
      </c>
      <c r="EX123" s="21">
        <f>EXP(-LN(2)/2)*EX122+(1-EXP(-LN(2)/2))/(LN(2)/2)*ER123*EU123*VLOOKUP('Données projet'!$B$15,Paramètres!$A$1:$I$89,3,0)*0.475*44/12</f>
        <v>4.4128485684529854E-5</v>
      </c>
      <c r="EY123" s="22">
        <f t="shared" si="75"/>
        <v>171.27438747666787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5.1431925385259088E-14</v>
      </c>
      <c r="P124" s="13">
        <f t="shared" si="87"/>
        <v>8.3482866290946129E-13</v>
      </c>
      <c r="Q124" s="20">
        <f t="shared" si="107"/>
        <v>1.5435705246133045E-12</v>
      </c>
      <c r="R124" s="59">
        <f t="shared" si="55"/>
        <v>282.30289239218592</v>
      </c>
      <c r="S124" s="59">
        <f ca="1">AVERAGE(OFFSET($R$3,0,0,'Données projet'!$E$9+1,1))-AVERAGE(OFFSET($H$3,0,0,'Données projet'!$E$9+1,1))</f>
        <v>484.04602944257209</v>
      </c>
      <c r="T124" s="59">
        <f t="shared" si="88"/>
        <v>297.32483725004124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170.91397204372382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170.91397204372382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projet'!$B$10,Paramètres!$A$1:$I$89,3,0)*VLOOKUP('Données projet'!$B$10,Paramètres!$A$1:$I$89,5,0)</f>
        <v>-5.1786628318950535E-13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493.74122500490859</v>
      </c>
      <c r="AO124" s="59">
        <f t="shared" si="90"/>
        <v>299.43985151679692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153.48449456931374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153.48449456931374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364.64276939439014</v>
      </c>
      <c r="BJ124" s="59">
        <f t="shared" si="92"/>
        <v>341.7578598026638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58.794936481687117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58.794936481687117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3.4106051316484809E-13</v>
      </c>
      <c r="BZ124" s="13">
        <f>BY124*VLOOKUP('Données projet'!$B$12,Paramètres!$A$1:$I$89,3,0)*VLOOKUP('Données projet'!$B$12,Paramètres!$A$1:$I$89,5,0)</f>
        <v>2.0395418687257919E-13</v>
      </c>
      <c r="CA124" s="13">
        <f t="shared" si="93"/>
        <v>2.8200388570161721E-12</v>
      </c>
      <c r="CB124" s="20">
        <f t="shared" si="64"/>
        <v>5.2667878847729083E-12</v>
      </c>
      <c r="CC124" s="59">
        <f t="shared" si="65"/>
        <v>282.30289239218968</v>
      </c>
      <c r="CD124" s="59">
        <f ca="1">AVERAGE(OFFSET($CC$3,0,0,'Données projet'!$E$12+1,1))-AVERAGE(OFFSET($H$3,0,0,'Données projet'!$E$12+1,1))</f>
        <v>435.81281313761326</v>
      </c>
      <c r="CE124" s="59">
        <f t="shared" si="94"/>
        <v>460.93390058676493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76.869476611184197</v>
      </c>
      <c r="CL124" s="21">
        <f>EXP(-LN(2)/25)*CL123+(1-EXP(-LN(2)/25))/(LN(2)/25)*Calculateur!CG124*Calculateur!CI124*VLOOKUP('Données projet'!$B$12,Paramètres!$A$1:$I$89,3,0)*0.475*44/12</f>
        <v>10.992661288628417</v>
      </c>
      <c r="CM124" s="21">
        <f>EXP(-LN(2)/2)*CM123+(1-EXP(-LN(2)/2))/(LN(2)/2)*CG124*CJ124*VLOOKUP('Données projet'!$B$12,Paramètres!$A$1:$I$89,3,0)*0.475*44/12</f>
        <v>1.4540553111876245E-7</v>
      </c>
      <c r="CN124" s="22">
        <f t="shared" si="66"/>
        <v>87.862138045218146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379.16472924112111</v>
      </c>
      <c r="CZ124" s="59">
        <f t="shared" si="96"/>
        <v>273.18950868898253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106.09498219537336</v>
      </c>
      <c r="DG124" s="21">
        <f>EXP(-LN(2)/25)*DG123+(1-EXP(-LN(2)/25))/(LN(2)/25)*Calculateur!DB124*Calculateur!DD124*VLOOKUP('Données projet'!$B$13,Paramètres!$A$1:$I$89,3,0)*0.475*44/12</f>
        <v>14.860061076981482</v>
      </c>
      <c r="DH124" s="21">
        <f>EXP(-LN(2)/2)*DH123+(1-EXP(-LN(2)/2))/(LN(2)/2)*DB124*DE124*VLOOKUP('Données projet'!$B$13,Paramètres!$A$1:$I$89,3,0)*0.475*44/12</f>
        <v>6.6010330318671238E-4</v>
      </c>
      <c r="DI124" s="22">
        <f t="shared" si="69"/>
        <v>120.95570337565803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6.8212102632969618E-13</v>
      </c>
      <c r="DP124" s="17">
        <f>DO124*VLOOKUP('Données projet'!$B$14,Paramètres!$A$1:$I$89,3,0)*VLOOKUP('Données projet'!$B$14,Paramètres!$A$1:$I$89,5,0)</f>
        <v>2.7489477361086753E-13</v>
      </c>
      <c r="DQ124" s="13">
        <f t="shared" si="97"/>
        <v>3.6711283554998768E-12</v>
      </c>
      <c r="DR124" s="20">
        <f t="shared" si="70"/>
        <v>6.8726569498678791E-12</v>
      </c>
      <c r="DS124" s="59">
        <f t="shared" si="71"/>
        <v>282.30289239219127</v>
      </c>
      <c r="DT124" s="59">
        <f ca="1">AVERAGE(OFFSET($DS$3,0,0,'Données projet'!$E$14+1,1))-AVERAGE(OFFSET($H$3,0,0,'Données projet'!$E$14+1,1))</f>
        <v>419.35339339286082</v>
      </c>
      <c r="DU124" s="59">
        <f t="shared" si="98"/>
        <v>359.03308141414709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118.22349915427014</v>
      </c>
      <c r="EB124" s="21">
        <f>EXP(-LN(2)/25)*EB123+(1-EXP(-LN(2)/25))/(LN(2)/25)*Calculateur!DW124*Calculateur!DY124*VLOOKUP('Données projet'!$B$14,Paramètres!$A$1:$I$89,3,0)*0.475*44/12</f>
        <v>14.963734633724215</v>
      </c>
      <c r="EC124" s="21">
        <f>EXP(-LN(2)/2)*EC123+(1-EXP(-LN(2)/2))/(LN(2)/2)*DW124*DZ124*VLOOKUP('Données projet'!$B$14,Paramètres!$A$1:$I$89,3,0)*0.475*44/12</f>
        <v>2.3545408171950431E-5</v>
      </c>
      <c r="ED124" s="22">
        <f t="shared" si="72"/>
        <v>133.18725733340253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2.2737367544323206E-13</v>
      </c>
      <c r="EK124" s="17">
        <f>EJ124*VLOOKUP('Données projet'!$B$15,Paramètres!$A$1:$I$89,3,0)*VLOOKUP('Données projet'!$B$15,Paramètres!$A$1:$I$89,5,0)</f>
        <v>1.0049916454590858E-13</v>
      </c>
      <c r="EL124" s="13">
        <f t="shared" si="99"/>
        <v>1.5089081593838289E-12</v>
      </c>
      <c r="EM124" s="20">
        <f t="shared" si="73"/>
        <v>2.8030510891776262E-12</v>
      </c>
      <c r="EN124" s="59">
        <f t="shared" si="74"/>
        <v>282.30289239218718</v>
      </c>
      <c r="EO124" s="59">
        <f ca="1">AVERAGE(OFFSET($EN$3,0,0,'Données projet'!$E$15+1,1))-AVERAGE(OFFSET($H$3,0,0,'Données projet'!$E$15+1,1))</f>
        <v>561.50881628354409</v>
      </c>
      <c r="EP124" s="59">
        <f t="shared" si="100"/>
        <v>468.67708352238458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148.3484918480506</v>
      </c>
      <c r="EW124" s="21">
        <f>EXP(-LN(2)/25)*EW123+(1-EXP(-LN(2)/25))/(LN(2)/25)*Calculateur!ER124*Calculateur!ET124*VLOOKUP('Données projet'!$B$15,Paramètres!$A$1:$I$89,3,0)*0.475*44/12</f>
        <v>19.412872768065291</v>
      </c>
      <c r="EX124" s="21">
        <f>EXP(-LN(2)/2)*EX123+(1-EXP(-LN(2)/2))/(LN(2)/2)*ER124*EU124*VLOOKUP('Données projet'!$B$15,Paramètres!$A$1:$I$89,3,0)*0.475*44/12</f>
        <v>3.1203551471024546E-5</v>
      </c>
      <c r="EY124" s="22">
        <f t="shared" si="75"/>
        <v>167.76139581966734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5.1431925385259088E-14</v>
      </c>
      <c r="P125" s="13">
        <f t="shared" si="87"/>
        <v>8.3482866290946129E-13</v>
      </c>
      <c r="Q125" s="20">
        <f t="shared" si="107"/>
        <v>1.5435705246133045E-12</v>
      </c>
      <c r="R125" s="59">
        <f t="shared" si="55"/>
        <v>282.49424588214333</v>
      </c>
      <c r="S125" s="59">
        <f ca="1">AVERAGE(OFFSET($R$3,0,0,'Données projet'!$E$9+1,1))-AVERAGE(OFFSET($H$3,0,0,'Données projet'!$E$9+1,1))</f>
        <v>484.04602944257209</v>
      </c>
      <c r="T125" s="59">
        <f t="shared" si="88"/>
        <v>297.32483725004124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167.56245329917579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167.56245329917579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projet'!$B$10,Paramètres!$A$1:$I$89,3,0)*VLOOKUP('Données projet'!$B$10,Paramètres!$A$1:$I$89,5,0)</f>
        <v>-5.1786628318950535E-13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493.74122500490859</v>
      </c>
      <c r="AO125" s="59">
        <f t="shared" si="90"/>
        <v>299.43985151679692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150.47475724710733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150.47475724710733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364.64276939439014</v>
      </c>
      <c r="BJ125" s="59">
        <f t="shared" si="92"/>
        <v>341.7578598026638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57.642003638651467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57.642003638651467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3.4106051316484809E-13</v>
      </c>
      <c r="BZ125" s="13">
        <f>BY125*VLOOKUP('Données projet'!$B$12,Paramètres!$A$1:$I$89,3,0)*VLOOKUP('Données projet'!$B$12,Paramètres!$A$1:$I$89,5,0)</f>
        <v>2.0395418687257919E-13</v>
      </c>
      <c r="CA125" s="13">
        <f t="shared" si="93"/>
        <v>2.8200388570161721E-12</v>
      </c>
      <c r="CB125" s="20">
        <f t="shared" si="64"/>
        <v>5.2667878847729083E-12</v>
      </c>
      <c r="CC125" s="59">
        <f t="shared" si="65"/>
        <v>282.49424588214708</v>
      </c>
      <c r="CD125" s="59">
        <f ca="1">AVERAGE(OFFSET($CC$3,0,0,'Données projet'!$E$12+1,1))-AVERAGE(OFFSET($H$3,0,0,'Données projet'!$E$12+1,1))</f>
        <v>435.81281313761326</v>
      </c>
      <c r="CE125" s="59">
        <f t="shared" si="94"/>
        <v>460.93390058676493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75.362113060590019</v>
      </c>
      <c r="CL125" s="21">
        <f>EXP(-LN(2)/25)*CL124+(1-EXP(-LN(2)/25))/(LN(2)/25)*Calculateur!CG125*Calculateur!CI125*VLOOKUP('Données projet'!$B$12,Paramètres!$A$1:$I$89,3,0)*0.475*44/12</f>
        <v>10.69206638761194</v>
      </c>
      <c r="CM125" s="21">
        <f>EXP(-LN(2)/2)*CM124+(1-EXP(-LN(2)/2))/(LN(2)/2)*CG125*CJ125*VLOOKUP('Données projet'!$B$12,Paramètres!$A$1:$I$89,3,0)*0.475*44/12</f>
        <v>1.0281723707610849E-7</v>
      </c>
      <c r="CN125" s="22">
        <f t="shared" si="66"/>
        <v>86.054179551019203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379.16472924112111</v>
      </c>
      <c r="CZ125" s="59">
        <f t="shared" si="96"/>
        <v>273.18950868898253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104.01452430607149</v>
      </c>
      <c r="DG125" s="21">
        <f>EXP(-LN(2)/25)*DG124+(1-EXP(-LN(2)/25))/(LN(2)/25)*Calculateur!DB125*Calculateur!DD125*VLOOKUP('Données projet'!$B$13,Paramètres!$A$1:$I$89,3,0)*0.475*44/12</f>
        <v>14.453711925374774</v>
      </c>
      <c r="DH125" s="21">
        <f>EXP(-LN(2)/2)*DH124+(1-EXP(-LN(2)/2))/(LN(2)/2)*DB125*DE125*VLOOKUP('Données projet'!$B$13,Paramètres!$A$1:$I$89,3,0)*0.475*44/12</f>
        <v>4.6676352196696388E-4</v>
      </c>
      <c r="DI125" s="22">
        <f t="shared" si="69"/>
        <v>118.46870299496824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6.8212102632969618E-13</v>
      </c>
      <c r="DP125" s="17">
        <f>DO125*VLOOKUP('Données projet'!$B$14,Paramètres!$A$1:$I$89,3,0)*VLOOKUP('Données projet'!$B$14,Paramètres!$A$1:$I$89,5,0)</f>
        <v>2.7489477361086753E-13</v>
      </c>
      <c r="DQ125" s="13">
        <f t="shared" si="97"/>
        <v>3.6711283554998768E-12</v>
      </c>
      <c r="DR125" s="20">
        <f t="shared" si="70"/>
        <v>6.8726569498678791E-12</v>
      </c>
      <c r="DS125" s="59">
        <f t="shared" si="71"/>
        <v>282.49424588214868</v>
      </c>
      <c r="DT125" s="59">
        <f ca="1">AVERAGE(OFFSET($DS$3,0,0,'Données projet'!$E$14+1,1))-AVERAGE(OFFSET($H$3,0,0,'Données projet'!$E$14+1,1))</f>
        <v>419.35339339286082</v>
      </c>
      <c r="DU125" s="59">
        <f t="shared" si="98"/>
        <v>359.03308141414709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115.90520844506919</v>
      </c>
      <c r="EB125" s="21">
        <f>EXP(-LN(2)/25)*EB124+(1-EXP(-LN(2)/25))/(LN(2)/25)*Calculateur!DW125*Calculateur!DY125*VLOOKUP('Données projet'!$B$14,Paramètres!$A$1:$I$89,3,0)*0.475*44/12</f>
        <v>14.554550523256422</v>
      </c>
      <c r="EC125" s="21">
        <f>EXP(-LN(2)/2)*EC124+(1-EXP(-LN(2)/2))/(LN(2)/2)*DW125*DZ125*VLOOKUP('Données projet'!$B$14,Paramètres!$A$1:$I$89,3,0)*0.475*44/12</f>
        <v>1.6649117784191301E-5</v>
      </c>
      <c r="ED125" s="22">
        <f t="shared" si="72"/>
        <v>130.4597756174434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2.2737367544323206E-13</v>
      </c>
      <c r="EK125" s="17">
        <f>EJ125*VLOOKUP('Données projet'!$B$15,Paramètres!$A$1:$I$89,3,0)*VLOOKUP('Données projet'!$B$15,Paramètres!$A$1:$I$89,5,0)</f>
        <v>1.0049916454590858E-13</v>
      </c>
      <c r="EL125" s="13">
        <f t="shared" si="99"/>
        <v>1.5089081593838289E-12</v>
      </c>
      <c r="EM125" s="20">
        <f t="shared" si="73"/>
        <v>2.8030510891776262E-12</v>
      </c>
      <c r="EN125" s="59">
        <f t="shared" si="74"/>
        <v>282.49424588214458</v>
      </c>
      <c r="EO125" s="59">
        <f ca="1">AVERAGE(OFFSET($EN$3,0,0,'Données projet'!$E$15+1,1))-AVERAGE(OFFSET($H$3,0,0,'Données projet'!$E$15+1,1))</f>
        <v>561.50881628354409</v>
      </c>
      <c r="EP125" s="59">
        <f t="shared" si="100"/>
        <v>468.67708352238458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145.43946840655585</v>
      </c>
      <c r="EW125" s="21">
        <f>EXP(-LN(2)/25)*EW124+(1-EXP(-LN(2)/25))/(LN(2)/25)*Calculateur!ER125*Calculateur!ET125*VLOOKUP('Données projet'!$B$15,Paramètres!$A$1:$I$89,3,0)*0.475*44/12</f>
        <v>18.882026741343935</v>
      </c>
      <c r="EX125" s="21">
        <f>EXP(-LN(2)/2)*EX124+(1-EXP(-LN(2)/2))/(LN(2)/2)*ER125*EU125*VLOOKUP('Données projet'!$B$15,Paramètres!$A$1:$I$89,3,0)*0.475*44/12</f>
        <v>2.2064242842264927E-5</v>
      </c>
      <c r="EY125" s="22">
        <f t="shared" si="75"/>
        <v>164.32151721214262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5.1431925385259088E-14</v>
      </c>
      <c r="P126" s="13">
        <f t="shared" si="87"/>
        <v>8.3482866290946129E-13</v>
      </c>
      <c r="Q126" s="20">
        <f t="shared" si="107"/>
        <v>1.5435705246133045E-12</v>
      </c>
      <c r="R126" s="59">
        <f t="shared" si="55"/>
        <v>282.6822798168522</v>
      </c>
      <c r="S126" s="59">
        <f ca="1">AVERAGE(OFFSET($R$3,0,0,'Données projet'!$E$9+1,1))-AVERAGE(OFFSET($H$3,0,0,'Données projet'!$E$9+1,1))</f>
        <v>484.04602944257209</v>
      </c>
      <c r="T126" s="59">
        <f t="shared" si="88"/>
        <v>297.32483725004124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164.27665579298375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164.27665579298375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projet'!$B$10,Paramètres!$A$1:$I$89,3,0)*VLOOKUP('Données projet'!$B$10,Paramètres!$A$1:$I$89,5,0)</f>
        <v>-5.1786628318950535E-13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493.74122500490859</v>
      </c>
      <c r="AO126" s="59">
        <f t="shared" si="90"/>
        <v>299.43985151679692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147.52403903803091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147.52403903803091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364.64276939439014</v>
      </c>
      <c r="BJ126" s="59">
        <f t="shared" si="92"/>
        <v>341.7578598026638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56.511679105448152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56.511679105448152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3.4106051316484809E-13</v>
      </c>
      <c r="BZ126" s="13">
        <f>BY126*VLOOKUP('Données projet'!$B$12,Paramètres!$A$1:$I$89,3,0)*VLOOKUP('Données projet'!$B$12,Paramètres!$A$1:$I$89,5,0)</f>
        <v>2.0395418687257919E-13</v>
      </c>
      <c r="CA126" s="13">
        <f t="shared" si="93"/>
        <v>2.8200388570161721E-12</v>
      </c>
      <c r="CB126" s="20">
        <f t="shared" si="64"/>
        <v>5.2667878847729083E-12</v>
      </c>
      <c r="CC126" s="59">
        <f t="shared" si="65"/>
        <v>282.68227981685595</v>
      </c>
      <c r="CD126" s="59">
        <f ca="1">AVERAGE(OFFSET($CC$3,0,0,'Données projet'!$E$12+1,1))-AVERAGE(OFFSET($H$3,0,0,'Données projet'!$E$12+1,1))</f>
        <v>435.81281313761326</v>
      </c>
      <c r="CE126" s="59">
        <f t="shared" si="94"/>
        <v>460.93390058676493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73.88430798982202</v>
      </c>
      <c r="CL126" s="21">
        <f>EXP(-LN(2)/25)*CL125+(1-EXP(-LN(2)/25))/(LN(2)/25)*Calculateur!CG126*Calculateur!CI126*VLOOKUP('Données projet'!$B$12,Paramètres!$A$1:$I$89,3,0)*0.475*44/12</f>
        <v>10.399691269971356</v>
      </c>
      <c r="CM126" s="21">
        <f>EXP(-LN(2)/2)*CM125+(1-EXP(-LN(2)/2))/(LN(2)/2)*CG126*CJ126*VLOOKUP('Données projet'!$B$12,Paramètres!$A$1:$I$89,3,0)*0.475*44/12</f>
        <v>7.2702765559381227E-8</v>
      </c>
      <c r="CN126" s="22">
        <f t="shared" si="66"/>
        <v>84.283999332496137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379.16472924112111</v>
      </c>
      <c r="CZ126" s="59">
        <f t="shared" si="96"/>
        <v>273.18950868898253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101.97486292702482</v>
      </c>
      <c r="DG126" s="21">
        <f>EXP(-LN(2)/25)*DG125+(1-EXP(-LN(2)/25))/(LN(2)/25)*Calculateur!DB126*Calculateur!DD126*VLOOKUP('Données projet'!$B$13,Paramètres!$A$1:$I$89,3,0)*0.475*44/12</f>
        <v>14.058474412687726</v>
      </c>
      <c r="DH126" s="21">
        <f>EXP(-LN(2)/2)*DH125+(1-EXP(-LN(2)/2))/(LN(2)/2)*DB126*DE126*VLOOKUP('Données projet'!$B$13,Paramètres!$A$1:$I$89,3,0)*0.475*44/12</f>
        <v>3.3005165159335619E-4</v>
      </c>
      <c r="DI126" s="22">
        <f t="shared" si="69"/>
        <v>116.03366739136413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6.8212102632969618E-13</v>
      </c>
      <c r="DP126" s="17">
        <f>DO126*VLOOKUP('Données projet'!$B$14,Paramètres!$A$1:$I$89,3,0)*VLOOKUP('Données projet'!$B$14,Paramètres!$A$1:$I$89,5,0)</f>
        <v>2.7489477361086753E-13</v>
      </c>
      <c r="DQ126" s="13">
        <f t="shared" si="97"/>
        <v>3.6711283554998768E-12</v>
      </c>
      <c r="DR126" s="20">
        <f t="shared" si="70"/>
        <v>6.8726569498678791E-12</v>
      </c>
      <c r="DS126" s="59">
        <f t="shared" si="71"/>
        <v>282.68227981685754</v>
      </c>
      <c r="DT126" s="59">
        <f ca="1">AVERAGE(OFFSET($DS$3,0,0,'Données projet'!$E$14+1,1))-AVERAGE(OFFSET($H$3,0,0,'Données projet'!$E$14+1,1))</f>
        <v>419.35339339286082</v>
      </c>
      <c r="DU126" s="59">
        <f t="shared" si="98"/>
        <v>359.03308141414709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113.63237800265797</v>
      </c>
      <c r="EB126" s="21">
        <f>EXP(-LN(2)/25)*EB125+(1-EXP(-LN(2)/25))/(LN(2)/25)*Calculateur!DW126*Calculateur!DY126*VLOOKUP('Données projet'!$B$14,Paramètres!$A$1:$I$89,3,0)*0.475*44/12</f>
        <v>14.156555573807427</v>
      </c>
      <c r="EC126" s="21">
        <f>EXP(-LN(2)/2)*EC125+(1-EXP(-LN(2)/2))/(LN(2)/2)*DW126*DZ126*VLOOKUP('Données projet'!$B$14,Paramètres!$A$1:$I$89,3,0)*0.475*44/12</f>
        <v>1.1772704085975216E-5</v>
      </c>
      <c r="ED126" s="22">
        <f t="shared" si="72"/>
        <v>127.78894534916948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2.2737367544323206E-13</v>
      </c>
      <c r="EK126" s="17">
        <f>EJ126*VLOOKUP('Données projet'!$B$15,Paramètres!$A$1:$I$89,3,0)*VLOOKUP('Données projet'!$B$15,Paramètres!$A$1:$I$89,5,0)</f>
        <v>1.0049916454590858E-13</v>
      </c>
      <c r="EL126" s="13">
        <f t="shared" si="99"/>
        <v>1.5089081593838289E-12</v>
      </c>
      <c r="EM126" s="20">
        <f t="shared" si="73"/>
        <v>2.8030510891776262E-12</v>
      </c>
      <c r="EN126" s="59">
        <f t="shared" si="74"/>
        <v>282.68227981685345</v>
      </c>
      <c r="EO126" s="59">
        <f ca="1">AVERAGE(OFFSET($EN$3,0,0,'Données projet'!$E$15+1,1))-AVERAGE(OFFSET($H$3,0,0,'Données projet'!$E$15+1,1))</f>
        <v>561.50881628354409</v>
      </c>
      <c r="EP126" s="59">
        <f t="shared" si="100"/>
        <v>468.67708352238458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142.58748914041971</v>
      </c>
      <c r="EW126" s="21">
        <f>EXP(-LN(2)/25)*EW125+(1-EXP(-LN(2)/25))/(LN(2)/25)*Calculateur!ER126*Calculateur!ET126*VLOOKUP('Données projet'!$B$15,Paramètres!$A$1:$I$89,3,0)*0.475*44/12</f>
        <v>18.365696727139255</v>
      </c>
      <c r="EX126" s="21">
        <f>EXP(-LN(2)/2)*EX125+(1-EXP(-LN(2)/2))/(LN(2)/2)*ER126*EU126*VLOOKUP('Données projet'!$B$15,Paramètres!$A$1:$I$89,3,0)*0.475*44/12</f>
        <v>1.5601775735512273E-5</v>
      </c>
      <c r="EY126" s="22">
        <f t="shared" si="75"/>
        <v>160.95320146933472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5.1431925385259088E-14</v>
      </c>
      <c r="P127" s="13">
        <f t="shared" si="87"/>
        <v>8.3482866290946129E-13</v>
      </c>
      <c r="Q127" s="20">
        <f t="shared" si="107"/>
        <v>1.5435705246133045E-12</v>
      </c>
      <c r="R127" s="59">
        <f t="shared" si="55"/>
        <v>282.86705178317487</v>
      </c>
      <c r="S127" s="59">
        <f ca="1">AVERAGE(OFFSET($R$3,0,0,'Données projet'!$E$9+1,1))-AVERAGE(OFFSET($H$3,0,0,'Données projet'!$E$9+1,1))</f>
        <v>484.04602944257209</v>
      </c>
      <c r="T127" s="59">
        <f t="shared" si="88"/>
        <v>297.32483725004124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161.05529077174955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161.05529077174955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projet'!$B$10,Paramètres!$A$1:$I$89,3,0)*VLOOKUP('Données projet'!$B$10,Paramètres!$A$1:$I$89,5,0)</f>
        <v>-5.1786628318950535E-13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493.74122500490859</v>
      </c>
      <c r="AO127" s="59">
        <f t="shared" si="90"/>
        <v>299.43985151679692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144.63118261327406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144.63118261327406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364.64276939439014</v>
      </c>
      <c r="BJ127" s="59">
        <f t="shared" si="92"/>
        <v>341.7578598026638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55.403519546911063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55.403519546911063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3.4106051316484809E-13</v>
      </c>
      <c r="BZ127" s="13">
        <f>BY127*VLOOKUP('Données projet'!$B$12,Paramètres!$A$1:$I$89,3,0)*VLOOKUP('Données projet'!$B$12,Paramètres!$A$1:$I$89,5,0)</f>
        <v>2.0395418687257919E-13</v>
      </c>
      <c r="CA127" s="13">
        <f t="shared" si="93"/>
        <v>2.8200388570161721E-12</v>
      </c>
      <c r="CB127" s="20">
        <f t="shared" si="64"/>
        <v>5.2667878847729083E-12</v>
      </c>
      <c r="CC127" s="59">
        <f t="shared" si="65"/>
        <v>282.86705178317862</v>
      </c>
      <c r="CD127" s="59">
        <f ca="1">AVERAGE(OFFSET($CC$3,0,0,'Données projet'!$E$12+1,1))-AVERAGE(OFFSET($H$3,0,0,'Données projet'!$E$12+1,1))</f>
        <v>435.81281313761326</v>
      </c>
      <c r="CE127" s="59">
        <f t="shared" si="94"/>
        <v>460.93390058676493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72.435481775119683</v>
      </c>
      <c r="CL127" s="21">
        <f>EXP(-LN(2)/25)*CL126+(1-EXP(-LN(2)/25))/(LN(2)/25)*Calculateur!CG127*Calculateur!CI127*VLOOKUP('Données projet'!$B$12,Paramètres!$A$1:$I$89,3,0)*0.475*44/12</f>
        <v>10.115311165297994</v>
      </c>
      <c r="CM127" s="21">
        <f>EXP(-LN(2)/2)*CM126+(1-EXP(-LN(2)/2))/(LN(2)/2)*CG127*CJ127*VLOOKUP('Données projet'!$B$12,Paramètres!$A$1:$I$89,3,0)*0.475*44/12</f>
        <v>5.1408618538054245E-8</v>
      </c>
      <c r="CN127" s="22">
        <f t="shared" si="66"/>
        <v>82.550792991826299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379.16472924112111</v>
      </c>
      <c r="CZ127" s="59">
        <f t="shared" si="96"/>
        <v>273.18950868898253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99.97519806355065</v>
      </c>
      <c r="DG127" s="21">
        <f>EXP(-LN(2)/25)*DG126+(1-EXP(-LN(2)/25))/(LN(2)/25)*Calculateur!DB127*Calculateur!DD127*VLOOKUP('Données projet'!$B$13,Paramètres!$A$1:$I$89,3,0)*0.475*44/12</f>
        <v>13.674044690569742</v>
      </c>
      <c r="DH127" s="21">
        <f>EXP(-LN(2)/2)*DH126+(1-EXP(-LN(2)/2))/(LN(2)/2)*DB127*DE127*VLOOKUP('Données projet'!$B$13,Paramètres!$A$1:$I$89,3,0)*0.475*44/12</f>
        <v>2.3338176098348194E-4</v>
      </c>
      <c r="DI127" s="22">
        <f t="shared" si="69"/>
        <v>113.64947613588137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6.8212102632969618E-13</v>
      </c>
      <c r="DP127" s="17">
        <f>DO127*VLOOKUP('Données projet'!$B$14,Paramètres!$A$1:$I$89,3,0)*VLOOKUP('Données projet'!$B$14,Paramètres!$A$1:$I$89,5,0)</f>
        <v>2.7489477361086753E-13</v>
      </c>
      <c r="DQ127" s="13">
        <f t="shared" si="97"/>
        <v>3.6711283554998768E-12</v>
      </c>
      <c r="DR127" s="20">
        <f t="shared" si="70"/>
        <v>6.8726569498678791E-12</v>
      </c>
      <c r="DS127" s="59">
        <f t="shared" si="71"/>
        <v>282.86705178318022</v>
      </c>
      <c r="DT127" s="59">
        <f ca="1">AVERAGE(OFFSET($DS$3,0,0,'Données projet'!$E$14+1,1))-AVERAGE(OFFSET($H$3,0,0,'Données projet'!$E$14+1,1))</f>
        <v>419.35339339286082</v>
      </c>
      <c r="DU127" s="59">
        <f t="shared" si="98"/>
        <v>359.03308141414709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111.40411637893274</v>
      </c>
      <c r="EB127" s="21">
        <f>EXP(-LN(2)/25)*EB126+(1-EXP(-LN(2)/25))/(LN(2)/25)*Calculateur!DW127*Calculateur!DY127*VLOOKUP('Données projet'!$B$14,Paramètres!$A$1:$I$89,3,0)*0.475*44/12</f>
        <v>13.769443817180761</v>
      </c>
      <c r="EC127" s="21">
        <f>EXP(-LN(2)/2)*EC126+(1-EXP(-LN(2)/2))/(LN(2)/2)*DW127*DZ127*VLOOKUP('Données projet'!$B$14,Paramètres!$A$1:$I$89,3,0)*0.475*44/12</f>
        <v>8.3245588920956506E-6</v>
      </c>
      <c r="ED127" s="22">
        <f t="shared" si="72"/>
        <v>125.17356852067239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2.2737367544323206E-13</v>
      </c>
      <c r="EK127" s="17">
        <f>EJ127*VLOOKUP('Données projet'!$B$15,Paramètres!$A$1:$I$89,3,0)*VLOOKUP('Données projet'!$B$15,Paramètres!$A$1:$I$89,5,0)</f>
        <v>1.0049916454590858E-13</v>
      </c>
      <c r="EL127" s="13">
        <f t="shared" si="99"/>
        <v>1.5089081593838289E-12</v>
      </c>
      <c r="EM127" s="20">
        <f t="shared" si="73"/>
        <v>2.8030510891776262E-12</v>
      </c>
      <c r="EN127" s="59">
        <f t="shared" si="74"/>
        <v>282.86705178317612</v>
      </c>
      <c r="EO127" s="59">
        <f ca="1">AVERAGE(OFFSET($EN$3,0,0,'Données projet'!$E$15+1,1))-AVERAGE(OFFSET($H$3,0,0,'Données projet'!$E$15+1,1))</f>
        <v>561.50881628354409</v>
      </c>
      <c r="EP127" s="59">
        <f t="shared" si="100"/>
        <v>468.67708352238458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139.7914354481569</v>
      </c>
      <c r="EW127" s="21">
        <f>EXP(-LN(2)/25)*EW126+(1-EXP(-LN(2)/25))/(LN(2)/25)*Calculateur!ER127*Calculateur!ET127*VLOOKUP('Données projet'!$B$15,Paramètres!$A$1:$I$89,3,0)*0.475*44/12</f>
        <v>17.863485784325619</v>
      </c>
      <c r="EX127" s="21">
        <f>EXP(-LN(2)/2)*EX126+(1-EXP(-LN(2)/2))/(LN(2)/2)*ER127*EU127*VLOOKUP('Données projet'!$B$15,Paramètres!$A$1:$I$89,3,0)*0.475*44/12</f>
        <v>1.1032121421132464E-5</v>
      </c>
      <c r="EY127" s="22">
        <f t="shared" si="75"/>
        <v>157.65493226460396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5.1431925385259088E-14</v>
      </c>
      <c r="P128" s="13">
        <f t="shared" si="87"/>
        <v>8.3482866290946129E-13</v>
      </c>
      <c r="Q128" s="20">
        <f t="shared" si="107"/>
        <v>1.5435705246133045E-12</v>
      </c>
      <c r="R128" s="59">
        <f t="shared" si="55"/>
        <v>283.04861836897004</v>
      </c>
      <c r="S128" s="59">
        <f ca="1">AVERAGE(OFFSET($R$3,0,0,'Données projet'!$E$9+1,1))-AVERAGE(OFFSET($H$3,0,0,'Données projet'!$E$9+1,1))</f>
        <v>484.04602944257209</v>
      </c>
      <c r="T128" s="59">
        <f t="shared" si="88"/>
        <v>297.32483725004124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157.89709475374312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157.89709475374312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projet'!$B$10,Paramètres!$A$1:$I$89,3,0)*VLOOKUP('Données projet'!$B$10,Paramètres!$A$1:$I$89,5,0)</f>
        <v>-5.1786628318950535E-13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493.74122500490859</v>
      </c>
      <c r="AO128" s="59">
        <f t="shared" si="90"/>
        <v>299.43985151679692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141.79505333853851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141.79505333853851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364.64276939439014</v>
      </c>
      <c r="BJ128" s="59">
        <f t="shared" si="92"/>
        <v>341.7578598026638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54.317090321406297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54.317090321406297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3.4106051316484809E-13</v>
      </c>
      <c r="BZ128" s="13">
        <f>BY128*VLOOKUP('Données projet'!$B$12,Paramètres!$A$1:$I$89,3,0)*VLOOKUP('Données projet'!$B$12,Paramètres!$A$1:$I$89,5,0)</f>
        <v>2.0395418687257919E-13</v>
      </c>
      <c r="CA128" s="13">
        <f t="shared" si="93"/>
        <v>2.8200388570161721E-12</v>
      </c>
      <c r="CB128" s="20">
        <f t="shared" si="64"/>
        <v>5.2667878847729083E-12</v>
      </c>
      <c r="CC128" s="59">
        <f t="shared" si="65"/>
        <v>283.04861836897379</v>
      </c>
      <c r="CD128" s="59">
        <f ca="1">AVERAGE(OFFSET($CC$3,0,0,'Données projet'!$E$12+1,1))-AVERAGE(OFFSET($H$3,0,0,'Données projet'!$E$12+1,1))</f>
        <v>435.81281313761326</v>
      </c>
      <c r="CE128" s="59">
        <f t="shared" si="94"/>
        <v>460.93390058676493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71.01506615879093</v>
      </c>
      <c r="CL128" s="21">
        <f>EXP(-LN(2)/25)*CL127+(1-EXP(-LN(2)/25))/(LN(2)/25)*Calculateur!CG128*Calculateur!CI128*VLOOKUP('Données projet'!$B$12,Paramètres!$A$1:$I$89,3,0)*0.475*44/12</f>
        <v>9.8387074495418254</v>
      </c>
      <c r="CM128" s="21">
        <f>EXP(-LN(2)/2)*CM127+(1-EXP(-LN(2)/2))/(LN(2)/2)*CG128*CJ128*VLOOKUP('Données projet'!$B$12,Paramètres!$A$1:$I$89,3,0)*0.475*44/12</f>
        <v>3.6351382779690614E-8</v>
      </c>
      <c r="CN128" s="22">
        <f t="shared" si="66"/>
        <v>80.853773644684139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379.16472924112111</v>
      </c>
      <c r="CZ128" s="59">
        <f t="shared" si="96"/>
        <v>273.18950868898253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98.014745408374083</v>
      </c>
      <c r="DG128" s="21">
        <f>EXP(-LN(2)/25)*DG127+(1-EXP(-LN(2)/25))/(LN(2)/25)*Calculateur!DB128*Calculateur!DD128*VLOOKUP('Données projet'!$B$13,Paramètres!$A$1:$I$89,3,0)*0.475*44/12</f>
        <v>13.300127219419355</v>
      </c>
      <c r="DH128" s="21">
        <f>EXP(-LN(2)/2)*DH127+(1-EXP(-LN(2)/2))/(LN(2)/2)*DB128*DE128*VLOOKUP('Données projet'!$B$13,Paramètres!$A$1:$I$89,3,0)*0.475*44/12</f>
        <v>1.650258257966781E-4</v>
      </c>
      <c r="DI128" s="22">
        <f t="shared" si="69"/>
        <v>111.31503765361923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6.8212102632969618E-13</v>
      </c>
      <c r="DP128" s="17">
        <f>DO128*VLOOKUP('Données projet'!$B$14,Paramètres!$A$1:$I$89,3,0)*VLOOKUP('Données projet'!$B$14,Paramètres!$A$1:$I$89,5,0)</f>
        <v>2.7489477361086753E-13</v>
      </c>
      <c r="DQ128" s="13">
        <f t="shared" si="97"/>
        <v>3.6711283554998768E-12</v>
      </c>
      <c r="DR128" s="20">
        <f t="shared" si="70"/>
        <v>6.8726569498678791E-12</v>
      </c>
      <c r="DS128" s="59">
        <f t="shared" si="71"/>
        <v>283.04861836897538</v>
      </c>
      <c r="DT128" s="59">
        <f ca="1">AVERAGE(OFFSET($DS$3,0,0,'Données projet'!$E$14+1,1))-AVERAGE(OFFSET($H$3,0,0,'Données projet'!$E$14+1,1))</f>
        <v>419.35339339286082</v>
      </c>
      <c r="DU128" s="59">
        <f t="shared" si="98"/>
        <v>359.03308141414709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109.21954960654338</v>
      </c>
      <c r="EB128" s="21">
        <f>EXP(-LN(2)/25)*EB127+(1-EXP(-LN(2)/25))/(LN(2)/25)*Calculateur!DW128*Calculateur!DY128*VLOOKUP('Données projet'!$B$14,Paramètres!$A$1:$I$89,3,0)*0.475*44/12</f>
        <v>13.392917651896374</v>
      </c>
      <c r="EC128" s="21">
        <f>EXP(-LN(2)/2)*EC127+(1-EXP(-LN(2)/2))/(LN(2)/2)*DW128*DZ128*VLOOKUP('Données projet'!$B$14,Paramètres!$A$1:$I$89,3,0)*0.475*44/12</f>
        <v>5.8863520429876078E-6</v>
      </c>
      <c r="ED128" s="22">
        <f t="shared" si="72"/>
        <v>122.61247314479179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2.2737367544323206E-13</v>
      </c>
      <c r="EK128" s="17">
        <f>EJ128*VLOOKUP('Données projet'!$B$15,Paramètres!$A$1:$I$89,3,0)*VLOOKUP('Données projet'!$B$15,Paramètres!$A$1:$I$89,5,0)</f>
        <v>1.0049916454590858E-13</v>
      </c>
      <c r="EL128" s="13">
        <f t="shared" si="99"/>
        <v>1.5089081593838289E-12</v>
      </c>
      <c r="EM128" s="20">
        <f t="shared" si="73"/>
        <v>2.8030510891776262E-12</v>
      </c>
      <c r="EN128" s="59">
        <f t="shared" si="74"/>
        <v>283.04861836897129</v>
      </c>
      <c r="EO128" s="59">
        <f ca="1">AVERAGE(OFFSET($EN$3,0,0,'Données projet'!$E$15+1,1))-AVERAGE(OFFSET($H$3,0,0,'Données projet'!$E$15+1,1))</f>
        <v>561.50881628354409</v>
      </c>
      <c r="EP128" s="59">
        <f t="shared" si="100"/>
        <v>468.67708352238458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137.05021066337503</v>
      </c>
      <c r="EW128" s="21">
        <f>EXP(-LN(2)/25)*EW127+(1-EXP(-LN(2)/25))/(LN(2)/25)*Calculateur!ER128*Calculateur!ET128*VLOOKUP('Données projet'!$B$15,Paramètres!$A$1:$I$89,3,0)*0.475*44/12</f>
        <v>17.375007826153343</v>
      </c>
      <c r="EX128" s="21">
        <f>EXP(-LN(2)/2)*EX127+(1-EXP(-LN(2)/2))/(LN(2)/2)*ER128*EU128*VLOOKUP('Données projet'!$B$15,Paramètres!$A$1:$I$89,3,0)*0.475*44/12</f>
        <v>7.8008878677561364E-6</v>
      </c>
      <c r="EY128" s="22">
        <f t="shared" si="75"/>
        <v>154.42522629041622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5.1431925385259088E-14</v>
      </c>
      <c r="P129" s="13">
        <f t="shared" si="87"/>
        <v>8.3482866290946129E-13</v>
      </c>
      <c r="Q129" s="20">
        <f t="shared" si="107"/>
        <v>1.5435705246133045E-12</v>
      </c>
      <c r="R129" s="59">
        <f t="shared" si="55"/>
        <v>283.22703518042374</v>
      </c>
      <c r="S129" s="59">
        <f ca="1">AVERAGE(OFFSET($R$3,0,0,'Données projet'!$E$9+1,1))-AVERAGE(OFFSET($H$3,0,0,'Données projet'!$E$9+1,1))</f>
        <v>484.04602944257209</v>
      </c>
      <c r="T129" s="59">
        <f t="shared" si="88"/>
        <v>297.32483725004124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154.80082903334042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154.80082903334042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projet'!$B$10,Paramètres!$A$1:$I$89,3,0)*VLOOKUP('Données projet'!$B$10,Paramètres!$A$1:$I$89,5,0)</f>
        <v>-5.1786628318950535E-13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493.74122500490859</v>
      </c>
      <c r="AO129" s="59">
        <f t="shared" si="90"/>
        <v>299.43985151679692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139.01453882901248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139.01453882901248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364.64276939439014</v>
      </c>
      <c r="BJ129" s="59">
        <f t="shared" si="92"/>
        <v>341.7578598026638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53.251965310357285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53.251965310357285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3.4106051316484809E-13</v>
      </c>
      <c r="BZ129" s="13">
        <f>BY129*VLOOKUP('Données projet'!$B$12,Paramètres!$A$1:$I$89,3,0)*VLOOKUP('Données projet'!$B$12,Paramètres!$A$1:$I$89,5,0)</f>
        <v>2.0395418687257919E-13</v>
      </c>
      <c r="CA129" s="13">
        <f t="shared" si="93"/>
        <v>2.8200388570161721E-12</v>
      </c>
      <c r="CB129" s="20">
        <f t="shared" si="64"/>
        <v>5.2667878847729083E-12</v>
      </c>
      <c r="CC129" s="59">
        <f t="shared" si="65"/>
        <v>283.22703518042749</v>
      </c>
      <c r="CD129" s="59">
        <f ca="1">AVERAGE(OFFSET($CC$3,0,0,'Données projet'!$E$12+1,1))-AVERAGE(OFFSET($H$3,0,0,'Données projet'!$E$12+1,1))</f>
        <v>435.81281313761326</v>
      </c>
      <c r="CE129" s="59">
        <f t="shared" si="94"/>
        <v>460.93390058676493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69.622504026330404</v>
      </c>
      <c r="CL129" s="21">
        <f>EXP(-LN(2)/25)*CL128+(1-EXP(-LN(2)/25))/(LN(2)/25)*Calculateur!CG129*Calculateur!CI129*VLOOKUP('Données projet'!$B$12,Paramètres!$A$1:$I$89,3,0)*0.475*44/12</f>
        <v>9.5696674769389656</v>
      </c>
      <c r="CM129" s="21">
        <f>EXP(-LN(2)/2)*CM128+(1-EXP(-LN(2)/2))/(LN(2)/2)*CG129*CJ129*VLOOKUP('Données projet'!$B$12,Paramètres!$A$1:$I$89,3,0)*0.475*44/12</f>
        <v>2.5704309269027123E-8</v>
      </c>
      <c r="CN129" s="22">
        <f t="shared" si="66"/>
        <v>79.192171528973674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379.16472924112111</v>
      </c>
      <c r="CZ129" s="59">
        <f t="shared" si="96"/>
        <v>273.18950868898253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96.092736034007473</v>
      </c>
      <c r="DG129" s="21">
        <f>EXP(-LN(2)/25)*DG128+(1-EXP(-LN(2)/25))/(LN(2)/25)*Calculateur!DB129*Calculateur!DD129*VLOOKUP('Données projet'!$B$13,Paramètres!$A$1:$I$89,3,0)*0.475*44/12</f>
        <v>12.93643454118104</v>
      </c>
      <c r="DH129" s="21">
        <f>EXP(-LN(2)/2)*DH128+(1-EXP(-LN(2)/2))/(LN(2)/2)*DB129*DE129*VLOOKUP('Données projet'!$B$13,Paramètres!$A$1:$I$89,3,0)*0.475*44/12</f>
        <v>1.1669088049174097E-4</v>
      </c>
      <c r="DI129" s="22">
        <f t="shared" si="69"/>
        <v>109.02928726606901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6.8212102632969618E-13</v>
      </c>
      <c r="DP129" s="17">
        <f>DO129*VLOOKUP('Données projet'!$B$14,Paramètres!$A$1:$I$89,3,0)*VLOOKUP('Données projet'!$B$14,Paramètres!$A$1:$I$89,5,0)</f>
        <v>2.7489477361086753E-13</v>
      </c>
      <c r="DQ129" s="13">
        <f t="shared" si="97"/>
        <v>3.6711283554998768E-12</v>
      </c>
      <c r="DR129" s="20">
        <f t="shared" si="70"/>
        <v>6.8726569498678791E-12</v>
      </c>
      <c r="DS129" s="59">
        <f t="shared" si="71"/>
        <v>283.22703518042908</v>
      </c>
      <c r="DT129" s="59">
        <f ca="1">AVERAGE(OFFSET($DS$3,0,0,'Données projet'!$E$14+1,1))-AVERAGE(OFFSET($H$3,0,0,'Données projet'!$E$14+1,1))</f>
        <v>419.35339339286082</v>
      </c>
      <c r="DU129" s="59">
        <f t="shared" si="98"/>
        <v>359.03308141414709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107.07782085610641</v>
      </c>
      <c r="EB129" s="21">
        <f>EXP(-LN(2)/25)*EB128+(1-EXP(-LN(2)/25))/(LN(2)/25)*Calculateur!DW129*Calculateur!DY129*VLOOKUP('Données projet'!$B$14,Paramètres!$A$1:$I$89,3,0)*0.475*44/12</f>
        <v>13.026687614402338</v>
      </c>
      <c r="EC129" s="21">
        <f>EXP(-LN(2)/2)*EC128+(1-EXP(-LN(2)/2))/(LN(2)/2)*DW129*DZ129*VLOOKUP('Données projet'!$B$14,Paramètres!$A$1:$I$89,3,0)*0.475*44/12</f>
        <v>4.1622794460478253E-6</v>
      </c>
      <c r="ED129" s="22">
        <f t="shared" si="72"/>
        <v>120.1045126327882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2.2737367544323206E-13</v>
      </c>
      <c r="EK129" s="17">
        <f>EJ129*VLOOKUP('Données projet'!$B$15,Paramètres!$A$1:$I$89,3,0)*VLOOKUP('Données projet'!$B$15,Paramètres!$A$1:$I$89,5,0)</f>
        <v>1.0049916454590858E-13</v>
      </c>
      <c r="EL129" s="13">
        <f t="shared" si="99"/>
        <v>1.5089081593838289E-12</v>
      </c>
      <c r="EM129" s="20">
        <f t="shared" si="73"/>
        <v>2.8030510891776262E-12</v>
      </c>
      <c r="EN129" s="59">
        <f t="shared" si="74"/>
        <v>283.22703518042499</v>
      </c>
      <c r="EO129" s="59">
        <f ca="1">AVERAGE(OFFSET($EN$3,0,0,'Données projet'!$E$15+1,1))-AVERAGE(OFFSET($H$3,0,0,'Données projet'!$E$15+1,1))</f>
        <v>561.50881628354409</v>
      </c>
      <c r="EP129" s="59">
        <f t="shared" si="100"/>
        <v>468.67708352238458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134.36273962464068</v>
      </c>
      <c r="EW129" s="21">
        <f>EXP(-LN(2)/25)*EW128+(1-EXP(-LN(2)/25))/(LN(2)/25)*Calculateur!ER129*Calculateur!ET129*VLOOKUP('Données projet'!$B$15,Paramètres!$A$1:$I$89,3,0)*0.475*44/12</f>
        <v>16.89988732343523</v>
      </c>
      <c r="EX129" s="21">
        <f>EXP(-LN(2)/2)*EX128+(1-EXP(-LN(2)/2))/(LN(2)/2)*ER129*EU129*VLOOKUP('Données projet'!$B$15,Paramètres!$A$1:$I$89,3,0)*0.475*44/12</f>
        <v>5.5160607105662318E-6</v>
      </c>
      <c r="EY129" s="22">
        <f t="shared" si="75"/>
        <v>151.26263246413663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5.1431925385259088E-14</v>
      </c>
      <c r="P130" s="13">
        <f t="shared" si="87"/>
        <v>8.3482866290946129E-13</v>
      </c>
      <c r="Q130" s="20">
        <f t="shared" si="107"/>
        <v>1.5435705246133045E-12</v>
      </c>
      <c r="R130" s="59">
        <f t="shared" si="55"/>
        <v>283.40235685907896</v>
      </c>
      <c r="S130" s="59">
        <f ca="1">AVERAGE(OFFSET($R$3,0,0,'Données projet'!$E$9+1,1))-AVERAGE(OFFSET($H$3,0,0,'Données projet'!$E$9+1,1))</f>
        <v>484.04602944257209</v>
      </c>
      <c r="T130" s="59">
        <f t="shared" si="88"/>
        <v>297.32483725004124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151.7652791951792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151.7652791951792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projet'!$B$10,Paramètres!$A$1:$I$89,3,0)*VLOOKUP('Données projet'!$B$10,Paramètres!$A$1:$I$89,5,0)</f>
        <v>-5.1786628318950535E-13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493.74122500490859</v>
      </c>
      <c r="AO130" s="59">
        <f t="shared" si="90"/>
        <v>299.43985151679692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136.28854851307187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136.28854851307187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364.64276939439014</v>
      </c>
      <c r="BJ130" s="59">
        <f t="shared" si="92"/>
        <v>341.7578598026638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52.207726751112837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52.207726751112837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3.4106051316484809E-13</v>
      </c>
      <c r="BZ130" s="13">
        <f>BY130*VLOOKUP('Données projet'!$B$12,Paramètres!$A$1:$I$89,3,0)*VLOOKUP('Données projet'!$B$12,Paramètres!$A$1:$I$89,5,0)</f>
        <v>2.0395418687257919E-13</v>
      </c>
      <c r="CA130" s="13">
        <f t="shared" si="93"/>
        <v>2.8200388570161721E-12</v>
      </c>
      <c r="CB130" s="20">
        <f t="shared" si="64"/>
        <v>5.2667878847729083E-12</v>
      </c>
      <c r="CC130" s="59">
        <f t="shared" si="65"/>
        <v>283.40235685908272</v>
      </c>
      <c r="CD130" s="59">
        <f ca="1">AVERAGE(OFFSET($CC$3,0,0,'Données projet'!$E$12+1,1))-AVERAGE(OFFSET($H$3,0,0,'Données projet'!$E$12+1,1))</f>
        <v>435.81281313761326</v>
      </c>
      <c r="CE130" s="59">
        <f t="shared" si="94"/>
        <v>460.93390058676493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68.2572491879084</v>
      </c>
      <c r="CL130" s="21">
        <f>EXP(-LN(2)/25)*CL129+(1-EXP(-LN(2)/25))/(LN(2)/25)*Calculateur!CG130*Calculateur!CI130*VLOOKUP('Données projet'!$B$12,Paramètres!$A$1:$I$89,3,0)*0.475*44/12</f>
        <v>9.3079844165351293</v>
      </c>
      <c r="CM130" s="21">
        <f>EXP(-LN(2)/2)*CM129+(1-EXP(-LN(2)/2))/(LN(2)/2)*CG130*CJ130*VLOOKUP('Données projet'!$B$12,Paramètres!$A$1:$I$89,3,0)*0.475*44/12</f>
        <v>1.8175691389845307E-8</v>
      </c>
      <c r="CN130" s="22">
        <f t="shared" si="66"/>
        <v>77.565233622619232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379.16472924112111</v>
      </c>
      <c r="CZ130" s="59">
        <f t="shared" si="96"/>
        <v>273.18950868898253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94.208416091162235</v>
      </c>
      <c r="DG130" s="21">
        <f>EXP(-LN(2)/25)*DG129+(1-EXP(-LN(2)/25))/(LN(2)/25)*Calculateur!DB130*Calculateur!DD130*VLOOKUP('Données projet'!$B$13,Paramètres!$A$1:$I$89,3,0)*0.475*44/12</f>
        <v>12.582687058354919</v>
      </c>
      <c r="DH130" s="21">
        <f>EXP(-LN(2)/2)*DH129+(1-EXP(-LN(2)/2))/(LN(2)/2)*DB130*DE130*VLOOKUP('Données projet'!$B$13,Paramètres!$A$1:$I$89,3,0)*0.475*44/12</f>
        <v>8.2512912898339048E-5</v>
      </c>
      <c r="DI130" s="22">
        <f t="shared" si="69"/>
        <v>106.79118566243005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6.8212102632969618E-13</v>
      </c>
      <c r="DP130" s="17">
        <f>DO130*VLOOKUP('Données projet'!$B$14,Paramètres!$A$1:$I$89,3,0)*VLOOKUP('Données projet'!$B$14,Paramètres!$A$1:$I$89,5,0)</f>
        <v>2.7489477361086753E-13</v>
      </c>
      <c r="DQ130" s="13">
        <f t="shared" si="97"/>
        <v>3.6711283554998768E-12</v>
      </c>
      <c r="DR130" s="20">
        <f t="shared" si="70"/>
        <v>6.8726569498678791E-12</v>
      </c>
      <c r="DS130" s="59">
        <f t="shared" si="71"/>
        <v>283.40235685908431</v>
      </c>
      <c r="DT130" s="59">
        <f ca="1">AVERAGE(OFFSET($DS$3,0,0,'Données projet'!$E$14+1,1))-AVERAGE(OFFSET($H$3,0,0,'Données projet'!$E$14+1,1))</f>
        <v>419.35339339286082</v>
      </c>
      <c r="DU130" s="59">
        <f t="shared" si="98"/>
        <v>359.03308141414709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104.97809010013997</v>
      </c>
      <c r="EB130" s="21">
        <f>EXP(-LN(2)/25)*EB129+(1-EXP(-LN(2)/25))/(LN(2)/25)*Calculateur!DW130*Calculateur!DY130*VLOOKUP('Données projet'!$B$14,Paramètres!$A$1:$I$89,3,0)*0.475*44/12</f>
        <v>12.670472156542777</v>
      </c>
      <c r="EC130" s="21">
        <f>EXP(-LN(2)/2)*EC129+(1-EXP(-LN(2)/2))/(LN(2)/2)*DW130*DZ130*VLOOKUP('Données projet'!$B$14,Paramètres!$A$1:$I$89,3,0)*0.475*44/12</f>
        <v>2.9431760214938039E-6</v>
      </c>
      <c r="ED130" s="22">
        <f t="shared" si="72"/>
        <v>117.64856519985877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2.2737367544323206E-13</v>
      </c>
      <c r="EK130" s="17">
        <f>EJ130*VLOOKUP('Données projet'!$B$15,Paramètres!$A$1:$I$89,3,0)*VLOOKUP('Données projet'!$B$15,Paramètres!$A$1:$I$89,5,0)</f>
        <v>1.0049916454590858E-13</v>
      </c>
      <c r="EL130" s="13">
        <f t="shared" si="99"/>
        <v>1.5089081593838289E-12</v>
      </c>
      <c r="EM130" s="20">
        <f t="shared" si="73"/>
        <v>2.8030510891776262E-12</v>
      </c>
      <c r="EN130" s="59">
        <f t="shared" si="74"/>
        <v>283.40235685908021</v>
      </c>
      <c r="EO130" s="59">
        <f ca="1">AVERAGE(OFFSET($EN$3,0,0,'Données projet'!$E$15+1,1))-AVERAGE(OFFSET($H$3,0,0,'Données projet'!$E$15+1,1))</f>
        <v>561.50881628354409</v>
      </c>
      <c r="EP130" s="59">
        <f t="shared" si="100"/>
        <v>468.67708352238458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131.72796825378043</v>
      </c>
      <c r="EW130" s="21">
        <f>EXP(-LN(2)/25)*EW129+(1-EXP(-LN(2)/25))/(LN(2)/25)*Calculateur!ER130*Calculateur!ET130*VLOOKUP('Données projet'!$B$15,Paramètres!$A$1:$I$89,3,0)*0.475*44/12</f>
        <v>16.437759015849444</v>
      </c>
      <c r="EX130" s="21">
        <f>EXP(-LN(2)/2)*EX129+(1-EXP(-LN(2)/2))/(LN(2)/2)*ER130*EU130*VLOOKUP('Données projet'!$B$15,Paramètres!$A$1:$I$89,3,0)*0.475*44/12</f>
        <v>3.9004439338780682E-6</v>
      </c>
      <c r="EY130" s="22">
        <f t="shared" si="75"/>
        <v>148.16573117007383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5.1431925385259088E-14</v>
      </c>
      <c r="P131" s="13">
        <f t="shared" si="87"/>
        <v>8.3482866290946129E-13</v>
      </c>
      <c r="Q131" s="20">
        <f t="shared" ref="Q131:Q153" si="108">(O131+P131)*0.475*44/12</f>
        <v>1.5435705246133045E-12</v>
      </c>
      <c r="R131" s="59">
        <f t="shared" ref="R131:R194" si="109">Q131+(I131+J131)*44/12</f>
        <v>283.57463709857007</v>
      </c>
      <c r="S131" s="59">
        <f ca="1">AVERAGE(OFFSET($R$3,0,0,'Données projet'!$E$9+1,1))-AVERAGE(OFFSET($H$3,0,0,'Données projet'!$E$9+1,1))</f>
        <v>484.04602944257209</v>
      </c>
      <c r="T131" s="59">
        <f t="shared" si="88"/>
        <v>297.32483725004124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148.78925463784174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148.78925463784174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projet'!$B$10,Paramètres!$A$1:$I$89,3,0)*VLOOKUP('Données projet'!$B$10,Paramètres!$A$1:$I$89,5,0)</f>
        <v>-5.1786628318950535E-13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493.74122500490859</v>
      </c>
      <c r="AO131" s="59">
        <f t="shared" si="90"/>
        <v>299.43985151679692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133.61601320453693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133.61601320453693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364.64276939439014</v>
      </c>
      <c r="BJ131" s="59">
        <f t="shared" si="92"/>
        <v>341.7578598026638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51.183965073092544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51.183965073092544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3.4106051316484809E-13</v>
      </c>
      <c r="BZ131" s="13">
        <f>BY131*VLOOKUP('Données projet'!$B$12,Paramètres!$A$1:$I$89,3,0)*VLOOKUP('Données projet'!$B$12,Paramètres!$A$1:$I$89,5,0)</f>
        <v>2.0395418687257919E-13</v>
      </c>
      <c r="CA131" s="13">
        <f t="shared" si="93"/>
        <v>2.8200388570161721E-12</v>
      </c>
      <c r="CB131" s="20">
        <f t="shared" si="64"/>
        <v>5.2667878847729083E-12</v>
      </c>
      <c r="CC131" s="59">
        <f t="shared" si="65"/>
        <v>283.57463709857382</v>
      </c>
      <c r="CD131" s="59">
        <f ca="1">AVERAGE(OFFSET($CC$3,0,0,'Données projet'!$E$12+1,1))-AVERAGE(OFFSET($H$3,0,0,'Données projet'!$E$12+1,1))</f>
        <v>435.81281313761326</v>
      </c>
      <c r="CE131" s="59">
        <f t="shared" si="94"/>
        <v>460.93390058676493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66.918766164144628</v>
      </c>
      <c r="CL131" s="21">
        <f>EXP(-LN(2)/25)*CL130+(1-EXP(-LN(2)/25))/(LN(2)/25)*Calculateur!CG131*Calculateur!CI131*VLOOKUP('Données projet'!$B$12,Paramètres!$A$1:$I$89,3,0)*0.475*44/12</f>
        <v>9.0534570931793485</v>
      </c>
      <c r="CM131" s="21">
        <f>EXP(-LN(2)/2)*CM130+(1-EXP(-LN(2)/2))/(LN(2)/2)*CG131*CJ131*VLOOKUP('Données projet'!$B$12,Paramètres!$A$1:$I$89,3,0)*0.475*44/12</f>
        <v>1.2852154634513561E-8</v>
      </c>
      <c r="CN131" s="22">
        <f t="shared" si="66"/>
        <v>75.97222327017613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379.16472924112111</v>
      </c>
      <c r="CZ131" s="59">
        <f t="shared" si="96"/>
        <v>273.18950868898253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92.361046513074513</v>
      </c>
      <c r="DG131" s="21">
        <f>EXP(-LN(2)/25)*DG130+(1-EXP(-LN(2)/25))/(LN(2)/25)*Calculateur!DB131*Calculateur!DD131*VLOOKUP('Données projet'!$B$13,Paramètres!$A$1:$I$89,3,0)*0.475*44/12</f>
        <v>12.23861281904945</v>
      </c>
      <c r="DH131" s="21">
        <f>EXP(-LN(2)/2)*DH130+(1-EXP(-LN(2)/2))/(LN(2)/2)*DB131*DE131*VLOOKUP('Données projet'!$B$13,Paramètres!$A$1:$I$89,3,0)*0.475*44/12</f>
        <v>5.8345440245870485E-5</v>
      </c>
      <c r="DI131" s="22">
        <f t="shared" si="69"/>
        <v>104.59971767756421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6.8212102632969618E-13</v>
      </c>
      <c r="DP131" s="17">
        <f>DO131*VLOOKUP('Données projet'!$B$14,Paramètres!$A$1:$I$89,3,0)*VLOOKUP('Données projet'!$B$14,Paramètres!$A$1:$I$89,5,0)</f>
        <v>2.7489477361086753E-13</v>
      </c>
      <c r="DQ131" s="13">
        <f t="shared" si="97"/>
        <v>3.6711283554998768E-12</v>
      </c>
      <c r="DR131" s="20">
        <f t="shared" si="70"/>
        <v>6.8726569498678791E-12</v>
      </c>
      <c r="DS131" s="59">
        <f t="shared" si="71"/>
        <v>283.57463709857541</v>
      </c>
      <c r="DT131" s="59">
        <f ca="1">AVERAGE(OFFSET($DS$3,0,0,'Données projet'!$E$14+1,1))-AVERAGE(OFFSET($H$3,0,0,'Données projet'!$E$14+1,1))</f>
        <v>419.35339339286082</v>
      </c>
      <c r="DU131" s="59">
        <f t="shared" si="98"/>
        <v>359.03308141414709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102.91953378358872</v>
      </c>
      <c r="EB131" s="21">
        <f>EXP(-LN(2)/25)*EB130+(1-EXP(-LN(2)/25))/(LN(2)/25)*Calculateur!DW131*Calculateur!DY131*VLOOKUP('Données projet'!$B$14,Paramètres!$A$1:$I$89,3,0)*0.475*44/12</f>
        <v>12.323997429110943</v>
      </c>
      <c r="EC131" s="21">
        <f>EXP(-LN(2)/2)*EC130+(1-EXP(-LN(2)/2))/(LN(2)/2)*DW131*DZ131*VLOOKUP('Données projet'!$B$14,Paramètres!$A$1:$I$89,3,0)*0.475*44/12</f>
        <v>2.0811397230239127E-6</v>
      </c>
      <c r="ED131" s="22">
        <f t="shared" si="72"/>
        <v>115.24353329383939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2.2737367544323206E-13</v>
      </c>
      <c r="EK131" s="17">
        <f>EJ131*VLOOKUP('Données projet'!$B$15,Paramètres!$A$1:$I$89,3,0)*VLOOKUP('Données projet'!$B$15,Paramètres!$A$1:$I$89,5,0)</f>
        <v>1.0049916454590858E-13</v>
      </c>
      <c r="EL131" s="13">
        <f t="shared" si="99"/>
        <v>1.5089081593838289E-12</v>
      </c>
      <c r="EM131" s="20">
        <f t="shared" si="73"/>
        <v>2.8030510891776262E-12</v>
      </c>
      <c r="EN131" s="59">
        <f t="shared" si="74"/>
        <v>283.57463709857132</v>
      </c>
      <c r="EO131" s="59">
        <f ca="1">AVERAGE(OFFSET($EN$3,0,0,'Données projet'!$E$15+1,1))-AVERAGE(OFFSET($H$3,0,0,'Données projet'!$E$15+1,1))</f>
        <v>561.50881628354409</v>
      </c>
      <c r="EP131" s="59">
        <f t="shared" si="100"/>
        <v>468.67708352238458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129.1448631424509</v>
      </c>
      <c r="EW131" s="21">
        <f>EXP(-LN(2)/25)*EW130+(1-EXP(-LN(2)/25))/(LN(2)/25)*Calculateur!ER131*Calculateur!ET131*VLOOKUP('Données projet'!$B$15,Paramètres!$A$1:$I$89,3,0)*0.475*44/12</f>
        <v>15.988267631136864</v>
      </c>
      <c r="EX131" s="21">
        <f>EXP(-LN(2)/2)*EX130+(1-EXP(-LN(2)/2))/(LN(2)/2)*ER131*EU131*VLOOKUP('Données projet'!$B$15,Paramètres!$A$1:$I$89,3,0)*0.475*44/12</f>
        <v>2.7580303552831159E-6</v>
      </c>
      <c r="EY131" s="22">
        <f t="shared" si="75"/>
        <v>145.13313353161811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5.1431925385259088E-14</v>
      </c>
      <c r="P132" s="13">
        <f t="shared" si="87"/>
        <v>8.3482866290946129E-13</v>
      </c>
      <c r="Q132" s="20">
        <f t="shared" si="108"/>
        <v>1.5435705246133045E-12</v>
      </c>
      <c r="R132" s="59">
        <f t="shared" si="109"/>
        <v>283.74392866106689</v>
      </c>
      <c r="S132" s="59">
        <f ca="1">AVERAGE(OFFSET($R$3,0,0,'Données projet'!$E$9+1,1))-AVERAGE(OFFSET($H$3,0,0,'Données projet'!$E$9+1,1))</f>
        <v>484.04602944257209</v>
      </c>
      <c r="T132" s="59">
        <f t="shared" si="88"/>
        <v>297.32483725004124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145.87158810687794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145.87158810687794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projet'!$B$10,Paramètres!$A$1:$I$89,3,0)*VLOOKUP('Données projet'!$B$10,Paramètres!$A$1:$I$89,5,0)</f>
        <v>-5.1786628318950535E-13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493.74122500490859</v>
      </c>
      <c r="AO132" s="59">
        <f t="shared" si="90"/>
        <v>299.43985151679692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130.99588468331677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130.99588468331677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364.64276939439014</v>
      </c>
      <c r="BJ132" s="59">
        <f t="shared" si="92"/>
        <v>341.7578598026638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50.180278737145258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50.180278737145258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3.4106051316484809E-13</v>
      </c>
      <c r="BZ132" s="13">
        <f>BY132*VLOOKUP('Données projet'!$B$12,Paramètres!$A$1:$I$89,3,0)*VLOOKUP('Données projet'!$B$12,Paramètres!$A$1:$I$89,5,0)</f>
        <v>2.0395418687257919E-13</v>
      </c>
      <c r="CA132" s="13">
        <f t="shared" si="93"/>
        <v>2.8200388570161721E-12</v>
      </c>
      <c r="CB132" s="20">
        <f t="shared" ref="CB132:CB153" si="118">(BZ132+CA132)*0.475*44/12</f>
        <v>5.2667878847729083E-12</v>
      </c>
      <c r="CC132" s="59">
        <f t="shared" ref="CC132:CC195" si="119">CB132+(BT132+BU132)*44/12</f>
        <v>283.74392866107064</v>
      </c>
      <c r="CD132" s="59">
        <f ca="1">AVERAGE(OFFSET($CC$3,0,0,'Données projet'!$E$12+1,1))-AVERAGE(OFFSET($H$3,0,0,'Données projet'!$E$12+1,1))</f>
        <v>435.81281313761326</v>
      </c>
      <c r="CE132" s="59">
        <f t="shared" si="94"/>
        <v>460.93390058676493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65.606529976082825</v>
      </c>
      <c r="CL132" s="21">
        <f>EXP(-LN(2)/25)*CL131+(1-EXP(-LN(2)/25))/(LN(2)/25)*Calculateur!CG132*Calculateur!CI132*VLOOKUP('Données projet'!$B$12,Paramètres!$A$1:$I$89,3,0)*0.475*44/12</f>
        <v>8.8058898328657431</v>
      </c>
      <c r="CM132" s="21">
        <f>EXP(-LN(2)/2)*CM131+(1-EXP(-LN(2)/2))/(LN(2)/2)*CG132*CJ132*VLOOKUP('Données projet'!$B$12,Paramètres!$A$1:$I$89,3,0)*0.475*44/12</f>
        <v>9.0878456949226534E-9</v>
      </c>
      <c r="CN132" s="22">
        <f t="shared" ref="CN132:CN153" si="120">SUM(CK132:CM132)</f>
        <v>74.412419818036412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379.16472924112111</v>
      </c>
      <c r="CZ132" s="59">
        <f t="shared" si="96"/>
        <v>273.18950868898253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90.549902725628911</v>
      </c>
      <c r="DG132" s="21">
        <f>EXP(-LN(2)/25)*DG131+(1-EXP(-LN(2)/25))/(LN(2)/25)*Calculateur!DB132*Calculateur!DD132*VLOOKUP('Données projet'!$B$13,Paramètres!$A$1:$I$89,3,0)*0.475*44/12</f>
        <v>11.903947307911867</v>
      </c>
      <c r="DH132" s="21">
        <f>EXP(-LN(2)/2)*DH131+(1-EXP(-LN(2)/2))/(LN(2)/2)*DB132*DE132*VLOOKUP('Données projet'!$B$13,Paramètres!$A$1:$I$89,3,0)*0.475*44/12</f>
        <v>4.1256456449169524E-5</v>
      </c>
      <c r="DI132" s="22">
        <f t="shared" ref="DI132:DI153" si="123">SUM(DF132:DH132)</f>
        <v>102.45389128999723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6.8212102632969618E-13</v>
      </c>
      <c r="DP132" s="17">
        <f>DO132*VLOOKUP('Données projet'!$B$14,Paramètres!$A$1:$I$89,3,0)*VLOOKUP('Données projet'!$B$14,Paramètres!$A$1:$I$89,5,0)</f>
        <v>2.7489477361086753E-13</v>
      </c>
      <c r="DQ132" s="13">
        <f t="shared" si="97"/>
        <v>3.6711283554998768E-12</v>
      </c>
      <c r="DR132" s="20">
        <f t="shared" ref="DR132:DR153" si="124">(DP132+DQ132)*0.475*44/12</f>
        <v>6.8726569498678791E-12</v>
      </c>
      <c r="DS132" s="59">
        <f t="shared" ref="DS132:DS195" si="125">DR132+(DJ132+DK132)*44/12</f>
        <v>283.74392866107223</v>
      </c>
      <c r="DT132" s="59">
        <f ca="1">AVERAGE(OFFSET($DS$3,0,0,'Données projet'!$E$14+1,1))-AVERAGE(OFFSET($H$3,0,0,'Données projet'!$E$14+1,1))</f>
        <v>419.35339339286082</v>
      </c>
      <c r="DU132" s="59">
        <f t="shared" si="98"/>
        <v>359.03308141414709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100.90134450080966</v>
      </c>
      <c r="EB132" s="21">
        <f>EXP(-LN(2)/25)*EB131+(1-EXP(-LN(2)/25))/(LN(2)/25)*Calculateur!DW132*Calculateur!DY132*VLOOKUP('Données projet'!$B$14,Paramètres!$A$1:$I$89,3,0)*0.475*44/12</f>
        <v>11.986997071321046</v>
      </c>
      <c r="EC132" s="21">
        <f>EXP(-LN(2)/2)*EC131+(1-EXP(-LN(2)/2))/(LN(2)/2)*DW132*DZ132*VLOOKUP('Données projet'!$B$14,Paramètres!$A$1:$I$89,3,0)*0.475*44/12</f>
        <v>1.4715880107469019E-6</v>
      </c>
      <c r="ED132" s="22">
        <f t="shared" ref="ED132:ED153" si="126">SUM(EA132:EC132)</f>
        <v>112.88834304371871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2.2737367544323206E-13</v>
      </c>
      <c r="EK132" s="17">
        <f>EJ132*VLOOKUP('Données projet'!$B$15,Paramètres!$A$1:$I$89,3,0)*VLOOKUP('Données projet'!$B$15,Paramètres!$A$1:$I$89,5,0)</f>
        <v>1.0049916454590858E-13</v>
      </c>
      <c r="EL132" s="13">
        <f t="shared" si="99"/>
        <v>1.5089081593838289E-12</v>
      </c>
      <c r="EM132" s="20">
        <f t="shared" ref="EM132:EM153" si="127">(EK132+EL132)*0.475*44/12</f>
        <v>2.8030510891776262E-12</v>
      </c>
      <c r="EN132" s="59">
        <f t="shared" ref="EN132:EN195" si="128">EM132+(EE132+EF132)*44/12</f>
        <v>283.74392866106814</v>
      </c>
      <c r="EO132" s="59">
        <f ca="1">AVERAGE(OFFSET($EN$3,0,0,'Données projet'!$E$15+1,1))-AVERAGE(OFFSET($H$3,0,0,'Données projet'!$E$15+1,1))</f>
        <v>561.50881628354409</v>
      </c>
      <c r="EP132" s="59">
        <f t="shared" si="100"/>
        <v>468.67708352238458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126.612411146816</v>
      </c>
      <c r="EW132" s="21">
        <f>EXP(-LN(2)/25)*EW131+(1-EXP(-LN(2)/25))/(LN(2)/25)*Calculateur!ER132*Calculateur!ET132*VLOOKUP('Données projet'!$B$15,Paramètres!$A$1:$I$89,3,0)*0.475*44/12</f>
        <v>15.551067611976974</v>
      </c>
      <c r="EX132" s="21">
        <f>EXP(-LN(2)/2)*EX131+(1-EXP(-LN(2)/2))/(LN(2)/2)*ER132*EU132*VLOOKUP('Données projet'!$B$15,Paramètres!$A$1:$I$89,3,0)*0.475*44/12</f>
        <v>1.9502219669390341E-6</v>
      </c>
      <c r="EY132" s="22">
        <f t="shared" ref="EY132:EY153" si="129">SUM(EV132:EX132)</f>
        <v>142.16348070901492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5.1431925385259088E-14</v>
      </c>
      <c r="P133" s="13">
        <f t="shared" ref="P133:P196" si="141">EXP(-1.0587+0.8836*LN(O133)+0.284)</f>
        <v>8.3482866290946129E-13</v>
      </c>
      <c r="Q133" s="20">
        <f t="shared" si="108"/>
        <v>1.5435705246133045E-12</v>
      </c>
      <c r="R133" s="59">
        <f t="shared" si="109"/>
        <v>283.91028339343364</v>
      </c>
      <c r="S133" s="59">
        <f ca="1">AVERAGE(OFFSET($R$3,0,0,'Données projet'!$E$9+1,1))-AVERAGE(OFFSET($H$3,0,0,'Données projet'!$E$9+1,1))</f>
        <v>484.04602944257209</v>
      </c>
      <c r="T133" s="59">
        <f t="shared" ref="T133:T196" si="142">$T$3</f>
        <v>297.32483725004124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143.01113523698547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143.01113523698547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projet'!$B$10,Paramètres!$A$1:$I$89,3,0)*VLOOKUP('Données projet'!$B$10,Paramètres!$A$1:$I$89,5,0)</f>
        <v>-5.1786628318950535E-13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493.74122500490859</v>
      </c>
      <c r="AO133" s="59">
        <f t="shared" ref="AO133:AO196" si="144">$AO$3</f>
        <v>299.43985151679692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128.42713528427717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128.42713528427717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364.64276939439014</v>
      </c>
      <c r="BJ133" s="59">
        <f t="shared" ref="BJ133:BJ196" si="146">$BJ$3</f>
        <v>341.7578598026638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49.196274078057684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49.196274078057684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3.4106051316484809E-13</v>
      </c>
      <c r="BZ133" s="13">
        <f>BY133*VLOOKUP('Données projet'!$B$12,Paramètres!$A$1:$I$89,3,0)*VLOOKUP('Données projet'!$B$12,Paramètres!$A$1:$I$89,5,0)</f>
        <v>2.0395418687257919E-13</v>
      </c>
      <c r="CA133" s="13">
        <f t="shared" ref="CA133:CA153" si="147">EXP(-1.0587+0.8836*LN(BZ133)+0.284)</f>
        <v>2.8200388570161721E-12</v>
      </c>
      <c r="CB133" s="20">
        <f t="shared" si="118"/>
        <v>5.2667878847729083E-12</v>
      </c>
      <c r="CC133" s="59">
        <f t="shared" si="119"/>
        <v>283.9102833934374</v>
      </c>
      <c r="CD133" s="59">
        <f ca="1">AVERAGE(OFFSET($CC$3,0,0,'Données projet'!$E$12+1,1))-AVERAGE(OFFSET($H$3,0,0,'Données projet'!$E$12+1,1))</f>
        <v>435.81281313761326</v>
      </c>
      <c r="CE133" s="59">
        <f t="shared" ref="CE133:CE196" si="148">$CE$3</f>
        <v>460.93390058676493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64.320025939283866</v>
      </c>
      <c r="CL133" s="21">
        <f>EXP(-LN(2)/25)*CL132+(1-EXP(-LN(2)/25))/(LN(2)/25)*Calculateur!CG133*Calculateur!CI133*VLOOKUP('Données projet'!$B$12,Paramètres!$A$1:$I$89,3,0)*0.475*44/12</f>
        <v>8.5650923123044098</v>
      </c>
      <c r="CM133" s="21">
        <f>EXP(-LN(2)/2)*CM132+(1-EXP(-LN(2)/2))/(LN(2)/2)*CG133*CJ133*VLOOKUP('Données projet'!$B$12,Paramètres!$A$1:$I$89,3,0)*0.475*44/12</f>
        <v>6.4260773172567807E-9</v>
      </c>
      <c r="CN133" s="22">
        <f t="shared" si="120"/>
        <v>72.885118258014359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379.16472924112111</v>
      </c>
      <c r="CZ133" s="59">
        <f t="shared" ref="CZ133:CZ196" si="150">$CZ$3</f>
        <v>273.18950868898253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88.774274363166484</v>
      </c>
      <c r="DG133" s="21">
        <f>EXP(-LN(2)/25)*DG132+(1-EXP(-LN(2)/25))/(LN(2)/25)*Calculateur!DB133*Calculateur!DD133*VLOOKUP('Données projet'!$B$13,Paramètres!$A$1:$I$89,3,0)*0.475*44/12</f>
        <v>11.578433242775635</v>
      </c>
      <c r="DH133" s="21">
        <f>EXP(-LN(2)/2)*DH132+(1-EXP(-LN(2)/2))/(LN(2)/2)*DB133*DE133*VLOOKUP('Données projet'!$B$13,Paramètres!$A$1:$I$89,3,0)*0.475*44/12</f>
        <v>2.9172720122935242E-5</v>
      </c>
      <c r="DI133" s="22">
        <f t="shared" si="123"/>
        <v>100.35273677866223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6.8212102632969618E-13</v>
      </c>
      <c r="DP133" s="17">
        <f>DO133*VLOOKUP('Données projet'!$B$14,Paramètres!$A$1:$I$89,3,0)*VLOOKUP('Données projet'!$B$14,Paramètres!$A$1:$I$89,5,0)</f>
        <v>2.7489477361086753E-13</v>
      </c>
      <c r="DQ133" s="13">
        <f t="shared" ref="DQ133:DQ153" si="151">EXP(-1.0587+0.8836*LN(DP133)+0.284)</f>
        <v>3.6711283554998768E-12</v>
      </c>
      <c r="DR133" s="20">
        <f t="shared" si="124"/>
        <v>6.8726569498678791E-12</v>
      </c>
      <c r="DS133" s="59">
        <f t="shared" si="125"/>
        <v>283.91028339343899</v>
      </c>
      <c r="DT133" s="59">
        <f ca="1">AVERAGE(OFFSET($DS$3,0,0,'Données projet'!$E$14+1,1))-AVERAGE(OFFSET($H$3,0,0,'Données projet'!$E$14+1,1))</f>
        <v>419.35339339286082</v>
      </c>
      <c r="DU133" s="59">
        <f t="shared" ref="DU133:DU196" si="152">$DU$3</f>
        <v>359.03308141414709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98.92273067889198</v>
      </c>
      <c r="EB133" s="21">
        <f>EXP(-LN(2)/25)*EB132+(1-EXP(-LN(2)/25))/(LN(2)/25)*Calculateur!DW133*Calculateur!DY133*VLOOKUP('Données projet'!$B$14,Paramètres!$A$1:$I$89,3,0)*0.475*44/12</f>
        <v>11.659212006036991</v>
      </c>
      <c r="EC133" s="21">
        <f>EXP(-LN(2)/2)*EC132+(1-EXP(-LN(2)/2))/(LN(2)/2)*DW133*DZ133*VLOOKUP('Données projet'!$B$14,Paramètres!$A$1:$I$89,3,0)*0.475*44/12</f>
        <v>1.0405698615119563E-6</v>
      </c>
      <c r="ED133" s="22">
        <f t="shared" si="126"/>
        <v>110.58194372549883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2.2737367544323206E-13</v>
      </c>
      <c r="EK133" s="17">
        <f>EJ133*VLOOKUP('Données projet'!$B$15,Paramètres!$A$1:$I$89,3,0)*VLOOKUP('Données projet'!$B$15,Paramètres!$A$1:$I$89,5,0)</f>
        <v>1.0049916454590858E-13</v>
      </c>
      <c r="EL133" s="13">
        <f t="shared" ref="EL133:EL153" si="153">EXP(-1.0587+0.8836*LN(EK133)+0.284)</f>
        <v>1.5089081593838289E-12</v>
      </c>
      <c r="EM133" s="20">
        <f t="shared" si="127"/>
        <v>2.8030510891776262E-12</v>
      </c>
      <c r="EN133" s="59">
        <f t="shared" si="128"/>
        <v>283.9102833934349</v>
      </c>
      <c r="EO133" s="59">
        <f ca="1">AVERAGE(OFFSET($EN$3,0,0,'Données projet'!$E$15+1,1))-AVERAGE(OFFSET($H$3,0,0,'Données projet'!$E$15+1,1))</f>
        <v>561.50881628354409</v>
      </c>
      <c r="EP133" s="59">
        <f t="shared" ref="EP133:EP196" si="154">$EP$3</f>
        <v>468.67708352238458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124.1296189901723</v>
      </c>
      <c r="EW133" s="21">
        <f>EXP(-LN(2)/25)*EW132+(1-EXP(-LN(2)/25))/(LN(2)/25)*Calculateur!ER133*Calculateur!ET133*VLOOKUP('Données projet'!$B$15,Paramètres!$A$1:$I$89,3,0)*0.475*44/12</f>
        <v>15.12582285033236</v>
      </c>
      <c r="EX133" s="21">
        <f>EXP(-LN(2)/2)*EX132+(1-EXP(-LN(2)/2))/(LN(2)/2)*ER133*EU133*VLOOKUP('Données projet'!$B$15,Paramètres!$A$1:$I$89,3,0)*0.475*44/12</f>
        <v>1.3790151776415579E-6</v>
      </c>
      <c r="EY133" s="22">
        <f t="shared" si="129"/>
        <v>139.25544321951983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5.1431925385259088E-14</v>
      </c>
      <c r="P134" s="13">
        <f t="shared" si="141"/>
        <v>8.3482866290946129E-13</v>
      </c>
      <c r="Q134" s="20">
        <f t="shared" si="108"/>
        <v>1.5435705246133045E-12</v>
      </c>
      <c r="R134" s="59">
        <f t="shared" si="109"/>
        <v>284.07375224310726</v>
      </c>
      <c r="S134" s="59">
        <f ca="1">AVERAGE(OFFSET($R$3,0,0,'Données projet'!$E$9+1,1))-AVERAGE(OFFSET($H$3,0,0,'Données projet'!$E$9+1,1))</f>
        <v>484.04602944257209</v>
      </c>
      <c r="T134" s="59">
        <f t="shared" si="142"/>
        <v>297.32483725004124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140.20677410316762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140.20677410316762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projet'!$B$10,Paramètres!$A$1:$I$89,3,0)*VLOOKUP('Données projet'!$B$10,Paramètres!$A$1:$I$89,5,0)</f>
        <v>-5.1786628318950535E-13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493.74122500490859</v>
      </c>
      <c r="AO134" s="59">
        <f t="shared" si="144"/>
        <v>299.43985151679692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125.90875749417029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125.90875749417029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364.64276939439014</v>
      </c>
      <c r="BJ134" s="59">
        <f t="shared" si="146"/>
        <v>341.7578598026638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48.231565150151241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48.231565150151241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3.4106051316484809E-13</v>
      </c>
      <c r="BZ134" s="13">
        <f>BY134*VLOOKUP('Données projet'!$B$12,Paramètres!$A$1:$I$89,3,0)*VLOOKUP('Données projet'!$B$12,Paramètres!$A$1:$I$89,5,0)</f>
        <v>2.0395418687257919E-13</v>
      </c>
      <c r="CA134" s="13">
        <f t="shared" si="147"/>
        <v>2.8200388570161721E-12</v>
      </c>
      <c r="CB134" s="20">
        <f t="shared" si="118"/>
        <v>5.2667878847729083E-12</v>
      </c>
      <c r="CC134" s="59">
        <f t="shared" si="119"/>
        <v>284.07375224311102</v>
      </c>
      <c r="CD134" s="59">
        <f ca="1">AVERAGE(OFFSET($CC$3,0,0,'Données projet'!$E$12+1,1))-AVERAGE(OFFSET($H$3,0,0,'Données projet'!$E$12+1,1))</f>
        <v>435.81281313761326</v>
      </c>
      <c r="CE134" s="59">
        <f t="shared" si="148"/>
        <v>460.93390058676493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63.058749461956559</v>
      </c>
      <c r="CL134" s="21">
        <f>EXP(-LN(2)/25)*CL133+(1-EXP(-LN(2)/25))/(LN(2)/25)*Calculateur!CG134*Calculateur!CI134*VLOOKUP('Données projet'!$B$12,Paramètres!$A$1:$I$89,3,0)*0.475*44/12</f>
        <v>8.3308794126058174</v>
      </c>
      <c r="CM134" s="21">
        <f>EXP(-LN(2)/2)*CM133+(1-EXP(-LN(2)/2))/(LN(2)/2)*CG134*CJ134*VLOOKUP('Données projet'!$B$12,Paramètres!$A$1:$I$89,3,0)*0.475*44/12</f>
        <v>4.5439228474613267E-9</v>
      </c>
      <c r="CN134" s="22">
        <f t="shared" si="120"/>
        <v>71.389628879106297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379.16472924112111</v>
      </c>
      <c r="CZ134" s="59">
        <f t="shared" si="150"/>
        <v>273.18950868898253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87.033464989865578</v>
      </c>
      <c r="DG134" s="21">
        <f>EXP(-LN(2)/25)*DG133+(1-EXP(-LN(2)/25))/(LN(2)/25)*Calculateur!DB134*Calculateur!DD134*VLOOKUP('Données projet'!$B$13,Paramètres!$A$1:$I$89,3,0)*0.475*44/12</f>
        <v>11.261820376868593</v>
      </c>
      <c r="DH134" s="21">
        <f>EXP(-LN(2)/2)*DH133+(1-EXP(-LN(2)/2))/(LN(2)/2)*DB134*DE134*VLOOKUP('Données projet'!$B$13,Paramètres!$A$1:$I$89,3,0)*0.475*44/12</f>
        <v>2.0628228224584762E-5</v>
      </c>
      <c r="DI134" s="22">
        <f t="shared" si="123"/>
        <v>98.295305994962405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6.8212102632969618E-13</v>
      </c>
      <c r="DP134" s="17">
        <f>DO134*VLOOKUP('Données projet'!$B$14,Paramètres!$A$1:$I$89,3,0)*VLOOKUP('Données projet'!$B$14,Paramètres!$A$1:$I$89,5,0)</f>
        <v>2.7489477361086753E-13</v>
      </c>
      <c r="DQ134" s="13">
        <f t="shared" si="151"/>
        <v>3.6711283554998768E-12</v>
      </c>
      <c r="DR134" s="20">
        <f t="shared" si="124"/>
        <v>6.8726569498678791E-12</v>
      </c>
      <c r="DS134" s="59">
        <f t="shared" si="125"/>
        <v>284.07375224311261</v>
      </c>
      <c r="DT134" s="59">
        <f ca="1">AVERAGE(OFFSET($DS$3,0,0,'Données projet'!$E$14+1,1))-AVERAGE(OFFSET($H$3,0,0,'Données projet'!$E$14+1,1))</f>
        <v>419.35339339286082</v>
      </c>
      <c r="DU134" s="59">
        <f t="shared" si="152"/>
        <v>359.03308141414709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96.982916267186852</v>
      </c>
      <c r="EB134" s="21">
        <f>EXP(-LN(2)/25)*EB133+(1-EXP(-LN(2)/25))/(LN(2)/25)*Calculateur!DW134*Calculateur!DY134*VLOOKUP('Données projet'!$B$14,Paramètres!$A$1:$I$89,3,0)*0.475*44/12</f>
        <v>11.340390240600598</v>
      </c>
      <c r="EC134" s="21">
        <f>EXP(-LN(2)/2)*EC133+(1-EXP(-LN(2)/2))/(LN(2)/2)*DW134*DZ134*VLOOKUP('Données projet'!$B$14,Paramètres!$A$1:$I$89,3,0)*0.475*44/12</f>
        <v>7.3579400537345097E-7</v>
      </c>
      <c r="ED134" s="22">
        <f t="shared" si="126"/>
        <v>108.32330724358145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2.2737367544323206E-13</v>
      </c>
      <c r="EK134" s="17">
        <f>EJ134*VLOOKUP('Données projet'!$B$15,Paramètres!$A$1:$I$89,3,0)*VLOOKUP('Données projet'!$B$15,Paramètres!$A$1:$I$89,5,0)</f>
        <v>1.0049916454590858E-13</v>
      </c>
      <c r="EL134" s="13">
        <f t="shared" si="153"/>
        <v>1.5089081593838289E-12</v>
      </c>
      <c r="EM134" s="20">
        <f t="shared" si="127"/>
        <v>2.8030510891776262E-12</v>
      </c>
      <c r="EN134" s="59">
        <f t="shared" si="128"/>
        <v>284.07375224310852</v>
      </c>
      <c r="EO134" s="59">
        <f ca="1">AVERAGE(OFFSET($EN$3,0,0,'Données projet'!$E$15+1,1))-AVERAGE(OFFSET($H$3,0,0,'Données projet'!$E$15+1,1))</f>
        <v>561.50881628354409</v>
      </c>
      <c r="EP134" s="59">
        <f t="shared" si="154"/>
        <v>468.67708352238458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121.69551287336671</v>
      </c>
      <c r="EW134" s="21">
        <f>EXP(-LN(2)/25)*EW133+(1-EXP(-LN(2)/25))/(LN(2)/25)*Calculateur!ER134*Calculateur!ET134*VLOOKUP('Données projet'!$B$15,Paramètres!$A$1:$I$89,3,0)*0.475*44/12</f>
        <v>14.712206429057568</v>
      </c>
      <c r="EX134" s="21">
        <f>EXP(-LN(2)/2)*EX133+(1-EXP(-LN(2)/2))/(LN(2)/2)*ER134*EU134*VLOOKUP('Données projet'!$B$15,Paramètres!$A$1:$I$89,3,0)*0.475*44/12</f>
        <v>9.7511098346951705E-7</v>
      </c>
      <c r="EY134" s="22">
        <f t="shared" si="129"/>
        <v>136.40772027753528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5.1431925385259088E-14</v>
      </c>
      <c r="P135" s="13">
        <f t="shared" si="141"/>
        <v>8.3482866290946129E-13</v>
      </c>
      <c r="Q135" s="20">
        <f t="shared" si="108"/>
        <v>1.5435705246133045E-12</v>
      </c>
      <c r="R135" s="59">
        <f t="shared" si="109"/>
        <v>284.2343852737007</v>
      </c>
      <c r="S135" s="59">
        <f ca="1">AVERAGE(OFFSET($R$3,0,0,'Données projet'!$E$9+1,1))-AVERAGE(OFFSET($H$3,0,0,'Données projet'!$E$9+1,1))</f>
        <v>484.04602944257209</v>
      </c>
      <c r="T135" s="59">
        <f t="shared" si="142"/>
        <v>297.32483725004124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137.45740478069254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137.45740478069254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projet'!$B$10,Paramètres!$A$1:$I$89,3,0)*VLOOKUP('Données projet'!$B$10,Paramètres!$A$1:$I$89,5,0)</f>
        <v>-5.1786628318950535E-13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493.74122500490859</v>
      </c>
      <c r="AO135" s="59">
        <f t="shared" si="144"/>
        <v>299.43985151679692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123.43976355646863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123.43976355646863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364.64276939439014</v>
      </c>
      <c r="BJ135" s="59">
        <f t="shared" si="146"/>
        <v>341.7578598026638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47.285773575906695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47.285773575906695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3.4106051316484809E-13</v>
      </c>
      <c r="BZ135" s="13">
        <f>BY135*VLOOKUP('Données projet'!$B$12,Paramètres!$A$1:$I$89,3,0)*VLOOKUP('Données projet'!$B$12,Paramètres!$A$1:$I$89,5,0)</f>
        <v>2.0395418687257919E-13</v>
      </c>
      <c r="CA135" s="13">
        <f t="shared" si="147"/>
        <v>2.8200388570161721E-12</v>
      </c>
      <c r="CB135" s="20">
        <f t="shared" si="118"/>
        <v>5.2667878847729083E-12</v>
      </c>
      <c r="CC135" s="59">
        <f t="shared" si="119"/>
        <v>284.23438527370445</v>
      </c>
      <c r="CD135" s="59">
        <f ca="1">AVERAGE(OFFSET($CC$3,0,0,'Données projet'!$E$12+1,1))-AVERAGE(OFFSET($H$3,0,0,'Données projet'!$E$12+1,1))</f>
        <v>435.81281313761326</v>
      </c>
      <c r="CE135" s="59">
        <f t="shared" si="148"/>
        <v>460.93390058676493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61.822205847046952</v>
      </c>
      <c r="CL135" s="21">
        <f>EXP(-LN(2)/25)*CL134+(1-EXP(-LN(2)/25))/(LN(2)/25)*Calculateur!CG135*Calculateur!CI135*VLOOKUP('Données projet'!$B$12,Paramètres!$A$1:$I$89,3,0)*0.475*44/12</f>
        <v>8.103071076966204</v>
      </c>
      <c r="CM135" s="21">
        <f>EXP(-LN(2)/2)*CM134+(1-EXP(-LN(2)/2))/(LN(2)/2)*CG135*CJ135*VLOOKUP('Données projet'!$B$12,Paramètres!$A$1:$I$89,3,0)*0.475*44/12</f>
        <v>3.2130386586283903E-9</v>
      </c>
      <c r="CN135" s="22">
        <f t="shared" si="120"/>
        <v>69.925276927226193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379.16472924112111</v>
      </c>
      <c r="CZ135" s="59">
        <f t="shared" si="150"/>
        <v>273.18950868898253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85.326791826586231</v>
      </c>
      <c r="DG135" s="21">
        <f>EXP(-LN(2)/25)*DG134+(1-EXP(-LN(2)/25))/(LN(2)/25)*Calculateur!DB135*Calculateur!DD135*VLOOKUP('Données projet'!$B$13,Paramètres!$A$1:$I$89,3,0)*0.475*44/12</f>
        <v>10.953865306429726</v>
      </c>
      <c r="DH135" s="21">
        <f>EXP(-LN(2)/2)*DH134+(1-EXP(-LN(2)/2))/(LN(2)/2)*DB135*DE135*VLOOKUP('Données projet'!$B$13,Paramètres!$A$1:$I$89,3,0)*0.475*44/12</f>
        <v>1.4586360061467621E-5</v>
      </c>
      <c r="DI135" s="22">
        <f t="shared" si="123"/>
        <v>96.280671719376016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6.8212102632969618E-13</v>
      </c>
      <c r="DP135" s="17">
        <f>DO135*VLOOKUP('Données projet'!$B$14,Paramètres!$A$1:$I$89,3,0)*VLOOKUP('Données projet'!$B$14,Paramètres!$A$1:$I$89,5,0)</f>
        <v>2.7489477361086753E-13</v>
      </c>
      <c r="DQ135" s="13">
        <f t="shared" si="151"/>
        <v>3.6711283554998768E-12</v>
      </c>
      <c r="DR135" s="20">
        <f t="shared" si="124"/>
        <v>6.8726569498678791E-12</v>
      </c>
      <c r="DS135" s="59">
        <f t="shared" si="125"/>
        <v>284.23438527370604</v>
      </c>
      <c r="DT135" s="59">
        <f ca="1">AVERAGE(OFFSET($DS$3,0,0,'Données projet'!$E$14+1,1))-AVERAGE(OFFSET($H$3,0,0,'Données projet'!$E$14+1,1))</f>
        <v>419.35339339286082</v>
      </c>
      <c r="DU135" s="59">
        <f t="shared" si="152"/>
        <v>359.03308141414709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95.081140432925295</v>
      </c>
      <c r="EB135" s="21">
        <f>EXP(-LN(2)/25)*EB134+(1-EXP(-LN(2)/25))/(LN(2)/25)*Calculateur!DW135*Calculateur!DY135*VLOOKUP('Données projet'!$B$14,Paramètres!$A$1:$I$89,3,0)*0.475*44/12</f>
        <v>11.03028667310617</v>
      </c>
      <c r="EC135" s="21">
        <f>EXP(-LN(2)/2)*EC134+(1-EXP(-LN(2)/2))/(LN(2)/2)*DW135*DZ135*VLOOKUP('Données projet'!$B$14,Paramètres!$A$1:$I$89,3,0)*0.475*44/12</f>
        <v>5.2028493075597816E-7</v>
      </c>
      <c r="ED135" s="22">
        <f t="shared" si="126"/>
        <v>106.1114276263164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2.2737367544323206E-13</v>
      </c>
      <c r="EK135" s="17">
        <f>EJ135*VLOOKUP('Données projet'!$B$15,Paramètres!$A$1:$I$89,3,0)*VLOOKUP('Données projet'!$B$15,Paramètres!$A$1:$I$89,5,0)</f>
        <v>1.0049916454590858E-13</v>
      </c>
      <c r="EL135" s="13">
        <f t="shared" si="153"/>
        <v>1.5089081593838289E-12</v>
      </c>
      <c r="EM135" s="20">
        <f t="shared" si="127"/>
        <v>2.8030510891776262E-12</v>
      </c>
      <c r="EN135" s="59">
        <f t="shared" si="128"/>
        <v>284.23438527370195</v>
      </c>
      <c r="EO135" s="59">
        <f ca="1">AVERAGE(OFFSET($EN$3,0,0,'Données projet'!$E$15+1,1))-AVERAGE(OFFSET($H$3,0,0,'Données projet'!$E$15+1,1))</f>
        <v>561.50881628354409</v>
      </c>
      <c r="EP135" s="59">
        <f t="shared" si="154"/>
        <v>468.67708352238458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119.30913809285354</v>
      </c>
      <c r="EW135" s="21">
        <f>EXP(-LN(2)/25)*EW134+(1-EXP(-LN(2)/25))/(LN(2)/25)*Calculateur!ER135*Calculateur!ET135*VLOOKUP('Données projet'!$B$15,Paramètres!$A$1:$I$89,3,0)*0.475*44/12</f>
        <v>14.309900370573677</v>
      </c>
      <c r="EX135" s="21">
        <f>EXP(-LN(2)/2)*EX134+(1-EXP(-LN(2)/2))/(LN(2)/2)*ER135*EU135*VLOOKUP('Données projet'!$B$15,Paramètres!$A$1:$I$89,3,0)*0.475*44/12</f>
        <v>6.8950758882077897E-7</v>
      </c>
      <c r="EY135" s="22">
        <f t="shared" si="129"/>
        <v>133.61903915293482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5.1431925385259088E-14</v>
      </c>
      <c r="P136" s="13">
        <f t="shared" si="141"/>
        <v>8.3482866290946129E-13</v>
      </c>
      <c r="Q136" s="20">
        <f t="shared" si="108"/>
        <v>1.5435705246133045E-12</v>
      </c>
      <c r="R136" s="59">
        <f t="shared" si="109"/>
        <v>284.39223168033493</v>
      </c>
      <c r="S136" s="59">
        <f ca="1">AVERAGE(OFFSET($R$3,0,0,'Données projet'!$E$9+1,1))-AVERAGE(OFFSET($H$3,0,0,'Données projet'!$E$9+1,1))</f>
        <v>484.04602944257209</v>
      </c>
      <c r="T136" s="59">
        <f t="shared" si="142"/>
        <v>297.32483725004124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134.76194891368149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134.76194891368149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projet'!$B$10,Paramètres!$A$1:$I$89,3,0)*VLOOKUP('Données projet'!$B$10,Paramètres!$A$1:$I$89,5,0)</f>
        <v>-5.1786628318950535E-13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493.74122500490859</v>
      </c>
      <c r="AO136" s="59">
        <f t="shared" si="144"/>
        <v>299.43985151679692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121.0191850839477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121.0191850839477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364.64276939439014</v>
      </c>
      <c r="BJ136" s="59">
        <f t="shared" si="146"/>
        <v>341.7578598026638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46.358528397557187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46.358528397557187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3.4106051316484809E-13</v>
      </c>
      <c r="BZ136" s="13">
        <f>BY136*VLOOKUP('Données projet'!$B$12,Paramètres!$A$1:$I$89,3,0)*VLOOKUP('Données projet'!$B$12,Paramètres!$A$1:$I$89,5,0)</f>
        <v>2.0395418687257919E-13</v>
      </c>
      <c r="CA136" s="13">
        <f t="shared" si="147"/>
        <v>2.8200388570161721E-12</v>
      </c>
      <c r="CB136" s="20">
        <f t="shared" si="118"/>
        <v>5.2667878847729083E-12</v>
      </c>
      <c r="CC136" s="59">
        <f t="shared" si="119"/>
        <v>284.39223168033868</v>
      </c>
      <c r="CD136" s="59">
        <f ca="1">AVERAGE(OFFSET($CC$3,0,0,'Données projet'!$E$12+1,1))-AVERAGE(OFFSET($H$3,0,0,'Données projet'!$E$12+1,1))</f>
        <v>435.81281313761326</v>
      </c>
      <c r="CE136" s="59">
        <f t="shared" si="148"/>
        <v>460.93390058676493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60.609910098208587</v>
      </c>
      <c r="CL136" s="21">
        <f>EXP(-LN(2)/25)*CL135+(1-EXP(-LN(2)/25))/(LN(2)/25)*Calculateur!CG136*Calculateur!CI136*VLOOKUP('Données projet'!$B$12,Paramètres!$A$1:$I$89,3,0)*0.475*44/12</f>
        <v>7.8814921722445748</v>
      </c>
      <c r="CM136" s="21">
        <f>EXP(-LN(2)/2)*CM135+(1-EXP(-LN(2)/2))/(LN(2)/2)*CG136*CJ136*VLOOKUP('Données projet'!$B$12,Paramètres!$A$1:$I$89,3,0)*0.475*44/12</f>
        <v>2.2719614237306633E-9</v>
      </c>
      <c r="CN136" s="22">
        <f t="shared" si="120"/>
        <v>68.491402272725125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379.16472924112111</v>
      </c>
      <c r="CZ136" s="59">
        <f t="shared" si="150"/>
        <v>273.18950868898253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83.653585483070955</v>
      </c>
      <c r="DG136" s="21">
        <f>EXP(-LN(2)/25)*DG135+(1-EXP(-LN(2)/25))/(LN(2)/25)*Calculateur!DB136*Calculateur!DD136*VLOOKUP('Données projet'!$B$13,Paramètres!$A$1:$I$89,3,0)*0.475*44/12</f>
        <v>10.654331283586664</v>
      </c>
      <c r="DH136" s="21">
        <f>EXP(-LN(2)/2)*DH135+(1-EXP(-LN(2)/2))/(LN(2)/2)*DB136*DE136*VLOOKUP('Données projet'!$B$13,Paramètres!$A$1:$I$89,3,0)*0.475*44/12</f>
        <v>1.0314114112292381E-5</v>
      </c>
      <c r="DI136" s="22">
        <f t="shared" si="123"/>
        <v>94.307927080771734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6.8212102632969618E-13</v>
      </c>
      <c r="DP136" s="17">
        <f>DO136*VLOOKUP('Données projet'!$B$14,Paramètres!$A$1:$I$89,3,0)*VLOOKUP('Données projet'!$B$14,Paramètres!$A$1:$I$89,5,0)</f>
        <v>2.7489477361086753E-13</v>
      </c>
      <c r="DQ136" s="13">
        <f t="shared" si="151"/>
        <v>3.6711283554998768E-12</v>
      </c>
      <c r="DR136" s="20">
        <f t="shared" si="124"/>
        <v>6.8726569498678791E-12</v>
      </c>
      <c r="DS136" s="59">
        <f t="shared" si="125"/>
        <v>284.39223168034027</v>
      </c>
      <c r="DT136" s="59">
        <f ca="1">AVERAGE(OFFSET($DS$3,0,0,'Données projet'!$E$14+1,1))-AVERAGE(OFFSET($H$3,0,0,'Données projet'!$E$14+1,1))</f>
        <v>419.35339339286082</v>
      </c>
      <c r="DU136" s="59">
        <f t="shared" si="152"/>
        <v>359.03308141414709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93.216657262804887</v>
      </c>
      <c r="EB136" s="21">
        <f>EXP(-LN(2)/25)*EB135+(1-EXP(-LN(2)/25))/(LN(2)/25)*Calculateur!DW136*Calculateur!DY136*VLOOKUP('Données projet'!$B$14,Paramètres!$A$1:$I$89,3,0)*0.475*44/12</f>
        <v>10.728662903972516</v>
      </c>
      <c r="EC136" s="21">
        <f>EXP(-LN(2)/2)*EC135+(1-EXP(-LN(2)/2))/(LN(2)/2)*DW136*DZ136*VLOOKUP('Données projet'!$B$14,Paramètres!$A$1:$I$89,3,0)*0.475*44/12</f>
        <v>3.6789700268672549E-7</v>
      </c>
      <c r="ED136" s="22">
        <f t="shared" si="126"/>
        <v>103.94532053467441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2.2737367544323206E-13</v>
      </c>
      <c r="EK136" s="17">
        <f>EJ136*VLOOKUP('Données projet'!$B$15,Paramètres!$A$1:$I$89,3,0)*VLOOKUP('Données projet'!$B$15,Paramètres!$A$1:$I$89,5,0)</f>
        <v>1.0049916454590858E-13</v>
      </c>
      <c r="EL136" s="13">
        <f t="shared" si="153"/>
        <v>1.5089081593838289E-12</v>
      </c>
      <c r="EM136" s="20">
        <f t="shared" si="127"/>
        <v>2.8030510891776262E-12</v>
      </c>
      <c r="EN136" s="59">
        <f t="shared" si="128"/>
        <v>284.39223168033618</v>
      </c>
      <c r="EO136" s="59">
        <f ca="1">AVERAGE(OFFSET($EN$3,0,0,'Données projet'!$E$15+1,1))-AVERAGE(OFFSET($H$3,0,0,'Données projet'!$E$15+1,1))</f>
        <v>561.50881628354409</v>
      </c>
      <c r="EP136" s="59">
        <f t="shared" si="154"/>
        <v>468.67708352238458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116.96955866624134</v>
      </c>
      <c r="EW136" s="21">
        <f>EXP(-LN(2)/25)*EW135+(1-EXP(-LN(2)/25))/(LN(2)/25)*Calculateur!ER136*Calculateur!ET136*VLOOKUP('Données projet'!$B$15,Paramètres!$A$1:$I$89,3,0)*0.475*44/12</f>
        <v>13.918595392415385</v>
      </c>
      <c r="EX136" s="21">
        <f>EXP(-LN(2)/2)*EX135+(1-EXP(-LN(2)/2))/(LN(2)/2)*ER136*EU136*VLOOKUP('Données projet'!$B$15,Paramètres!$A$1:$I$89,3,0)*0.475*44/12</f>
        <v>4.8755549173475853E-7</v>
      </c>
      <c r="EY136" s="22">
        <f t="shared" si="129"/>
        <v>130.88815454621223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5.1431925385259088E-14</v>
      </c>
      <c r="P137" s="13">
        <f t="shared" si="141"/>
        <v>8.3482866290946129E-13</v>
      </c>
      <c r="Q137" s="20">
        <f t="shared" si="108"/>
        <v>1.5435705246133045E-12</v>
      </c>
      <c r="R137" s="59">
        <f t="shared" si="109"/>
        <v>284.54733980470581</v>
      </c>
      <c r="S137" s="59">
        <f ca="1">AVERAGE(OFFSET($R$3,0,0,'Données projet'!$E$9+1,1))-AVERAGE(OFFSET($H$3,0,0,'Données projet'!$E$9+1,1))</f>
        <v>484.04602944257209</v>
      </c>
      <c r="T137" s="59">
        <f t="shared" si="142"/>
        <v>297.32483725004124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132.11934929215678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132.11934929215678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projet'!$B$10,Paramètres!$A$1:$I$89,3,0)*VLOOKUP('Données projet'!$B$10,Paramètres!$A$1:$I$89,5,0)</f>
        <v>-5.1786628318950535E-13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493.74122500490859</v>
      </c>
      <c r="AO137" s="59">
        <f t="shared" si="144"/>
        <v>299.43985151679692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118.64607267886582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118.64607267886582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364.64276939439014</v>
      </c>
      <c r="BJ137" s="59">
        <f t="shared" si="146"/>
        <v>341.7578598026638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45.449465931591398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45.449465931591398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3.4106051316484809E-13</v>
      </c>
      <c r="BZ137" s="13">
        <f>BY137*VLOOKUP('Données projet'!$B$12,Paramètres!$A$1:$I$89,3,0)*VLOOKUP('Données projet'!$B$12,Paramètres!$A$1:$I$89,5,0)</f>
        <v>2.0395418687257919E-13</v>
      </c>
      <c r="CA137" s="13">
        <f t="shared" si="147"/>
        <v>2.8200388570161721E-12</v>
      </c>
      <c r="CB137" s="20">
        <f t="shared" si="118"/>
        <v>5.2667878847729083E-12</v>
      </c>
      <c r="CC137" s="59">
        <f t="shared" si="119"/>
        <v>284.54733980470957</v>
      </c>
      <c r="CD137" s="59">
        <f ca="1">AVERAGE(OFFSET($CC$3,0,0,'Données projet'!$E$12+1,1))-AVERAGE(OFFSET($H$3,0,0,'Données projet'!$E$12+1,1))</f>
        <v>435.81281313761326</v>
      </c>
      <c r="CE137" s="59">
        <f t="shared" si="148"/>
        <v>460.93390058676493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59.421386729577549</v>
      </c>
      <c r="CL137" s="21">
        <f>EXP(-LN(2)/25)*CL136+(1-EXP(-LN(2)/25))/(LN(2)/25)*Calculateur!CG137*Calculateur!CI137*VLOOKUP('Données projet'!$B$12,Paramètres!$A$1:$I$89,3,0)*0.475*44/12</f>
        <v>7.6659723543248868</v>
      </c>
      <c r="CM137" s="21">
        <f>EXP(-LN(2)/2)*CM136+(1-EXP(-LN(2)/2))/(LN(2)/2)*CG137*CJ137*VLOOKUP('Données projet'!$B$12,Paramètres!$A$1:$I$89,3,0)*0.475*44/12</f>
        <v>1.6065193293141952E-9</v>
      </c>
      <c r="CN137" s="22">
        <f t="shared" si="120"/>
        <v>67.087359085508965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379.16472924112111</v>
      </c>
      <c r="CZ137" s="59">
        <f t="shared" si="150"/>
        <v>273.18950868898253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82.013189695396918</v>
      </c>
      <c r="DG137" s="21">
        <f>EXP(-LN(2)/25)*DG136+(1-EXP(-LN(2)/25))/(LN(2)/25)*Calculateur!DB137*Calculateur!DD137*VLOOKUP('Données projet'!$B$13,Paramètres!$A$1:$I$89,3,0)*0.475*44/12</f>
        <v>10.362988034350055</v>
      </c>
      <c r="DH137" s="21">
        <f>EXP(-LN(2)/2)*DH136+(1-EXP(-LN(2)/2))/(LN(2)/2)*DB137*DE137*VLOOKUP('Données projet'!$B$13,Paramètres!$A$1:$I$89,3,0)*0.475*44/12</f>
        <v>7.2931800307338106E-6</v>
      </c>
      <c r="DI137" s="22">
        <f t="shared" si="123"/>
        <v>92.376185022927004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6.8212102632969618E-13</v>
      </c>
      <c r="DP137" s="17">
        <f>DO137*VLOOKUP('Données projet'!$B$14,Paramètres!$A$1:$I$89,3,0)*VLOOKUP('Données projet'!$B$14,Paramètres!$A$1:$I$89,5,0)</f>
        <v>2.7489477361086753E-13</v>
      </c>
      <c r="DQ137" s="13">
        <f t="shared" si="151"/>
        <v>3.6711283554998768E-12</v>
      </c>
      <c r="DR137" s="20">
        <f t="shared" si="124"/>
        <v>6.8726569498678791E-12</v>
      </c>
      <c r="DS137" s="59">
        <f t="shared" si="125"/>
        <v>284.54733980471116</v>
      </c>
      <c r="DT137" s="59">
        <f ca="1">AVERAGE(OFFSET($DS$3,0,0,'Données projet'!$E$14+1,1))-AVERAGE(OFFSET($H$3,0,0,'Données projet'!$E$14+1,1))</f>
        <v>419.35339339286082</v>
      </c>
      <c r="DU137" s="59">
        <f t="shared" si="152"/>
        <v>359.03308141414709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91.388735470428102</v>
      </c>
      <c r="EB137" s="21">
        <f>EXP(-LN(2)/25)*EB136+(1-EXP(-LN(2)/25))/(LN(2)/25)*Calculateur!DW137*Calculateur!DY137*VLOOKUP('Données projet'!$B$14,Paramètres!$A$1:$I$89,3,0)*0.475*44/12</f>
        <v>10.435287052667526</v>
      </c>
      <c r="EC137" s="21">
        <f>EXP(-LN(2)/2)*EC136+(1-EXP(-LN(2)/2))/(LN(2)/2)*DW137*DZ137*VLOOKUP('Données projet'!$B$14,Paramètres!$A$1:$I$89,3,0)*0.475*44/12</f>
        <v>2.6014246537798908E-7</v>
      </c>
      <c r="ED137" s="22">
        <f t="shared" si="126"/>
        <v>101.82402278323811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2.2737367544323206E-13</v>
      </c>
      <c r="EK137" s="17">
        <f>EJ137*VLOOKUP('Données projet'!$B$15,Paramètres!$A$1:$I$89,3,0)*VLOOKUP('Données projet'!$B$15,Paramètres!$A$1:$I$89,5,0)</f>
        <v>1.0049916454590858E-13</v>
      </c>
      <c r="EL137" s="13">
        <f t="shared" si="153"/>
        <v>1.5089081593838289E-12</v>
      </c>
      <c r="EM137" s="20">
        <f t="shared" si="127"/>
        <v>2.8030510891776262E-12</v>
      </c>
      <c r="EN137" s="59">
        <f t="shared" si="128"/>
        <v>284.54733980470706</v>
      </c>
      <c r="EO137" s="59">
        <f ca="1">AVERAGE(OFFSET($EN$3,0,0,'Données projet'!$E$15+1,1))-AVERAGE(OFFSET($H$3,0,0,'Données projet'!$E$15+1,1))</f>
        <v>561.50881628354409</v>
      </c>
      <c r="EP137" s="59">
        <f t="shared" si="154"/>
        <v>468.67708352238458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114.67585696518246</v>
      </c>
      <c r="EW137" s="21">
        <f>EXP(-LN(2)/25)*EW136+(1-EXP(-LN(2)/25))/(LN(2)/25)*Calculateur!ER137*Calculateur!ET137*VLOOKUP('Données projet'!$B$15,Paramètres!$A$1:$I$89,3,0)*0.475*44/12</f>
        <v>13.537990669462665</v>
      </c>
      <c r="EX137" s="21">
        <f>EXP(-LN(2)/2)*EX136+(1-EXP(-LN(2)/2))/(LN(2)/2)*ER137*EU137*VLOOKUP('Données projet'!$B$15,Paramètres!$A$1:$I$89,3,0)*0.475*44/12</f>
        <v>3.4475379441038949E-7</v>
      </c>
      <c r="EY137" s="22">
        <f t="shared" si="129"/>
        <v>128.21384797939893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5.1431925385259088E-14</v>
      </c>
      <c r="P138" s="13">
        <f t="shared" si="141"/>
        <v>8.3482866290946129E-13</v>
      </c>
      <c r="Q138" s="20">
        <f t="shared" si="108"/>
        <v>1.5435705246133045E-12</v>
      </c>
      <c r="R138" s="59">
        <f t="shared" si="109"/>
        <v>284.69975714988868</v>
      </c>
      <c r="S138" s="59">
        <f ca="1">AVERAGE(OFFSET($R$3,0,0,'Données projet'!$E$9+1,1))-AVERAGE(OFFSET($H$3,0,0,'Données projet'!$E$9+1,1))</f>
        <v>484.04602944257209</v>
      </c>
      <c r="T138" s="59">
        <f t="shared" si="142"/>
        <v>297.32483725004124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129.52856943738357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129.52856943738357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projet'!$B$10,Paramètres!$A$1:$I$89,3,0)*VLOOKUP('Données projet'!$B$10,Paramètres!$A$1:$I$89,5,0)</f>
        <v>-5.1786628318950535E-13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493.74122500490859</v>
      </c>
      <c r="AO138" s="59">
        <f t="shared" si="144"/>
        <v>299.43985151679692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116.31949556059195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116.31949556059195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364.64276939439014</v>
      </c>
      <c r="BJ138" s="59">
        <f t="shared" si="146"/>
        <v>341.7578598026638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44.558229626109842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44.558229626109842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3.4106051316484809E-13</v>
      </c>
      <c r="BZ138" s="13">
        <f>BY138*VLOOKUP('Données projet'!$B$12,Paramètres!$A$1:$I$89,3,0)*VLOOKUP('Données projet'!$B$12,Paramètres!$A$1:$I$89,5,0)</f>
        <v>2.0395418687257919E-13</v>
      </c>
      <c r="CA138" s="13">
        <f t="shared" si="147"/>
        <v>2.8200388570161721E-12</v>
      </c>
      <c r="CB138" s="20">
        <f t="shared" si="118"/>
        <v>5.2667878847729083E-12</v>
      </c>
      <c r="CC138" s="59">
        <f t="shared" si="119"/>
        <v>284.69975714989243</v>
      </c>
      <c r="CD138" s="59">
        <f ca="1">AVERAGE(OFFSET($CC$3,0,0,'Données projet'!$E$12+1,1))-AVERAGE(OFFSET($H$3,0,0,'Données projet'!$E$12+1,1))</f>
        <v>435.81281313761326</v>
      </c>
      <c r="CE138" s="59">
        <f t="shared" si="148"/>
        <v>460.93390058676493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58.256169579277696</v>
      </c>
      <c r="CL138" s="21">
        <f>EXP(-LN(2)/25)*CL137+(1-EXP(-LN(2)/25))/(LN(2)/25)*Calculateur!CG138*Calculateur!CI138*VLOOKUP('Données projet'!$B$12,Paramètres!$A$1:$I$89,3,0)*0.475*44/12</f>
        <v>7.4563459371599077</v>
      </c>
      <c r="CM138" s="21">
        <f>EXP(-LN(2)/2)*CM137+(1-EXP(-LN(2)/2))/(LN(2)/2)*CG138*CJ138*VLOOKUP('Données projet'!$B$12,Paramètres!$A$1:$I$89,3,0)*0.475*44/12</f>
        <v>1.1359807118653317E-9</v>
      </c>
      <c r="CN138" s="22">
        <f t="shared" si="120"/>
        <v>65.712515517573593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379.16472924112111</v>
      </c>
      <c r="CZ138" s="59">
        <f t="shared" si="150"/>
        <v>273.18950868898253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80.404961068576526</v>
      </c>
      <c r="DG138" s="21">
        <f>EXP(-LN(2)/25)*DG137+(1-EXP(-LN(2)/25))/(LN(2)/25)*Calculateur!DB138*Calculateur!DD138*VLOOKUP('Données projet'!$B$13,Paramètres!$A$1:$I$89,3,0)*0.475*44/12</f>
        <v>10.079611581584897</v>
      </c>
      <c r="DH138" s="21">
        <f>EXP(-LN(2)/2)*DH137+(1-EXP(-LN(2)/2))/(LN(2)/2)*DB138*DE138*VLOOKUP('Données projet'!$B$13,Paramètres!$A$1:$I$89,3,0)*0.475*44/12</f>
        <v>5.1570570561461905E-6</v>
      </c>
      <c r="DI138" s="22">
        <f t="shared" si="123"/>
        <v>90.484577807218486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6.8212102632969618E-13</v>
      </c>
      <c r="DP138" s="17">
        <f>DO138*VLOOKUP('Données projet'!$B$14,Paramètres!$A$1:$I$89,3,0)*VLOOKUP('Données projet'!$B$14,Paramètres!$A$1:$I$89,5,0)</f>
        <v>2.7489477361086753E-13</v>
      </c>
      <c r="DQ138" s="13">
        <f t="shared" si="151"/>
        <v>3.6711283554998768E-12</v>
      </c>
      <c r="DR138" s="20">
        <f t="shared" si="124"/>
        <v>6.8726569498678791E-12</v>
      </c>
      <c r="DS138" s="59">
        <f t="shared" si="125"/>
        <v>284.69975714989403</v>
      </c>
      <c r="DT138" s="59">
        <f ca="1">AVERAGE(OFFSET($DS$3,0,0,'Données projet'!$E$14+1,1))-AVERAGE(OFFSET($H$3,0,0,'Données projet'!$E$14+1,1))</f>
        <v>419.35339339286082</v>
      </c>
      <c r="DU138" s="59">
        <f t="shared" si="152"/>
        <v>359.03308141414709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89.596658109477616</v>
      </c>
      <c r="EB138" s="21">
        <f>EXP(-LN(2)/25)*EB137+(1-EXP(-LN(2)/25))/(LN(2)/25)*Calculateur!DW138*Calculateur!DY138*VLOOKUP('Données projet'!$B$14,Paramètres!$A$1:$I$89,3,0)*0.475*44/12</f>
        <v>10.149933579444436</v>
      </c>
      <c r="EC138" s="21">
        <f>EXP(-LN(2)/2)*EC137+(1-EXP(-LN(2)/2))/(LN(2)/2)*DW138*DZ138*VLOOKUP('Données projet'!$B$14,Paramètres!$A$1:$I$89,3,0)*0.475*44/12</f>
        <v>1.8394850134336274E-7</v>
      </c>
      <c r="ED138" s="22">
        <f t="shared" si="126"/>
        <v>99.746591872870553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2.2737367544323206E-13</v>
      </c>
      <c r="EK138" s="17">
        <f>EJ138*VLOOKUP('Données projet'!$B$15,Paramètres!$A$1:$I$89,3,0)*VLOOKUP('Données projet'!$B$15,Paramètres!$A$1:$I$89,5,0)</f>
        <v>1.0049916454590858E-13</v>
      </c>
      <c r="EL138" s="13">
        <f t="shared" si="153"/>
        <v>1.5089081593838289E-12</v>
      </c>
      <c r="EM138" s="20">
        <f t="shared" si="127"/>
        <v>2.8030510891776262E-12</v>
      </c>
      <c r="EN138" s="59">
        <f t="shared" si="128"/>
        <v>284.69975714988993</v>
      </c>
      <c r="EO138" s="59">
        <f ca="1">AVERAGE(OFFSET($EN$3,0,0,'Données projet'!$E$15+1,1))-AVERAGE(OFFSET($H$3,0,0,'Données projet'!$E$15+1,1))</f>
        <v>561.50881628354409</v>
      </c>
      <c r="EP138" s="59">
        <f t="shared" si="154"/>
        <v>468.67708352238458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112.42713335546145</v>
      </c>
      <c r="EW138" s="21">
        <f>EXP(-LN(2)/25)*EW137+(1-EXP(-LN(2)/25))/(LN(2)/25)*Calculateur!ER138*Calculateur!ET138*VLOOKUP('Données projet'!$B$15,Paramètres!$A$1:$I$89,3,0)*0.475*44/12</f>
        <v>13.167793602674221</v>
      </c>
      <c r="EX138" s="21">
        <f>EXP(-LN(2)/2)*EX137+(1-EXP(-LN(2)/2))/(LN(2)/2)*ER138*EU138*VLOOKUP('Données projet'!$B$15,Paramètres!$A$1:$I$89,3,0)*0.475*44/12</f>
        <v>2.4377774586737926E-7</v>
      </c>
      <c r="EY138" s="22">
        <f t="shared" si="129"/>
        <v>125.59492720191342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5.1431925385259088E-14</v>
      </c>
      <c r="P139" s="13">
        <f t="shared" si="141"/>
        <v>8.3482866290946129E-13</v>
      </c>
      <c r="Q139" s="20">
        <f t="shared" si="108"/>
        <v>1.5435705246133045E-12</v>
      </c>
      <c r="R139" s="59">
        <f t="shared" si="109"/>
        <v>284.84953039488676</v>
      </c>
      <c r="S139" s="59">
        <f ca="1">AVERAGE(OFFSET($R$3,0,0,'Données projet'!$E$9+1,1))-AVERAGE(OFFSET($H$3,0,0,'Données projet'!$E$9+1,1))</f>
        <v>484.04602944257209</v>
      </c>
      <c r="T139" s="59">
        <f t="shared" si="142"/>
        <v>297.32483725004124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126.98859319534277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126.98859319534277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projet'!$B$10,Paramètres!$A$1:$I$89,3,0)*VLOOKUP('Données projet'!$B$10,Paramètres!$A$1:$I$89,5,0)</f>
        <v>-5.1786628318950535E-13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493.74122500490859</v>
      </c>
      <c r="AO139" s="59">
        <f t="shared" si="144"/>
        <v>299.43985151679692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114.03854120053551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114.03854120053551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364.64276939439014</v>
      </c>
      <c r="BJ139" s="59">
        <f t="shared" si="146"/>
        <v>341.7578598026638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43.684469920978309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43.684469920978309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3.4106051316484809E-13</v>
      </c>
      <c r="BZ139" s="13">
        <f>BY139*VLOOKUP('Données projet'!$B$12,Paramètres!$A$1:$I$89,3,0)*VLOOKUP('Données projet'!$B$12,Paramètres!$A$1:$I$89,5,0)</f>
        <v>2.0395418687257919E-13</v>
      </c>
      <c r="CA139" s="13">
        <f t="shared" si="147"/>
        <v>2.8200388570161721E-12</v>
      </c>
      <c r="CB139" s="20">
        <f t="shared" si="118"/>
        <v>5.2667878847729083E-12</v>
      </c>
      <c r="CC139" s="59">
        <f t="shared" si="119"/>
        <v>284.84953039489051</v>
      </c>
      <c r="CD139" s="59">
        <f ca="1">AVERAGE(OFFSET($CC$3,0,0,'Données projet'!$E$12+1,1))-AVERAGE(OFFSET($H$3,0,0,'Données projet'!$E$12+1,1))</f>
        <v>435.81281313761326</v>
      </c>
      <c r="CE139" s="59">
        <f t="shared" si="148"/>
        <v>460.93390058676493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57.113801626582934</v>
      </c>
      <c r="CL139" s="21">
        <f>EXP(-LN(2)/25)*CL138+(1-EXP(-LN(2)/25))/(LN(2)/25)*Calculateur!CG139*Calculateur!CI139*VLOOKUP('Données projet'!$B$12,Paramètres!$A$1:$I$89,3,0)*0.475*44/12</f>
        <v>7.2524517653960787</v>
      </c>
      <c r="CM139" s="21">
        <f>EXP(-LN(2)/2)*CM138+(1-EXP(-LN(2)/2))/(LN(2)/2)*CG139*CJ139*VLOOKUP('Données projet'!$B$12,Paramètres!$A$1:$I$89,3,0)*0.475*44/12</f>
        <v>8.0325966465709758E-10</v>
      </c>
      <c r="CN139" s="22">
        <f t="shared" si="120"/>
        <v>64.366253392782269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379.16472924112111</v>
      </c>
      <c r="CZ139" s="59">
        <f t="shared" si="150"/>
        <v>273.18950868898253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78.82826882420548</v>
      </c>
      <c r="DG139" s="21">
        <f>EXP(-LN(2)/25)*DG138+(1-EXP(-LN(2)/25))/(LN(2)/25)*Calculateur!DB139*Calculateur!DD139*VLOOKUP('Données projet'!$B$13,Paramètres!$A$1:$I$89,3,0)*0.475*44/12</f>
        <v>9.8039840728227219</v>
      </c>
      <c r="DH139" s="21">
        <f>EXP(-LN(2)/2)*DH138+(1-EXP(-LN(2)/2))/(LN(2)/2)*DB139*DE139*VLOOKUP('Données projet'!$B$13,Paramètres!$A$1:$I$89,3,0)*0.475*44/12</f>
        <v>3.6465900153669053E-6</v>
      </c>
      <c r="DI139" s="22">
        <f t="shared" si="123"/>
        <v>88.632256543618212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6.8212102632969618E-13</v>
      </c>
      <c r="DP139" s="17">
        <f>DO139*VLOOKUP('Données projet'!$B$14,Paramètres!$A$1:$I$89,3,0)*VLOOKUP('Données projet'!$B$14,Paramètres!$A$1:$I$89,5,0)</f>
        <v>2.7489477361086753E-13</v>
      </c>
      <c r="DQ139" s="13">
        <f t="shared" si="151"/>
        <v>3.6711283554998768E-12</v>
      </c>
      <c r="DR139" s="20">
        <f t="shared" si="124"/>
        <v>6.8726569498678791E-12</v>
      </c>
      <c r="DS139" s="59">
        <f t="shared" si="125"/>
        <v>284.8495303948921</v>
      </c>
      <c r="DT139" s="59">
        <f ca="1">AVERAGE(OFFSET($DS$3,0,0,'Données projet'!$E$14+1,1))-AVERAGE(OFFSET($H$3,0,0,'Données projet'!$E$14+1,1))</f>
        <v>419.35339339286082</v>
      </c>
      <c r="DU139" s="59">
        <f t="shared" si="152"/>
        <v>359.03308141414709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87.839722292516115</v>
      </c>
      <c r="EB139" s="21">
        <f>EXP(-LN(2)/25)*EB138+(1-EXP(-LN(2)/25))/(LN(2)/25)*Calculateur!DW139*Calculateur!DY139*VLOOKUP('Données projet'!$B$14,Paramètres!$A$1:$I$89,3,0)*0.475*44/12</f>
        <v>9.8723831119527201</v>
      </c>
      <c r="EC139" s="21">
        <f>EXP(-LN(2)/2)*EC138+(1-EXP(-LN(2)/2))/(LN(2)/2)*DW139*DZ139*VLOOKUP('Données projet'!$B$14,Paramètres!$A$1:$I$89,3,0)*0.475*44/12</f>
        <v>1.3007123268899454E-7</v>
      </c>
      <c r="ED139" s="22">
        <f t="shared" si="126"/>
        <v>97.712105534540058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2.2737367544323206E-13</v>
      </c>
      <c r="EK139" s="17">
        <f>EJ139*VLOOKUP('Données projet'!$B$15,Paramètres!$A$1:$I$89,3,0)*VLOOKUP('Données projet'!$B$15,Paramètres!$A$1:$I$89,5,0)</f>
        <v>1.0049916454590858E-13</v>
      </c>
      <c r="EL139" s="13">
        <f t="shared" si="153"/>
        <v>1.5089081593838289E-12</v>
      </c>
      <c r="EM139" s="20">
        <f t="shared" si="127"/>
        <v>2.8030510891776262E-12</v>
      </c>
      <c r="EN139" s="59">
        <f t="shared" si="128"/>
        <v>284.84953039488801</v>
      </c>
      <c r="EO139" s="59">
        <f ca="1">AVERAGE(OFFSET($EN$3,0,0,'Données projet'!$E$15+1,1))-AVERAGE(OFFSET($H$3,0,0,'Données projet'!$E$15+1,1))</f>
        <v>561.50881628354409</v>
      </c>
      <c r="EP139" s="59">
        <f t="shared" si="154"/>
        <v>468.67708352238458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110.2225058441411</v>
      </c>
      <c r="EW139" s="21">
        <f>EXP(-LN(2)/25)*EW138+(1-EXP(-LN(2)/25))/(LN(2)/25)*Calculateur!ER139*Calculateur!ET139*VLOOKUP('Données projet'!$B$15,Paramètres!$A$1:$I$89,3,0)*0.475*44/12</f>
        <v>12.807719594144924</v>
      </c>
      <c r="EX139" s="21">
        <f>EXP(-LN(2)/2)*EX138+(1-EXP(-LN(2)/2))/(LN(2)/2)*ER139*EU139*VLOOKUP('Données projet'!$B$15,Paramètres!$A$1:$I$89,3,0)*0.475*44/12</f>
        <v>1.7237689720519474E-7</v>
      </c>
      <c r="EY139" s="22">
        <f t="shared" si="129"/>
        <v>123.03022561066292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5.1431925385259088E-14</v>
      </c>
      <c r="P140" s="13">
        <f t="shared" si="141"/>
        <v>8.3482866290946129E-13</v>
      </c>
      <c r="Q140" s="20">
        <f t="shared" si="108"/>
        <v>1.5435705246133045E-12</v>
      </c>
      <c r="R140" s="59">
        <f t="shared" si="109"/>
        <v>284.99670540892691</v>
      </c>
      <c r="S140" s="59">
        <f ca="1">AVERAGE(OFFSET($R$3,0,0,'Données projet'!$E$9+1,1))-AVERAGE(OFFSET($H$3,0,0,'Données projet'!$E$9+1,1))</f>
        <v>484.04602944257209</v>
      </c>
      <c r="T140" s="59">
        <f t="shared" si="142"/>
        <v>297.32483725004124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124.49842433817587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124.49842433817587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projet'!$B$10,Paramètres!$A$1:$I$89,3,0)*VLOOKUP('Données projet'!$B$10,Paramètres!$A$1:$I$89,5,0)</f>
        <v>-5.1786628318950535E-13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493.74122500490859</v>
      </c>
      <c r="AO140" s="59">
        <f t="shared" si="144"/>
        <v>299.43985151679692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111.80231496423499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111.80231496423499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364.64276939439014</v>
      </c>
      <c r="BJ140" s="59">
        <f t="shared" si="146"/>
        <v>341.7578598026638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42.827844110723611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42.827844110723611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3.4106051316484809E-13</v>
      </c>
      <c r="BZ140" s="13">
        <f>BY140*VLOOKUP('Données projet'!$B$12,Paramètres!$A$1:$I$89,3,0)*VLOOKUP('Données projet'!$B$12,Paramètres!$A$1:$I$89,5,0)</f>
        <v>2.0395418687257919E-13</v>
      </c>
      <c r="CA140" s="13">
        <f t="shared" si="147"/>
        <v>2.8200388570161721E-12</v>
      </c>
      <c r="CB140" s="20">
        <f t="shared" si="118"/>
        <v>5.2667878847729083E-12</v>
      </c>
      <c r="CC140" s="59">
        <f t="shared" si="119"/>
        <v>284.99670540893067</v>
      </c>
      <c r="CD140" s="59">
        <f ca="1">AVERAGE(OFFSET($CC$3,0,0,'Données projet'!$E$12+1,1))-AVERAGE(OFFSET($H$3,0,0,'Données projet'!$E$12+1,1))</f>
        <v>435.81281313761326</v>
      </c>
      <c r="CE140" s="59">
        <f t="shared" si="148"/>
        <v>460.93390058676493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55.993834812664865</v>
      </c>
      <c r="CL140" s="21">
        <f>EXP(-LN(2)/25)*CL139+(1-EXP(-LN(2)/25))/(LN(2)/25)*Calculateur!CG140*Calculateur!CI140*VLOOKUP('Données projet'!$B$12,Paramètres!$A$1:$I$89,3,0)*0.475*44/12</f>
        <v>7.0541330904814599</v>
      </c>
      <c r="CM140" s="21">
        <f>EXP(-LN(2)/2)*CM139+(1-EXP(-LN(2)/2))/(LN(2)/2)*CG140*CJ140*VLOOKUP('Données projet'!$B$12,Paramètres!$A$1:$I$89,3,0)*0.475*44/12</f>
        <v>5.6799035593266584E-10</v>
      </c>
      <c r="CN140" s="22">
        <f t="shared" si="120"/>
        <v>63.047967903714316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379.16472924112111</v>
      </c>
      <c r="CZ140" s="59">
        <f t="shared" si="150"/>
        <v>273.18950868898253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77.282494553059237</v>
      </c>
      <c r="DG140" s="21">
        <f>EXP(-LN(2)/25)*DG139+(1-EXP(-LN(2)/25))/(LN(2)/25)*Calculateur!DB140*Calculateur!DD140*VLOOKUP('Données projet'!$B$13,Paramètres!$A$1:$I$89,3,0)*0.475*44/12</f>
        <v>9.5358936127822691</v>
      </c>
      <c r="DH140" s="21">
        <f>EXP(-LN(2)/2)*DH139+(1-EXP(-LN(2)/2))/(LN(2)/2)*DB140*DE140*VLOOKUP('Données projet'!$B$13,Paramètres!$A$1:$I$89,3,0)*0.475*44/12</f>
        <v>2.5785285280730952E-6</v>
      </c>
      <c r="DI140" s="22">
        <f t="shared" si="123"/>
        <v>86.818390744370035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6.8212102632969618E-13</v>
      </c>
      <c r="DP140" s="17">
        <f>DO140*VLOOKUP('Données projet'!$B$14,Paramètres!$A$1:$I$89,3,0)*VLOOKUP('Données projet'!$B$14,Paramètres!$A$1:$I$89,5,0)</f>
        <v>2.7489477361086753E-13</v>
      </c>
      <c r="DQ140" s="13">
        <f t="shared" si="151"/>
        <v>3.6711283554998768E-12</v>
      </c>
      <c r="DR140" s="20">
        <f t="shared" si="124"/>
        <v>6.8726569498678791E-12</v>
      </c>
      <c r="DS140" s="59">
        <f t="shared" si="125"/>
        <v>284.99670540893226</v>
      </c>
      <c r="DT140" s="59">
        <f ca="1">AVERAGE(OFFSET($DS$3,0,0,'Données projet'!$E$14+1,1))-AVERAGE(OFFSET($H$3,0,0,'Données projet'!$E$14+1,1))</f>
        <v>419.35339339286082</v>
      </c>
      <c r="DU140" s="59">
        <f t="shared" si="152"/>
        <v>359.03308141414709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86.117238915300192</v>
      </c>
      <c r="EB140" s="21">
        <f>EXP(-LN(2)/25)*EB139+(1-EXP(-LN(2)/25))/(LN(2)/25)*Calculateur!DW140*Calculateur!DY140*VLOOKUP('Données projet'!$B$14,Paramètres!$A$1:$I$89,3,0)*0.475*44/12</f>
        <v>9.6024222765903087</v>
      </c>
      <c r="EC140" s="21">
        <f>EXP(-LN(2)/2)*EC139+(1-EXP(-LN(2)/2))/(LN(2)/2)*DW140*DZ140*VLOOKUP('Données projet'!$B$14,Paramètres!$A$1:$I$89,3,0)*0.475*44/12</f>
        <v>9.1974250671681372E-8</v>
      </c>
      <c r="ED140" s="22">
        <f t="shared" si="126"/>
        <v>95.719661283864752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2.2737367544323206E-13</v>
      </c>
      <c r="EK140" s="17">
        <f>EJ140*VLOOKUP('Données projet'!$B$15,Paramètres!$A$1:$I$89,3,0)*VLOOKUP('Données projet'!$B$15,Paramètres!$A$1:$I$89,5,0)</f>
        <v>1.0049916454590858E-13</v>
      </c>
      <c r="EL140" s="13">
        <f t="shared" si="153"/>
        <v>1.5089081593838289E-12</v>
      </c>
      <c r="EM140" s="20">
        <f t="shared" si="127"/>
        <v>2.8030510891776262E-12</v>
      </c>
      <c r="EN140" s="59">
        <f t="shared" si="128"/>
        <v>284.99670540892816</v>
      </c>
      <c r="EO140" s="59">
        <f ca="1">AVERAGE(OFFSET($EN$3,0,0,'Données projet'!$E$15+1,1))-AVERAGE(OFFSET($H$3,0,0,'Données projet'!$E$15+1,1))</f>
        <v>561.50881628354409</v>
      </c>
      <c r="EP140" s="59">
        <f t="shared" si="154"/>
        <v>468.67708352238458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108.06110973362773</v>
      </c>
      <c r="EW140" s="21">
        <f>EXP(-LN(2)/25)*EW139+(1-EXP(-LN(2)/25))/(LN(2)/25)*Calculateur!ER140*Calculateur!ET140*VLOOKUP('Données projet'!$B$15,Paramètres!$A$1:$I$89,3,0)*0.475*44/12</f>
        <v>12.45749182831433</v>
      </c>
      <c r="EX140" s="21">
        <f>EXP(-LN(2)/2)*EX139+(1-EXP(-LN(2)/2))/(LN(2)/2)*ER140*EU140*VLOOKUP('Données projet'!$B$15,Paramètres!$A$1:$I$89,3,0)*0.475*44/12</f>
        <v>1.2188887293368963E-7</v>
      </c>
      <c r="EY140" s="22">
        <f t="shared" si="129"/>
        <v>120.51860168383094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5.1431925385259088E-14</v>
      </c>
      <c r="P141" s="13">
        <f t="shared" si="141"/>
        <v>8.3482866290946129E-13</v>
      </c>
      <c r="Q141" s="20">
        <f t="shared" si="108"/>
        <v>1.5435705246133045E-12</v>
      </c>
      <c r="R141" s="59">
        <f t="shared" si="109"/>
        <v>285.14132726550747</v>
      </c>
      <c r="S141" s="59">
        <f ca="1">AVERAGE(OFFSET($R$3,0,0,'Données projet'!$E$9+1,1))-AVERAGE(OFFSET($H$3,0,0,'Données projet'!$E$9+1,1))</f>
        <v>484.04602944257209</v>
      </c>
      <c r="T141" s="59">
        <f t="shared" si="142"/>
        <v>297.32483725004124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122.05708617344497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122.05708617344497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projet'!$B$10,Paramètres!$A$1:$I$89,3,0)*VLOOKUP('Données projet'!$B$10,Paramètres!$A$1:$I$89,5,0)</f>
        <v>-5.1786628318950535E-13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493.74122500490859</v>
      </c>
      <c r="AO141" s="59">
        <f t="shared" si="144"/>
        <v>299.43985151679692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109.60993976046501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109.60993976046501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364.64276939439014</v>
      </c>
      <c r="BJ141" s="59">
        <f t="shared" si="146"/>
        <v>341.7578598026638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41.988016210117856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41.988016210117856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3.4106051316484809E-13</v>
      </c>
      <c r="BZ141" s="13">
        <f>BY141*VLOOKUP('Données projet'!$B$12,Paramètres!$A$1:$I$89,3,0)*VLOOKUP('Données projet'!$B$12,Paramètres!$A$1:$I$89,5,0)</f>
        <v>2.0395418687257919E-13</v>
      </c>
      <c r="CA141" s="13">
        <f t="shared" si="147"/>
        <v>2.8200388570161721E-12</v>
      </c>
      <c r="CB141" s="20">
        <f t="shared" si="118"/>
        <v>5.2667878847729083E-12</v>
      </c>
      <c r="CC141" s="59">
        <f t="shared" si="119"/>
        <v>285.14132726551122</v>
      </c>
      <c r="CD141" s="59">
        <f ca="1">AVERAGE(OFFSET($CC$3,0,0,'Données projet'!$E$12+1,1))-AVERAGE(OFFSET($H$3,0,0,'Données projet'!$E$12+1,1))</f>
        <v>435.81281313761326</v>
      </c>
      <c r="CE141" s="59">
        <f t="shared" si="148"/>
        <v>460.93390058676493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54.895829864855429</v>
      </c>
      <c r="CL141" s="21">
        <f>EXP(-LN(2)/25)*CL140+(1-EXP(-LN(2)/25))/(LN(2)/25)*Calculateur!CG141*Calculateur!CI141*VLOOKUP('Données projet'!$B$12,Paramètres!$A$1:$I$89,3,0)*0.475*44/12</f>
        <v>6.8612374501615072</v>
      </c>
      <c r="CM141" s="21">
        <f>EXP(-LN(2)/2)*CM140+(1-EXP(-LN(2)/2))/(LN(2)/2)*CG141*CJ141*VLOOKUP('Données projet'!$B$12,Paramètres!$A$1:$I$89,3,0)*0.475*44/12</f>
        <v>4.0162983232854879E-10</v>
      </c>
      <c r="CN141" s="22">
        <f t="shared" si="120"/>
        <v>61.757067315418567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379.16472924112111</v>
      </c>
      <c r="CZ141" s="59">
        <f t="shared" si="150"/>
        <v>273.18950868898253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75.767031972540963</v>
      </c>
      <c r="DG141" s="21">
        <f>EXP(-LN(2)/25)*DG140+(1-EXP(-LN(2)/25))/(LN(2)/25)*Calculateur!DB141*Calculateur!DD141*VLOOKUP('Données projet'!$B$13,Paramètres!$A$1:$I$89,3,0)*0.475*44/12</f>
        <v>9.275134100469888</v>
      </c>
      <c r="DH141" s="21">
        <f>EXP(-LN(2)/2)*DH140+(1-EXP(-LN(2)/2))/(LN(2)/2)*DB141*DE141*VLOOKUP('Données projet'!$B$13,Paramètres!$A$1:$I$89,3,0)*0.475*44/12</f>
        <v>1.8232950076834526E-6</v>
      </c>
      <c r="DI141" s="22">
        <f t="shared" si="123"/>
        <v>85.042167896305855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6.8212102632969618E-13</v>
      </c>
      <c r="DP141" s="17">
        <f>DO141*VLOOKUP('Données projet'!$B$14,Paramètres!$A$1:$I$89,3,0)*VLOOKUP('Données projet'!$B$14,Paramètres!$A$1:$I$89,5,0)</f>
        <v>2.7489477361086753E-13</v>
      </c>
      <c r="DQ141" s="13">
        <f t="shared" si="151"/>
        <v>3.6711283554998768E-12</v>
      </c>
      <c r="DR141" s="20">
        <f t="shared" si="124"/>
        <v>6.8726569498678791E-12</v>
      </c>
      <c r="DS141" s="59">
        <f t="shared" si="125"/>
        <v>285.14132726551281</v>
      </c>
      <c r="DT141" s="59">
        <f ca="1">AVERAGE(OFFSET($DS$3,0,0,'Données projet'!$E$14+1,1))-AVERAGE(OFFSET($H$3,0,0,'Données projet'!$E$14+1,1))</f>
        <v>419.35339339286082</v>
      </c>
      <c r="DU141" s="59">
        <f t="shared" si="152"/>
        <v>359.03308141414709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84.428532386500351</v>
      </c>
      <c r="EB141" s="21">
        <f>EXP(-LN(2)/25)*EB140+(1-EXP(-LN(2)/25))/(LN(2)/25)*Calculateur!DW141*Calculateur!DY141*VLOOKUP('Données projet'!$B$14,Paramètres!$A$1:$I$89,3,0)*0.475*44/12</f>
        <v>9.339843534467505</v>
      </c>
      <c r="EC141" s="21">
        <f>EXP(-LN(2)/2)*EC140+(1-EXP(-LN(2)/2))/(LN(2)/2)*DW141*DZ141*VLOOKUP('Données projet'!$B$14,Paramètres!$A$1:$I$89,3,0)*0.475*44/12</f>
        <v>6.503561634449727E-8</v>
      </c>
      <c r="ED141" s="22">
        <f t="shared" si="126"/>
        <v>93.768375986003477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2.2737367544323206E-13</v>
      </c>
      <c r="EK141" s="17">
        <f>EJ141*VLOOKUP('Données projet'!$B$15,Paramètres!$A$1:$I$89,3,0)*VLOOKUP('Données projet'!$B$15,Paramètres!$A$1:$I$89,5,0)</f>
        <v>1.0049916454590858E-13</v>
      </c>
      <c r="EL141" s="13">
        <f t="shared" si="153"/>
        <v>1.5089081593838289E-12</v>
      </c>
      <c r="EM141" s="20">
        <f t="shared" si="127"/>
        <v>2.8030510891776262E-12</v>
      </c>
      <c r="EN141" s="59">
        <f t="shared" si="128"/>
        <v>285.14132726550872</v>
      </c>
      <c r="EO141" s="59">
        <f ca="1">AVERAGE(OFFSET($EN$3,0,0,'Données projet'!$E$15+1,1))-AVERAGE(OFFSET($H$3,0,0,'Données projet'!$E$15+1,1))</f>
        <v>561.50881628354409</v>
      </c>
      <c r="EP141" s="59">
        <f t="shared" si="154"/>
        <v>468.67708352238458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105.94209728252008</v>
      </c>
      <c r="EW141" s="21">
        <f>EXP(-LN(2)/25)*EW140+(1-EXP(-LN(2)/25))/(LN(2)/25)*Calculateur!ER141*Calculateur!ET141*VLOOKUP('Données projet'!$B$15,Paramètres!$A$1:$I$89,3,0)*0.475*44/12</f>
        <v>12.116841059158052</v>
      </c>
      <c r="EX141" s="21">
        <f>EXP(-LN(2)/2)*EX140+(1-EXP(-LN(2)/2))/(LN(2)/2)*ER141*EU141*VLOOKUP('Données projet'!$B$15,Paramètres!$A$1:$I$89,3,0)*0.475*44/12</f>
        <v>8.6188448602597372E-8</v>
      </c>
      <c r="EY141" s="22">
        <f t="shared" si="129"/>
        <v>118.05893842786658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5.1431925385259088E-14</v>
      </c>
      <c r="P142" s="13">
        <f t="shared" si="141"/>
        <v>8.3482866290946129E-13</v>
      </c>
      <c r="Q142" s="20">
        <f t="shared" si="108"/>
        <v>1.5435705246133045E-12</v>
      </c>
      <c r="R142" s="59">
        <f t="shared" si="109"/>
        <v>285.28344025620243</v>
      </c>
      <c r="S142" s="59">
        <f ca="1">AVERAGE(OFFSET($R$3,0,0,'Données projet'!$E$9+1,1))-AVERAGE(OFFSET($H$3,0,0,'Données projet'!$E$9+1,1))</f>
        <v>484.04602944257209</v>
      </c>
      <c r="T142" s="59">
        <f t="shared" si="142"/>
        <v>297.32483725004124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119.6636211610552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119.6636211610552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projet'!$B$10,Paramètres!$A$1:$I$89,3,0)*VLOOKUP('Données projet'!$B$10,Paramètres!$A$1:$I$89,5,0)</f>
        <v>-5.1786628318950535E-13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493.74122500490859</v>
      </c>
      <c r="AO142" s="59">
        <f t="shared" si="144"/>
        <v>299.43985151679692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107.46055569722412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107.46055569722412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364.64276939439014</v>
      </c>
      <c r="BJ142" s="59">
        <f t="shared" si="146"/>
        <v>341.7578598026638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41.164656822398541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41.164656822398541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3.4106051316484809E-13</v>
      </c>
      <c r="BZ142" s="13">
        <f>BY142*VLOOKUP('Données projet'!$B$12,Paramètres!$A$1:$I$89,3,0)*VLOOKUP('Données projet'!$B$12,Paramètres!$A$1:$I$89,5,0)</f>
        <v>2.0395418687257919E-13</v>
      </c>
      <c r="CA142" s="13">
        <f t="shared" si="147"/>
        <v>2.8200388570161721E-12</v>
      </c>
      <c r="CB142" s="20">
        <f t="shared" si="118"/>
        <v>5.2667878847729083E-12</v>
      </c>
      <c r="CC142" s="59">
        <f t="shared" si="119"/>
        <v>285.28344025620618</v>
      </c>
      <c r="CD142" s="59">
        <f ca="1">AVERAGE(OFFSET($CC$3,0,0,'Données projet'!$E$12+1,1))-AVERAGE(OFFSET($H$3,0,0,'Données projet'!$E$12+1,1))</f>
        <v>435.81281313761326</v>
      </c>
      <c r="CE142" s="59">
        <f t="shared" si="148"/>
        <v>460.93390058676493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53.819356124355643</v>
      </c>
      <c r="CL142" s="21">
        <f>EXP(-LN(2)/25)*CL141+(1-EXP(-LN(2)/25))/(LN(2)/25)*Calculateur!CG142*Calculateur!CI142*VLOOKUP('Données projet'!$B$12,Paramètres!$A$1:$I$89,3,0)*0.475*44/12</f>
        <v>6.6736165512700447</v>
      </c>
      <c r="CM142" s="21">
        <f>EXP(-LN(2)/2)*CM141+(1-EXP(-LN(2)/2))/(LN(2)/2)*CG142*CJ142*VLOOKUP('Données projet'!$B$12,Paramètres!$A$1:$I$89,3,0)*0.475*44/12</f>
        <v>2.8399517796633292E-10</v>
      </c>
      <c r="CN142" s="22">
        <f t="shared" si="120"/>
        <v>60.492972675909684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379.16472924112111</v>
      </c>
      <c r="CZ142" s="59">
        <f t="shared" si="150"/>
        <v>273.18950868898253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74.281286688885757</v>
      </c>
      <c r="DG142" s="21">
        <f>EXP(-LN(2)/25)*DG141+(1-EXP(-LN(2)/25))/(LN(2)/25)*Calculateur!DB142*Calculateur!DD142*VLOOKUP('Données projet'!$B$13,Paramètres!$A$1:$I$89,3,0)*0.475*44/12</f>
        <v>9.0215050707344346</v>
      </c>
      <c r="DH142" s="21">
        <f>EXP(-LN(2)/2)*DH141+(1-EXP(-LN(2)/2))/(LN(2)/2)*DB142*DE142*VLOOKUP('Données projet'!$B$13,Paramètres!$A$1:$I$89,3,0)*0.475*44/12</f>
        <v>1.2892642640365476E-6</v>
      </c>
      <c r="DI142" s="22">
        <f t="shared" si="123"/>
        <v>83.302793048884453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6.8212102632969618E-13</v>
      </c>
      <c r="DP142" s="17">
        <f>DO142*VLOOKUP('Données projet'!$B$14,Paramètres!$A$1:$I$89,3,0)*VLOOKUP('Données projet'!$B$14,Paramètres!$A$1:$I$89,5,0)</f>
        <v>2.7489477361086753E-13</v>
      </c>
      <c r="DQ142" s="13">
        <f t="shared" si="151"/>
        <v>3.6711283554998768E-12</v>
      </c>
      <c r="DR142" s="20">
        <f t="shared" si="124"/>
        <v>6.8726569498678791E-12</v>
      </c>
      <c r="DS142" s="59">
        <f t="shared" si="125"/>
        <v>285.28344025620777</v>
      </c>
      <c r="DT142" s="59">
        <f ca="1">AVERAGE(OFFSET($DS$3,0,0,'Données projet'!$E$14+1,1))-AVERAGE(OFFSET($H$3,0,0,'Données projet'!$E$14+1,1))</f>
        <v>419.35339339286082</v>
      </c>
      <c r="DU142" s="59">
        <f t="shared" si="152"/>
        <v>359.03308141414709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82.772940362721002</v>
      </c>
      <c r="EB142" s="21">
        <f>EXP(-LN(2)/25)*EB141+(1-EXP(-LN(2)/25))/(LN(2)/25)*Calculateur!DW142*Calculateur!DY142*VLOOKUP('Données projet'!$B$14,Paramètres!$A$1:$I$89,3,0)*0.475*44/12</f>
        <v>9.0844450218564656</v>
      </c>
      <c r="EC142" s="21">
        <f>EXP(-LN(2)/2)*EC141+(1-EXP(-LN(2)/2))/(LN(2)/2)*DW142*DZ142*VLOOKUP('Données projet'!$B$14,Paramètres!$A$1:$I$89,3,0)*0.475*44/12</f>
        <v>4.5987125335840686E-8</v>
      </c>
      <c r="ED142" s="22">
        <f t="shared" si="126"/>
        <v>91.857385430564591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2.2737367544323206E-13</v>
      </c>
      <c r="EK142" s="17">
        <f>EJ142*VLOOKUP('Données projet'!$B$15,Paramètres!$A$1:$I$89,3,0)*VLOOKUP('Données projet'!$B$15,Paramètres!$A$1:$I$89,5,0)</f>
        <v>1.0049916454590858E-13</v>
      </c>
      <c r="EL142" s="13">
        <f t="shared" si="153"/>
        <v>1.5089081593838289E-12</v>
      </c>
      <c r="EM142" s="20">
        <f t="shared" si="127"/>
        <v>2.8030510891776262E-12</v>
      </c>
      <c r="EN142" s="59">
        <f t="shared" si="128"/>
        <v>285.28344025620368</v>
      </c>
      <c r="EO142" s="59">
        <f ca="1">AVERAGE(OFFSET($EN$3,0,0,'Données projet'!$E$15+1,1))-AVERAGE(OFFSET($H$3,0,0,'Données projet'!$E$15+1,1))</f>
        <v>561.50881628354409</v>
      </c>
      <c r="EP142" s="59">
        <f t="shared" si="154"/>
        <v>468.67708352238458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103.86463737310868</v>
      </c>
      <c r="EW142" s="21">
        <f>EXP(-LN(2)/25)*EW141+(1-EXP(-LN(2)/25))/(LN(2)/25)*Calculateur!ER142*Calculateur!ET142*VLOOKUP('Données projet'!$B$15,Paramètres!$A$1:$I$89,3,0)*0.475*44/12</f>
        <v>11.785505403198396</v>
      </c>
      <c r="EX142" s="21">
        <f>EXP(-LN(2)/2)*EX141+(1-EXP(-LN(2)/2))/(LN(2)/2)*ER142*EU142*VLOOKUP('Données projet'!$B$15,Paramètres!$A$1:$I$89,3,0)*0.475*44/12</f>
        <v>6.0944436466844816E-8</v>
      </c>
      <c r="EY142" s="22">
        <f t="shared" si="129"/>
        <v>115.65014283725151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5.1431925385259088E-14</v>
      </c>
      <c r="P143" s="13">
        <f t="shared" si="141"/>
        <v>8.3482866290946129E-13</v>
      </c>
      <c r="Q143" s="20">
        <f t="shared" si="108"/>
        <v>1.5435705246133045E-12</v>
      </c>
      <c r="R143" s="59">
        <f t="shared" si="109"/>
        <v>285.42308790422589</v>
      </c>
      <c r="S143" s="59">
        <f ca="1">AVERAGE(OFFSET($R$3,0,0,'Données projet'!$E$9+1,1))-AVERAGE(OFFSET($H$3,0,0,'Données projet'!$E$9+1,1))</f>
        <v>484.04602944257209</v>
      </c>
      <c r="T143" s="59">
        <f t="shared" si="142"/>
        <v>297.32483725004124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117.3170905376889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117.3170905376889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projet'!$B$10,Paramètres!$A$1:$I$89,3,0)*VLOOKUP('Données projet'!$B$10,Paramètres!$A$1:$I$89,5,0)</f>
        <v>-5.1786628318950535E-13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493.74122500490859</v>
      </c>
      <c r="AO143" s="59">
        <f t="shared" si="144"/>
        <v>299.43985151679692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105.35331974446855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105.35331974446855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364.64276939439014</v>
      </c>
      <c r="BJ143" s="59">
        <f t="shared" si="146"/>
        <v>341.7578598026638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40.357443010072764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40.357443010072764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3.4106051316484809E-13</v>
      </c>
      <c r="BZ143" s="13">
        <f>BY143*VLOOKUP('Données projet'!$B$12,Paramètres!$A$1:$I$89,3,0)*VLOOKUP('Données projet'!$B$12,Paramètres!$A$1:$I$89,5,0)</f>
        <v>2.0395418687257919E-13</v>
      </c>
      <c r="CA143" s="13">
        <f t="shared" si="147"/>
        <v>2.8200388570161721E-12</v>
      </c>
      <c r="CB143" s="20">
        <f t="shared" si="118"/>
        <v>5.2667878847729083E-12</v>
      </c>
      <c r="CC143" s="59">
        <f t="shared" si="119"/>
        <v>285.42308790422965</v>
      </c>
      <c r="CD143" s="59">
        <f ca="1">AVERAGE(OFFSET($CC$3,0,0,'Données projet'!$E$12+1,1))-AVERAGE(OFFSET($H$3,0,0,'Données projet'!$E$12+1,1))</f>
        <v>435.81281313761326</v>
      </c>
      <c r="CE143" s="59">
        <f t="shared" si="148"/>
        <v>460.93390058676493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52.76399137732291</v>
      </c>
      <c r="CL143" s="21">
        <f>EXP(-LN(2)/25)*CL142+(1-EXP(-LN(2)/25))/(LN(2)/25)*Calculateur!CG143*Calculateur!CI143*VLOOKUP('Données projet'!$B$12,Paramètres!$A$1:$I$89,3,0)*0.475*44/12</f>
        <v>6.4911261557253237</v>
      </c>
      <c r="CM143" s="21">
        <f>EXP(-LN(2)/2)*CM142+(1-EXP(-LN(2)/2))/(LN(2)/2)*CG143*CJ143*VLOOKUP('Données projet'!$B$12,Paramètres!$A$1:$I$89,3,0)*0.475*44/12</f>
        <v>2.008149161642744E-10</v>
      </c>
      <c r="CN143" s="22">
        <f t="shared" si="120"/>
        <v>59.255117533249049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379.16472924112111</v>
      </c>
      <c r="CZ143" s="59">
        <f t="shared" si="150"/>
        <v>273.18950868898253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72.824675964027875</v>
      </c>
      <c r="DG143" s="21">
        <f>EXP(-LN(2)/25)*DG142+(1-EXP(-LN(2)/25))/(LN(2)/25)*Calculateur!DB143*Calculateur!DD143*VLOOKUP('Données projet'!$B$13,Paramètres!$A$1:$I$89,3,0)*0.475*44/12</f>
        <v>8.7748115401548681</v>
      </c>
      <c r="DH143" s="21">
        <f>EXP(-LN(2)/2)*DH142+(1-EXP(-LN(2)/2))/(LN(2)/2)*DB143*DE143*VLOOKUP('Données projet'!$B$13,Paramètres!$A$1:$I$89,3,0)*0.475*44/12</f>
        <v>9.1164750384172632E-7</v>
      </c>
      <c r="DI143" s="22">
        <f t="shared" si="123"/>
        <v>81.599488415830251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6.8212102632969618E-13</v>
      </c>
      <c r="DP143" s="17">
        <f>DO143*VLOOKUP('Données projet'!$B$14,Paramètres!$A$1:$I$89,3,0)*VLOOKUP('Données projet'!$B$14,Paramètres!$A$1:$I$89,5,0)</f>
        <v>2.7489477361086753E-13</v>
      </c>
      <c r="DQ143" s="13">
        <f t="shared" si="151"/>
        <v>3.6711283554998768E-12</v>
      </c>
      <c r="DR143" s="20">
        <f t="shared" si="124"/>
        <v>6.8726569498678791E-12</v>
      </c>
      <c r="DS143" s="59">
        <f t="shared" si="125"/>
        <v>285.42308790423124</v>
      </c>
      <c r="DT143" s="59">
        <f ca="1">AVERAGE(OFFSET($DS$3,0,0,'Données projet'!$E$14+1,1))-AVERAGE(OFFSET($H$3,0,0,'Données projet'!$E$14+1,1))</f>
        <v>419.35339339286082</v>
      </c>
      <c r="DU143" s="59">
        <f t="shared" si="152"/>
        <v>359.03308141414709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81.149813488716532</v>
      </c>
      <c r="EB143" s="21">
        <f>EXP(-LN(2)/25)*EB142+(1-EXP(-LN(2)/25))/(LN(2)/25)*Calculateur!DW143*Calculateur!DY143*VLOOKUP('Données projet'!$B$14,Paramètres!$A$1:$I$89,3,0)*0.475*44/12</f>
        <v>8.8360303950036005</v>
      </c>
      <c r="EC143" s="21">
        <f>EXP(-LN(2)/2)*EC142+(1-EXP(-LN(2)/2))/(LN(2)/2)*DW143*DZ143*VLOOKUP('Données projet'!$B$14,Paramètres!$A$1:$I$89,3,0)*0.475*44/12</f>
        <v>3.2517808172248635E-8</v>
      </c>
      <c r="ED143" s="22">
        <f t="shared" si="126"/>
        <v>89.98584391623794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2.2737367544323206E-13</v>
      </c>
      <c r="EK143" s="17">
        <f>EJ143*VLOOKUP('Données projet'!$B$15,Paramètres!$A$1:$I$89,3,0)*VLOOKUP('Données projet'!$B$15,Paramètres!$A$1:$I$89,5,0)</f>
        <v>1.0049916454590858E-13</v>
      </c>
      <c r="EL143" s="13">
        <f t="shared" si="153"/>
        <v>1.5089081593838289E-12</v>
      </c>
      <c r="EM143" s="20">
        <f t="shared" si="127"/>
        <v>2.8030510891776262E-12</v>
      </c>
      <c r="EN143" s="59">
        <f t="shared" si="128"/>
        <v>285.42308790422715</v>
      </c>
      <c r="EO143" s="59">
        <f ca="1">AVERAGE(OFFSET($EN$3,0,0,'Données projet'!$E$15+1,1))-AVERAGE(OFFSET($H$3,0,0,'Données projet'!$E$15+1,1))</f>
        <v>561.50881628354409</v>
      </c>
      <c r="EP143" s="59">
        <f t="shared" si="154"/>
        <v>468.67708352238458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101.82791518539541</v>
      </c>
      <c r="EW143" s="21">
        <f>EXP(-LN(2)/25)*EW142+(1-EXP(-LN(2)/25))/(LN(2)/25)*Calculateur!ER143*Calculateur!ET143*VLOOKUP('Données projet'!$B$15,Paramètres!$A$1:$I$89,3,0)*0.475*44/12</f>
        <v>11.463230138175144</v>
      </c>
      <c r="EX143" s="21">
        <f>EXP(-LN(2)/2)*EX142+(1-EXP(-LN(2)/2))/(LN(2)/2)*ER143*EU143*VLOOKUP('Données projet'!$B$15,Paramètres!$A$1:$I$89,3,0)*0.475*44/12</f>
        <v>4.3094224301298686E-8</v>
      </c>
      <c r="EY143" s="22">
        <f t="shared" si="129"/>
        <v>113.29114536666478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5.1431925385259088E-14</v>
      </c>
      <c r="P144" s="13">
        <f t="shared" si="141"/>
        <v>8.3482866290946129E-13</v>
      </c>
      <c r="Q144" s="20">
        <f t="shared" si="108"/>
        <v>1.5435705246133045E-12</v>
      </c>
      <c r="R144" s="59">
        <f t="shared" si="109"/>
        <v>285.56031297776155</v>
      </c>
      <c r="S144" s="59">
        <f ca="1">AVERAGE(OFFSET($R$3,0,0,'Données projet'!$E$9+1,1))-AVERAGE(OFFSET($H$3,0,0,'Données projet'!$E$9+1,1))</f>
        <v>484.04602944257209</v>
      </c>
      <c r="T144" s="59">
        <f t="shared" si="142"/>
        <v>297.32483725004124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115.01657394860445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115.01657394860445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projet'!$B$10,Paramètres!$A$1:$I$89,3,0)*VLOOKUP('Données projet'!$B$10,Paramètres!$A$1:$I$89,5,0)</f>
        <v>-5.1786628318950535E-13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493.74122500490859</v>
      </c>
      <c r="AO144" s="59">
        <f t="shared" si="144"/>
        <v>299.43985151679692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103.2874054034595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103.2874054034595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364.64276939439014</v>
      </c>
      <c r="BJ144" s="59">
        <f t="shared" si="146"/>
        <v>341.7578598026638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39.566058168254884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39.566058168254884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3.4106051316484809E-13</v>
      </c>
      <c r="BZ144" s="13">
        <f>BY144*VLOOKUP('Données projet'!$B$12,Paramètres!$A$1:$I$89,3,0)*VLOOKUP('Données projet'!$B$12,Paramètres!$A$1:$I$89,5,0)</f>
        <v>2.0395418687257919E-13</v>
      </c>
      <c r="CA144" s="13">
        <f t="shared" si="147"/>
        <v>2.8200388570161721E-12</v>
      </c>
      <c r="CB144" s="20">
        <f t="shared" si="118"/>
        <v>5.2667878847729083E-12</v>
      </c>
      <c r="CC144" s="59">
        <f t="shared" si="119"/>
        <v>285.56031297776531</v>
      </c>
      <c r="CD144" s="59">
        <f ca="1">AVERAGE(OFFSET($CC$3,0,0,'Données projet'!$E$12+1,1))-AVERAGE(OFFSET($H$3,0,0,'Données projet'!$E$12+1,1))</f>
        <v>435.81281313761326</v>
      </c>
      <c r="CE144" s="59">
        <f t="shared" si="148"/>
        <v>460.93390058676493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51.729321689270556</v>
      </c>
      <c r="CL144" s="21">
        <f>EXP(-LN(2)/25)*CL143+(1-EXP(-LN(2)/25))/(LN(2)/25)*Calculateur!CG144*Calculateur!CI144*VLOOKUP('Données projet'!$B$12,Paramètres!$A$1:$I$89,3,0)*0.475*44/12</f>
        <v>6.3136259696435255</v>
      </c>
      <c r="CM144" s="21">
        <f>EXP(-LN(2)/2)*CM143+(1-EXP(-LN(2)/2))/(LN(2)/2)*CG144*CJ144*VLOOKUP('Données projet'!$B$12,Paramètres!$A$1:$I$89,3,0)*0.475*44/12</f>
        <v>1.4199758898316646E-10</v>
      </c>
      <c r="CN144" s="22">
        <f t="shared" si="120"/>
        <v>58.042947659056075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379.16472924112111</v>
      </c>
      <c r="CZ144" s="59">
        <f t="shared" si="150"/>
        <v>273.18950868898253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71.396628487039649</v>
      </c>
      <c r="DG144" s="21">
        <f>EXP(-LN(2)/25)*DG143+(1-EXP(-LN(2)/25))/(LN(2)/25)*Calculateur!DB144*Calculateur!DD144*VLOOKUP('Données projet'!$B$13,Paramètres!$A$1:$I$89,3,0)*0.475*44/12</f>
        <v>8.5348638571420494</v>
      </c>
      <c r="DH144" s="21">
        <f>EXP(-LN(2)/2)*DH143+(1-EXP(-LN(2)/2))/(LN(2)/2)*DB144*DE144*VLOOKUP('Données projet'!$B$13,Paramètres!$A$1:$I$89,3,0)*0.475*44/12</f>
        <v>6.4463213201827381E-7</v>
      </c>
      <c r="DI144" s="22">
        <f t="shared" si="123"/>
        <v>79.931492988813829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6.8212102632969618E-13</v>
      </c>
      <c r="DP144" s="17">
        <f>DO144*VLOOKUP('Données projet'!$B$14,Paramètres!$A$1:$I$89,3,0)*VLOOKUP('Données projet'!$B$14,Paramètres!$A$1:$I$89,5,0)</f>
        <v>2.7489477361086753E-13</v>
      </c>
      <c r="DQ144" s="13">
        <f t="shared" si="151"/>
        <v>3.6711283554998768E-12</v>
      </c>
      <c r="DR144" s="20">
        <f t="shared" si="124"/>
        <v>6.8726569498678791E-12</v>
      </c>
      <c r="DS144" s="59">
        <f t="shared" si="125"/>
        <v>285.5603129777669</v>
      </c>
      <c r="DT144" s="59">
        <f ca="1">AVERAGE(OFFSET($DS$3,0,0,'Données projet'!$E$14+1,1))-AVERAGE(OFFSET($H$3,0,0,'Données projet'!$E$14+1,1))</f>
        <v>419.35339339286082</v>
      </c>
      <c r="DU144" s="59">
        <f t="shared" si="152"/>
        <v>359.03308141414709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79.558515142701651</v>
      </c>
      <c r="EB144" s="21">
        <f>EXP(-LN(2)/25)*EB143+(1-EXP(-LN(2)/25))/(LN(2)/25)*Calculateur!DW144*Calculateur!DY144*VLOOKUP('Données projet'!$B$14,Paramètres!$A$1:$I$89,3,0)*0.475*44/12</f>
        <v>8.5944086791855838</v>
      </c>
      <c r="EC144" s="21">
        <f>EXP(-LN(2)/2)*EC143+(1-EXP(-LN(2)/2))/(LN(2)/2)*DW144*DZ144*VLOOKUP('Données projet'!$B$14,Paramètres!$A$1:$I$89,3,0)*0.475*44/12</f>
        <v>2.2993562667920343E-8</v>
      </c>
      <c r="ED144" s="22">
        <f t="shared" si="126"/>
        <v>88.152923844880803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2.2737367544323206E-13</v>
      </c>
      <c r="EK144" s="17">
        <f>EJ144*VLOOKUP('Données projet'!$B$15,Paramètres!$A$1:$I$89,3,0)*VLOOKUP('Données projet'!$B$15,Paramètres!$A$1:$I$89,5,0)</f>
        <v>1.0049916454590858E-13</v>
      </c>
      <c r="EL144" s="13">
        <f t="shared" si="153"/>
        <v>1.5089081593838289E-12</v>
      </c>
      <c r="EM144" s="20">
        <f t="shared" si="127"/>
        <v>2.8030510891776262E-12</v>
      </c>
      <c r="EN144" s="59">
        <f t="shared" si="128"/>
        <v>285.56031297776281</v>
      </c>
      <c r="EO144" s="59">
        <f ca="1">AVERAGE(OFFSET($EN$3,0,0,'Données projet'!$E$15+1,1))-AVERAGE(OFFSET($H$3,0,0,'Données projet'!$E$15+1,1))</f>
        <v>561.50881628354409</v>
      </c>
      <c r="EP144" s="59">
        <f t="shared" si="154"/>
        <v>468.67708352238458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99.831131877505328</v>
      </c>
      <c r="EW144" s="21">
        <f>EXP(-LN(2)/25)*EW143+(1-EXP(-LN(2)/25))/(LN(2)/25)*Calculateur!ER144*Calculateur!ET144*VLOOKUP('Données projet'!$B$15,Paramètres!$A$1:$I$89,3,0)*0.475*44/12</f>
        <v>11.149767507221672</v>
      </c>
      <c r="EX144" s="21">
        <f>EXP(-LN(2)/2)*EX143+(1-EXP(-LN(2)/2))/(LN(2)/2)*ER144*EU144*VLOOKUP('Données projet'!$B$15,Paramètres!$A$1:$I$89,3,0)*0.475*44/12</f>
        <v>3.0472218233422408E-8</v>
      </c>
      <c r="EY144" s="22">
        <f t="shared" si="129"/>
        <v>110.98089941519922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5.1431925385259088E-14</v>
      </c>
      <c r="P145" s="13">
        <f t="shared" si="141"/>
        <v>8.3482866290946129E-13</v>
      </c>
      <c r="Q145" s="20">
        <f t="shared" si="108"/>
        <v>1.5435705246133045E-12</v>
      </c>
      <c r="R145" s="59">
        <f t="shared" si="109"/>
        <v>285.69515750306061</v>
      </c>
      <c r="S145" s="59">
        <f ca="1">AVERAGE(OFFSET($R$3,0,0,'Données projet'!$E$9+1,1))-AVERAGE(OFFSET($H$3,0,0,'Données projet'!$E$9+1,1))</f>
        <v>484.04602944257209</v>
      </c>
      <c r="T145" s="59">
        <f t="shared" si="142"/>
        <v>297.32483725004124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112.76116908665537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112.76116908665537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projet'!$B$10,Paramètres!$A$1:$I$89,3,0)*VLOOKUP('Données projet'!$B$10,Paramètres!$A$1:$I$89,5,0)</f>
        <v>-5.1786628318950535E-13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493.74122500490859</v>
      </c>
      <c r="AO145" s="59">
        <f t="shared" si="144"/>
        <v>299.43985151679692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101.26200238259432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101.26200238259432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364.64276939439014</v>
      </c>
      <c r="BJ145" s="59">
        <f t="shared" si="146"/>
        <v>341.7578598026638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38.790191900487962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38.790191900487962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3.4106051316484809E-13</v>
      </c>
      <c r="BZ145" s="13">
        <f>BY145*VLOOKUP('Données projet'!$B$12,Paramètres!$A$1:$I$89,3,0)*VLOOKUP('Données projet'!$B$12,Paramètres!$A$1:$I$89,5,0)</f>
        <v>2.0395418687257919E-13</v>
      </c>
      <c r="CA145" s="13">
        <f t="shared" si="147"/>
        <v>2.8200388570161721E-12</v>
      </c>
      <c r="CB145" s="20">
        <f t="shared" si="118"/>
        <v>5.2667878847729083E-12</v>
      </c>
      <c r="CC145" s="59">
        <f t="shared" si="119"/>
        <v>285.69515750306437</v>
      </c>
      <c r="CD145" s="59">
        <f ca="1">AVERAGE(OFFSET($CC$3,0,0,'Données projet'!$E$12+1,1))-AVERAGE(OFFSET($H$3,0,0,'Données projet'!$E$12+1,1))</f>
        <v>435.81281313761326</v>
      </c>
      <c r="CE145" s="59">
        <f t="shared" si="148"/>
        <v>460.93390058676493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50.714941242714715</v>
      </c>
      <c r="CL145" s="21">
        <f>EXP(-LN(2)/25)*CL144+(1-EXP(-LN(2)/25))/(LN(2)/25)*Calculateur!CG145*Calculateur!CI145*VLOOKUP('Données projet'!$B$12,Paramètres!$A$1:$I$89,3,0)*0.475*44/12</f>
        <v>6.1409795354844636</v>
      </c>
      <c r="CM145" s="21">
        <f>EXP(-LN(2)/2)*CM144+(1-EXP(-LN(2)/2))/(LN(2)/2)*CG145*CJ145*VLOOKUP('Données projet'!$B$12,Paramètres!$A$1:$I$89,3,0)*0.475*44/12</f>
        <v>1.004074580821372E-10</v>
      </c>
      <c r="CN145" s="22">
        <f t="shared" si="120"/>
        <v>56.855920778299584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379.16472924112111</v>
      </c>
      <c r="CZ145" s="59">
        <f t="shared" si="150"/>
        <v>273.18950868898253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69.9965841500522</v>
      </c>
      <c r="DG145" s="21">
        <f>EXP(-LN(2)/25)*DG144+(1-EXP(-LN(2)/25))/(LN(2)/25)*Calculateur!DB145*Calculateur!DD145*VLOOKUP('Données projet'!$B$13,Paramètres!$A$1:$I$89,3,0)*0.475*44/12</f>
        <v>8.3014775561395169</v>
      </c>
      <c r="DH145" s="21">
        <f>EXP(-LN(2)/2)*DH144+(1-EXP(-LN(2)/2))/(LN(2)/2)*DB145*DE145*VLOOKUP('Données projet'!$B$13,Paramètres!$A$1:$I$89,3,0)*0.475*44/12</f>
        <v>4.5582375192086316E-7</v>
      </c>
      <c r="DI145" s="22">
        <f t="shared" si="123"/>
        <v>78.298062162015469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6.8212102632969618E-13</v>
      </c>
      <c r="DP145" s="17">
        <f>DO145*VLOOKUP('Données projet'!$B$14,Paramètres!$A$1:$I$89,3,0)*VLOOKUP('Données projet'!$B$14,Paramètres!$A$1:$I$89,5,0)</f>
        <v>2.7489477361086753E-13</v>
      </c>
      <c r="DQ145" s="13">
        <f t="shared" si="151"/>
        <v>3.6711283554998768E-12</v>
      </c>
      <c r="DR145" s="20">
        <f t="shared" si="124"/>
        <v>6.8726569498678791E-12</v>
      </c>
      <c r="DS145" s="59">
        <f t="shared" si="125"/>
        <v>285.69515750306596</v>
      </c>
      <c r="DT145" s="59">
        <f ca="1">AVERAGE(OFFSET($DS$3,0,0,'Données projet'!$E$14+1,1))-AVERAGE(OFFSET($H$3,0,0,'Données projet'!$E$14+1,1))</f>
        <v>419.35339339286082</v>
      </c>
      <c r="DU145" s="59">
        <f t="shared" si="152"/>
        <v>359.03308141414709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77.998421186655975</v>
      </c>
      <c r="EB145" s="21">
        <f>EXP(-LN(2)/25)*EB144+(1-EXP(-LN(2)/25))/(LN(2)/25)*Calculateur!DW145*Calculateur!DY145*VLOOKUP('Données projet'!$B$14,Paramètres!$A$1:$I$89,3,0)*0.475*44/12</f>
        <v>8.3593941218929437</v>
      </c>
      <c r="EC145" s="21">
        <f>EXP(-LN(2)/2)*EC144+(1-EXP(-LN(2)/2))/(LN(2)/2)*DW145*DZ145*VLOOKUP('Données projet'!$B$14,Paramètres!$A$1:$I$89,3,0)*0.475*44/12</f>
        <v>1.6258904086124318E-8</v>
      </c>
      <c r="ED145" s="22">
        <f t="shared" si="126"/>
        <v>86.357815324807831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2.2737367544323206E-13</v>
      </c>
      <c r="EK145" s="17">
        <f>EJ145*VLOOKUP('Données projet'!$B$15,Paramètres!$A$1:$I$89,3,0)*VLOOKUP('Données projet'!$B$15,Paramètres!$A$1:$I$89,5,0)</f>
        <v>1.0049916454590858E-13</v>
      </c>
      <c r="EL145" s="13">
        <f t="shared" si="153"/>
        <v>1.5089081593838289E-12</v>
      </c>
      <c r="EM145" s="20">
        <f t="shared" si="127"/>
        <v>2.8030510891776262E-12</v>
      </c>
      <c r="EN145" s="59">
        <f t="shared" si="128"/>
        <v>285.69515750306186</v>
      </c>
      <c r="EO145" s="59">
        <f ca="1">AVERAGE(OFFSET($EN$3,0,0,'Données projet'!$E$15+1,1))-AVERAGE(OFFSET($H$3,0,0,'Données projet'!$E$15+1,1))</f>
        <v>561.50881628354409</v>
      </c>
      <c r="EP145" s="59">
        <f t="shared" si="154"/>
        <v>468.67708352238458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97.873504272365409</v>
      </c>
      <c r="EW145" s="21">
        <f>EXP(-LN(2)/25)*EW144+(1-EXP(-LN(2)/25))/(LN(2)/25)*Calculateur!ER145*Calculateur!ET145*VLOOKUP('Données projet'!$B$15,Paramètres!$A$1:$I$89,3,0)*0.475*44/12</f>
        <v>10.844876528395904</v>
      </c>
      <c r="EX145" s="21">
        <f>EXP(-LN(2)/2)*EX144+(1-EXP(-LN(2)/2))/(LN(2)/2)*ER145*EU145*VLOOKUP('Données projet'!$B$15,Paramètres!$A$1:$I$89,3,0)*0.475*44/12</f>
        <v>2.1547112150649343E-8</v>
      </c>
      <c r="EY145" s="22">
        <f t="shared" si="129"/>
        <v>108.71838082230842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5.1431925385259088E-14</v>
      </c>
      <c r="P146" s="13">
        <f t="shared" si="141"/>
        <v>8.3482866290946129E-13</v>
      </c>
      <c r="Q146" s="20">
        <f t="shared" si="108"/>
        <v>1.5435705246133045E-12</v>
      </c>
      <c r="R146" s="59">
        <f t="shared" si="109"/>
        <v>285.82766277731298</v>
      </c>
      <c r="S146" s="59">
        <f ca="1">AVERAGE(OFFSET($R$3,0,0,'Données projet'!$E$9+1,1))-AVERAGE(OFFSET($H$3,0,0,'Données projet'!$E$9+1,1))</f>
        <v>484.04602944257209</v>
      </c>
      <c r="T146" s="59">
        <f t="shared" si="142"/>
        <v>297.32483725004124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110.54999133838798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110.54999133838798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projet'!$B$10,Paramètres!$A$1:$I$89,3,0)*VLOOKUP('Données projet'!$B$10,Paramètres!$A$1:$I$89,5,0)</f>
        <v>-5.1786628318950535E-13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493.74122500490859</v>
      </c>
      <c r="AO146" s="59">
        <f t="shared" si="144"/>
        <v>299.43985151679692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99.27631627959444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99.27631627959444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364.64276939439014</v>
      </c>
      <c r="BJ146" s="59">
        <f t="shared" si="146"/>
        <v>341.7578598026638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38.029539897000255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38.029539897000255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3.4106051316484809E-13</v>
      </c>
      <c r="BZ146" s="13">
        <f>BY146*VLOOKUP('Données projet'!$B$12,Paramètres!$A$1:$I$89,3,0)*VLOOKUP('Données projet'!$B$12,Paramètres!$A$1:$I$89,5,0)</f>
        <v>2.0395418687257919E-13</v>
      </c>
      <c r="CA146" s="13">
        <f t="shared" si="147"/>
        <v>2.8200388570161721E-12</v>
      </c>
      <c r="CB146" s="20">
        <f t="shared" si="118"/>
        <v>5.2667878847729083E-12</v>
      </c>
      <c r="CC146" s="59">
        <f t="shared" si="119"/>
        <v>285.82766277731673</v>
      </c>
      <c r="CD146" s="59">
        <f ca="1">AVERAGE(OFFSET($CC$3,0,0,'Données projet'!$E$12+1,1))-AVERAGE(OFFSET($H$3,0,0,'Données projet'!$E$12+1,1))</f>
        <v>435.81281313761326</v>
      </c>
      <c r="CE146" s="59">
        <f t="shared" si="148"/>
        <v>460.93390058676493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49.720452178004855</v>
      </c>
      <c r="CL146" s="21">
        <f>EXP(-LN(2)/25)*CL145+(1-EXP(-LN(2)/25))/(LN(2)/25)*Calculateur!CG146*Calculateur!CI146*VLOOKUP('Données projet'!$B$12,Paramètres!$A$1:$I$89,3,0)*0.475*44/12</f>
        <v>5.9730541271465629</v>
      </c>
      <c r="CM146" s="21">
        <f>EXP(-LN(2)/2)*CM145+(1-EXP(-LN(2)/2))/(LN(2)/2)*CG146*CJ146*VLOOKUP('Données projet'!$B$12,Paramètres!$A$1:$I$89,3,0)*0.475*44/12</f>
        <v>7.099879449158323E-11</v>
      </c>
      <c r="CN146" s="22">
        <f t="shared" si="120"/>
        <v>55.693506305222414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379.16472924112111</v>
      </c>
      <c r="CZ146" s="59">
        <f t="shared" si="150"/>
        <v>273.18950868898253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68.623993828570349</v>
      </c>
      <c r="DG146" s="21">
        <f>EXP(-LN(2)/25)*DG145+(1-EXP(-LN(2)/25))/(LN(2)/25)*Calculateur!DB146*Calculateur!DD146*VLOOKUP('Données projet'!$B$13,Paramètres!$A$1:$I$89,3,0)*0.475*44/12</f>
        <v>8.0744732158111496</v>
      </c>
      <c r="DH146" s="21">
        <f>EXP(-LN(2)/2)*DH145+(1-EXP(-LN(2)/2))/(LN(2)/2)*DB146*DE146*VLOOKUP('Données projet'!$B$13,Paramètres!$A$1:$I$89,3,0)*0.475*44/12</f>
        <v>3.223160660091369E-7</v>
      </c>
      <c r="DI146" s="22">
        <f t="shared" si="123"/>
        <v>76.698467366697571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6.8212102632969618E-13</v>
      </c>
      <c r="DP146" s="17">
        <f>DO146*VLOOKUP('Données projet'!$B$14,Paramètres!$A$1:$I$89,3,0)*VLOOKUP('Données projet'!$B$14,Paramètres!$A$1:$I$89,5,0)</f>
        <v>2.7489477361086753E-13</v>
      </c>
      <c r="DQ146" s="13">
        <f t="shared" si="151"/>
        <v>3.6711283554998768E-12</v>
      </c>
      <c r="DR146" s="20">
        <f t="shared" si="124"/>
        <v>6.8726569498678791E-12</v>
      </c>
      <c r="DS146" s="59">
        <f t="shared" si="125"/>
        <v>285.82766277731832</v>
      </c>
      <c r="DT146" s="59">
        <f ca="1">AVERAGE(OFFSET($DS$3,0,0,'Données projet'!$E$14+1,1))-AVERAGE(OFFSET($H$3,0,0,'Données projet'!$E$14+1,1))</f>
        <v>419.35339339286082</v>
      </c>
      <c r="DU146" s="59">
        <f t="shared" si="152"/>
        <v>359.03308141414709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76.468919721524998</v>
      </c>
      <c r="EB146" s="21">
        <f>EXP(-LN(2)/25)*EB145+(1-EXP(-LN(2)/25))/(LN(2)/25)*Calculateur!DW146*Calculateur!DY146*VLOOKUP('Données projet'!$B$14,Paramètres!$A$1:$I$89,3,0)*0.475*44/12</f>
        <v>8.1308060500283492</v>
      </c>
      <c r="EC146" s="21">
        <f>EXP(-LN(2)/2)*EC145+(1-EXP(-LN(2)/2))/(LN(2)/2)*DW146*DZ146*VLOOKUP('Données projet'!$B$14,Paramètres!$A$1:$I$89,3,0)*0.475*44/12</f>
        <v>1.1496781333960171E-8</v>
      </c>
      <c r="ED146" s="22">
        <f t="shared" si="126"/>
        <v>84.599725783050133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2.2737367544323206E-13</v>
      </c>
      <c r="EK146" s="17">
        <f>EJ146*VLOOKUP('Données projet'!$B$15,Paramètres!$A$1:$I$89,3,0)*VLOOKUP('Données projet'!$B$15,Paramètres!$A$1:$I$89,5,0)</f>
        <v>1.0049916454590858E-13</v>
      </c>
      <c r="EL146" s="13">
        <f t="shared" si="153"/>
        <v>1.5089081593838289E-12</v>
      </c>
      <c r="EM146" s="20">
        <f t="shared" si="127"/>
        <v>2.8030510891776262E-12</v>
      </c>
      <c r="EN146" s="59">
        <f t="shared" si="128"/>
        <v>285.82766277731423</v>
      </c>
      <c r="EO146" s="59">
        <f ca="1">AVERAGE(OFFSET($EN$3,0,0,'Données projet'!$E$15+1,1))-AVERAGE(OFFSET($H$3,0,0,'Données projet'!$E$15+1,1))</f>
        <v>561.50881628354409</v>
      </c>
      <c r="EP146" s="59">
        <f t="shared" si="154"/>
        <v>468.67708352238458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95.954264550527341</v>
      </c>
      <c r="EW146" s="21">
        <f>EXP(-LN(2)/25)*EW145+(1-EXP(-LN(2)/25))/(LN(2)/25)*Calculateur!ER146*Calculateur!ET146*VLOOKUP('Données projet'!$B$15,Paramètres!$A$1:$I$89,3,0)*0.475*44/12</f>
        <v>10.548322809419648</v>
      </c>
      <c r="EX146" s="21">
        <f>EXP(-LN(2)/2)*EX145+(1-EXP(-LN(2)/2))/(LN(2)/2)*ER146*EU146*VLOOKUP('Données projet'!$B$15,Paramètres!$A$1:$I$89,3,0)*0.475*44/12</f>
        <v>1.5236109116711204E-8</v>
      </c>
      <c r="EY146" s="22">
        <f t="shared" si="129"/>
        <v>106.5025873751831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5.1431925385259088E-14</v>
      </c>
      <c r="P147" s="13">
        <f t="shared" si="141"/>
        <v>8.3482866290946129E-13</v>
      </c>
      <c r="Q147" s="20">
        <f t="shared" si="108"/>
        <v>1.5435705246133045E-12</v>
      </c>
      <c r="R147" s="59">
        <f t="shared" si="109"/>
        <v>285.95786938129442</v>
      </c>
      <c r="S147" s="59">
        <f ca="1">AVERAGE(OFFSET($R$3,0,0,'Données projet'!$E$9+1,1))-AVERAGE(OFFSET($H$3,0,0,'Données projet'!$E$9+1,1))</f>
        <v>484.04602944257209</v>
      </c>
      <c r="T147" s="59">
        <f t="shared" si="142"/>
        <v>297.32483725004124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108.38217343707886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108.38217343707886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projet'!$B$10,Paramètres!$A$1:$I$89,3,0)*VLOOKUP('Données projet'!$B$10,Paramètres!$A$1:$I$89,5,0)</f>
        <v>-5.1786628318950535E-13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493.74122500490859</v>
      </c>
      <c r="AO147" s="59">
        <f t="shared" si="144"/>
        <v>299.43985151679692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97.32956826992546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97.32956826992546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364.64276939439014</v>
      </c>
      <c r="BJ147" s="59">
        <f t="shared" si="146"/>
        <v>341.7578598026638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37.283803815349032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37.283803815349032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3.4106051316484809E-13</v>
      </c>
      <c r="BZ147" s="13">
        <f>BY147*VLOOKUP('Données projet'!$B$12,Paramètres!$A$1:$I$89,3,0)*VLOOKUP('Données projet'!$B$12,Paramètres!$A$1:$I$89,5,0)</f>
        <v>2.0395418687257919E-13</v>
      </c>
      <c r="CA147" s="13">
        <f t="shared" si="147"/>
        <v>2.8200388570161721E-12</v>
      </c>
      <c r="CB147" s="20">
        <f t="shared" si="118"/>
        <v>5.2667878847729083E-12</v>
      </c>
      <c r="CC147" s="59">
        <f t="shared" si="119"/>
        <v>285.95786938129817</v>
      </c>
      <c r="CD147" s="59">
        <f ca="1">AVERAGE(OFFSET($CC$3,0,0,'Données projet'!$E$12+1,1))-AVERAGE(OFFSET($H$3,0,0,'Données projet'!$E$12+1,1))</f>
        <v>435.81281313761326</v>
      </c>
      <c r="CE147" s="59">
        <f t="shared" si="148"/>
        <v>460.93390058676493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48.745464437275515</v>
      </c>
      <c r="CL147" s="21">
        <f>EXP(-LN(2)/25)*CL146+(1-EXP(-LN(2)/25))/(LN(2)/25)*Calculateur!CG147*Calculateur!CI147*VLOOKUP('Données projet'!$B$12,Paramètres!$A$1:$I$89,3,0)*0.475*44/12</f>
        <v>5.809720647930475</v>
      </c>
      <c r="CM147" s="21">
        <f>EXP(-LN(2)/2)*CM146+(1-EXP(-LN(2)/2))/(LN(2)/2)*CG147*CJ147*VLOOKUP('Données projet'!$B$12,Paramètres!$A$1:$I$89,3,0)*0.475*44/12</f>
        <v>5.0203729041068599E-11</v>
      </c>
      <c r="CN147" s="22">
        <f t="shared" si="120"/>
        <v>54.555185085256198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379.16472924112111</v>
      </c>
      <c r="CZ147" s="59">
        <f t="shared" si="150"/>
        <v>273.18950868898253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67.278319166095329</v>
      </c>
      <c r="DG147" s="21">
        <f>EXP(-LN(2)/25)*DG146+(1-EXP(-LN(2)/25))/(LN(2)/25)*Calculateur!DB147*Calculateur!DD147*VLOOKUP('Données projet'!$B$13,Paramètres!$A$1:$I$89,3,0)*0.475*44/12</f>
        <v>7.8536763211067022</v>
      </c>
      <c r="DH147" s="21">
        <f>EXP(-LN(2)/2)*DH146+(1-EXP(-LN(2)/2))/(LN(2)/2)*DB147*DE147*VLOOKUP('Données projet'!$B$13,Paramètres!$A$1:$I$89,3,0)*0.475*44/12</f>
        <v>2.2791187596043158E-7</v>
      </c>
      <c r="DI147" s="22">
        <f t="shared" si="123"/>
        <v>75.131995715113902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6.8212102632969618E-13</v>
      </c>
      <c r="DP147" s="17">
        <f>DO147*VLOOKUP('Données projet'!$B$14,Paramètres!$A$1:$I$89,3,0)*VLOOKUP('Données projet'!$B$14,Paramètres!$A$1:$I$89,5,0)</f>
        <v>2.7489477361086753E-13</v>
      </c>
      <c r="DQ147" s="13">
        <f t="shared" si="151"/>
        <v>3.6711283554998768E-12</v>
      </c>
      <c r="DR147" s="20">
        <f t="shared" si="124"/>
        <v>6.8726569498678791E-12</v>
      </c>
      <c r="DS147" s="59">
        <f t="shared" si="125"/>
        <v>285.95786938129976</v>
      </c>
      <c r="DT147" s="59">
        <f ca="1">AVERAGE(OFFSET($DS$3,0,0,'Données projet'!$E$14+1,1))-AVERAGE(OFFSET($H$3,0,0,'Données projet'!$E$14+1,1))</f>
        <v>419.35339339286082</v>
      </c>
      <c r="DU147" s="59">
        <f t="shared" si="152"/>
        <v>359.03308141414709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74.969410847221468</v>
      </c>
      <c r="EB147" s="21">
        <f>EXP(-LN(2)/25)*EB146+(1-EXP(-LN(2)/25))/(LN(2)/25)*Calculateur!DW147*Calculateur!DY147*VLOOKUP('Données projet'!$B$14,Paramètres!$A$1:$I$89,3,0)*0.475*44/12</f>
        <v>7.9084687310098172</v>
      </c>
      <c r="EC147" s="21">
        <f>EXP(-LN(2)/2)*EC146+(1-EXP(-LN(2)/2))/(LN(2)/2)*DW147*DZ147*VLOOKUP('Données projet'!$B$14,Paramètres!$A$1:$I$89,3,0)*0.475*44/12</f>
        <v>8.1294520430621588E-9</v>
      </c>
      <c r="ED147" s="22">
        <f t="shared" si="126"/>
        <v>82.877879586360734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2.2737367544323206E-13</v>
      </c>
      <c r="EK147" s="17">
        <f>EJ147*VLOOKUP('Données projet'!$B$15,Paramètres!$A$1:$I$89,3,0)*VLOOKUP('Données projet'!$B$15,Paramètres!$A$1:$I$89,5,0)</f>
        <v>1.0049916454590858E-13</v>
      </c>
      <c r="EL147" s="13">
        <f t="shared" si="153"/>
        <v>1.5089081593838289E-12</v>
      </c>
      <c r="EM147" s="20">
        <f t="shared" si="127"/>
        <v>2.8030510891776262E-12</v>
      </c>
      <c r="EN147" s="59">
        <f t="shared" si="128"/>
        <v>285.95786938129567</v>
      </c>
      <c r="EO147" s="59">
        <f ca="1">AVERAGE(OFFSET($EN$3,0,0,'Données projet'!$E$15+1,1))-AVERAGE(OFFSET($H$3,0,0,'Données projet'!$E$15+1,1))</f>
        <v>561.50881628354409</v>
      </c>
      <c r="EP147" s="59">
        <f t="shared" si="154"/>
        <v>468.67708352238458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94.072659949013882</v>
      </c>
      <c r="EW147" s="21">
        <f>EXP(-LN(2)/25)*EW146+(1-EXP(-LN(2)/25))/(LN(2)/25)*Calculateur!ER147*Calculateur!ET147*VLOOKUP('Données projet'!$B$15,Paramètres!$A$1:$I$89,3,0)*0.475*44/12</f>
        <v>10.25987836748388</v>
      </c>
      <c r="EX147" s="21">
        <f>EXP(-LN(2)/2)*EX146+(1-EXP(-LN(2)/2))/(LN(2)/2)*ER147*EU147*VLOOKUP('Données projet'!$B$15,Paramètres!$A$1:$I$89,3,0)*0.475*44/12</f>
        <v>1.0773556075324671E-8</v>
      </c>
      <c r="EY147" s="22">
        <f t="shared" si="129"/>
        <v>104.33253832727132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5.1431925385259088E-14</v>
      </c>
      <c r="P148" s="13">
        <f t="shared" si="141"/>
        <v>8.3482866290946129E-13</v>
      </c>
      <c r="Q148" s="20">
        <f t="shared" si="108"/>
        <v>1.5435705246133045E-12</v>
      </c>
      <c r="R148" s="59">
        <f t="shared" si="109"/>
        <v>286.08581719179512</v>
      </c>
      <c r="S148" s="59">
        <f ca="1">AVERAGE(OFFSET($R$3,0,0,'Données projet'!$E$9+1,1))-AVERAGE(OFFSET($H$3,0,0,'Données projet'!$E$9+1,1))</f>
        <v>484.04602944257209</v>
      </c>
      <c r="T148" s="59">
        <f t="shared" si="142"/>
        <v>297.32483725004124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106.25686512257606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106.25686512257606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projet'!$B$10,Paramètres!$A$1:$I$89,3,0)*VLOOKUP('Données projet'!$B$10,Paramètres!$A$1:$I$89,5,0)</f>
        <v>-5.1786628318950535E-13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493.74122500490859</v>
      </c>
      <c r="AO148" s="59">
        <f t="shared" si="144"/>
        <v>299.43985151679692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95.420994801327041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95.420994801327041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364.64276939439014</v>
      </c>
      <c r="BJ148" s="59">
        <f t="shared" si="146"/>
        <v>341.7578598026638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36.552691163404887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36.552691163404887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3.4106051316484809E-13</v>
      </c>
      <c r="BZ148" s="13">
        <f>BY148*VLOOKUP('Données projet'!$B$12,Paramètres!$A$1:$I$89,3,0)*VLOOKUP('Données projet'!$B$12,Paramètres!$A$1:$I$89,5,0)</f>
        <v>2.0395418687257919E-13</v>
      </c>
      <c r="CA148" s="13">
        <f t="shared" si="147"/>
        <v>2.8200388570161721E-12</v>
      </c>
      <c r="CB148" s="20">
        <f t="shared" si="118"/>
        <v>5.2667878847729083E-12</v>
      </c>
      <c r="CC148" s="59">
        <f t="shared" si="119"/>
        <v>286.08581719179887</v>
      </c>
      <c r="CD148" s="59">
        <f ca="1">AVERAGE(OFFSET($CC$3,0,0,'Données projet'!$E$12+1,1))-AVERAGE(OFFSET($H$3,0,0,'Données projet'!$E$12+1,1))</f>
        <v>435.81281313761326</v>
      </c>
      <c r="CE148" s="59">
        <f t="shared" si="148"/>
        <v>460.93390058676493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47.789595611458076</v>
      </c>
      <c r="CL148" s="21">
        <f>EXP(-LN(2)/25)*CL147+(1-EXP(-LN(2)/25))/(LN(2)/25)*Calculateur!CG148*Calculateur!CI148*VLOOKUP('Données projet'!$B$12,Paramètres!$A$1:$I$89,3,0)*0.475*44/12</f>
        <v>5.6508535312928858</v>
      </c>
      <c r="CM148" s="21">
        <f>EXP(-LN(2)/2)*CM147+(1-EXP(-LN(2)/2))/(LN(2)/2)*CG148*CJ148*VLOOKUP('Données projet'!$B$12,Paramètres!$A$1:$I$89,3,0)*0.475*44/12</f>
        <v>3.5499397245791615E-11</v>
      </c>
      <c r="CN148" s="22">
        <f t="shared" si="120"/>
        <v>53.440449142786463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379.16472924112111</v>
      </c>
      <c r="CZ148" s="59">
        <f t="shared" si="150"/>
        <v>273.18950868898253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65.959032362970945</v>
      </c>
      <c r="DG148" s="21">
        <f>EXP(-LN(2)/25)*DG147+(1-EXP(-LN(2)/25))/(LN(2)/25)*Calculateur!DB148*Calculateur!DD148*VLOOKUP('Données projet'!$B$13,Paramètres!$A$1:$I$89,3,0)*0.475*44/12</f>
        <v>7.6389171290991511</v>
      </c>
      <c r="DH148" s="21">
        <f>EXP(-LN(2)/2)*DH147+(1-EXP(-LN(2)/2))/(LN(2)/2)*DB148*DE148*VLOOKUP('Données projet'!$B$13,Paramètres!$A$1:$I$89,3,0)*0.475*44/12</f>
        <v>1.6115803300456845E-7</v>
      </c>
      <c r="DI148" s="22">
        <f t="shared" si="123"/>
        <v>73.597949653228127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6.8212102632969618E-13</v>
      </c>
      <c r="DP148" s="17">
        <f>DO148*VLOOKUP('Données projet'!$B$14,Paramètres!$A$1:$I$89,3,0)*VLOOKUP('Données projet'!$B$14,Paramètres!$A$1:$I$89,5,0)</f>
        <v>2.7489477361086753E-13</v>
      </c>
      <c r="DQ148" s="13">
        <f t="shared" si="151"/>
        <v>3.6711283554998768E-12</v>
      </c>
      <c r="DR148" s="20">
        <f t="shared" si="124"/>
        <v>6.8726569498678791E-12</v>
      </c>
      <c r="DS148" s="59">
        <f t="shared" si="125"/>
        <v>286.08581719180046</v>
      </c>
      <c r="DT148" s="59">
        <f ca="1">AVERAGE(OFFSET($DS$3,0,0,'Données projet'!$E$14+1,1))-AVERAGE(OFFSET($H$3,0,0,'Données projet'!$E$14+1,1))</f>
        <v>419.35339339286082</v>
      </c>
      <c r="DU148" s="59">
        <f t="shared" si="152"/>
        <v>359.03308141414709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73.499306427332925</v>
      </c>
      <c r="EB148" s="21">
        <f>EXP(-LN(2)/25)*EB147+(1-EXP(-LN(2)/25))/(LN(2)/25)*Calculateur!DW148*Calculateur!DY148*VLOOKUP('Données projet'!$B$14,Paramètres!$A$1:$I$89,3,0)*0.475*44/12</f>
        <v>7.6922112376720584</v>
      </c>
      <c r="EC148" s="21">
        <f>EXP(-LN(2)/2)*EC147+(1-EXP(-LN(2)/2))/(LN(2)/2)*DW148*DZ148*VLOOKUP('Données projet'!$B$14,Paramètres!$A$1:$I$89,3,0)*0.475*44/12</f>
        <v>5.7483906669800857E-9</v>
      </c>
      <c r="ED148" s="22">
        <f t="shared" si="126"/>
        <v>81.19151767075337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2.2737367544323206E-13</v>
      </c>
      <c r="EK148" s="17">
        <f>EJ148*VLOOKUP('Données projet'!$B$15,Paramètres!$A$1:$I$89,3,0)*VLOOKUP('Données projet'!$B$15,Paramètres!$A$1:$I$89,5,0)</f>
        <v>1.0049916454590858E-13</v>
      </c>
      <c r="EL148" s="13">
        <f t="shared" si="153"/>
        <v>1.5089081593838289E-12</v>
      </c>
      <c r="EM148" s="20">
        <f t="shared" si="127"/>
        <v>2.8030510891776262E-12</v>
      </c>
      <c r="EN148" s="59">
        <f t="shared" si="128"/>
        <v>286.08581719179637</v>
      </c>
      <c r="EO148" s="59">
        <f ca="1">AVERAGE(OFFSET($EN$3,0,0,'Données projet'!$E$15+1,1))-AVERAGE(OFFSET($H$3,0,0,'Données projet'!$E$15+1,1))</f>
        <v>561.50881628354409</v>
      </c>
      <c r="EP148" s="59">
        <f t="shared" si="154"/>
        <v>468.67708352238458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92.227952466070619</v>
      </c>
      <c r="EW148" s="21">
        <f>EXP(-LN(2)/25)*EW147+(1-EXP(-LN(2)/25))/(LN(2)/25)*Calculateur!ER148*Calculateur!ET148*VLOOKUP('Données projet'!$B$15,Paramètres!$A$1:$I$89,3,0)*0.475*44/12</f>
        <v>9.9793214539814787</v>
      </c>
      <c r="EX148" s="21">
        <f>EXP(-LN(2)/2)*EX147+(1-EXP(-LN(2)/2))/(LN(2)/2)*ER148*EU148*VLOOKUP('Données projet'!$B$15,Paramètres!$A$1:$I$89,3,0)*0.475*44/12</f>
        <v>7.618054558355602E-9</v>
      </c>
      <c r="EY148" s="22">
        <f t="shared" si="129"/>
        <v>102.20727392767016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5.1431925385259088E-14</v>
      </c>
      <c r="P149" s="13">
        <f t="shared" si="141"/>
        <v>8.3482866290946129E-13</v>
      </c>
      <c r="Q149" s="20">
        <f t="shared" si="108"/>
        <v>1.5435705246133045E-12</v>
      </c>
      <c r="R149" s="59">
        <f t="shared" si="109"/>
        <v>286.21154539383218</v>
      </c>
      <c r="S149" s="59">
        <f ca="1">AVERAGE(OFFSET($R$3,0,0,'Données projet'!$E$9+1,1))-AVERAGE(OFFSET($H$3,0,0,'Données projet'!$E$9+1,1))</f>
        <v>484.04602944257209</v>
      </c>
      <c r="T149" s="59">
        <f t="shared" si="142"/>
        <v>297.32483725004124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104.17323280781058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104.17323280781058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projet'!$B$10,Paramètres!$A$1:$I$89,3,0)*VLOOKUP('Données projet'!$B$10,Paramètres!$A$1:$I$89,5,0)</f>
        <v>-5.1786628318950535E-13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493.74122500490859</v>
      </c>
      <c r="AO149" s="59">
        <f t="shared" si="144"/>
        <v>299.43985151679692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93.549847294332963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93.549847294332963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364.64276939439014</v>
      </c>
      <c r="BJ149" s="59">
        <f t="shared" si="146"/>
        <v>341.7578598026638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35.835915184630686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35.835915184630686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3.4106051316484809E-13</v>
      </c>
      <c r="BZ149" s="13">
        <f>BY149*VLOOKUP('Données projet'!$B$12,Paramètres!$A$1:$I$89,3,0)*VLOOKUP('Données projet'!$B$12,Paramètres!$A$1:$I$89,5,0)</f>
        <v>2.0395418687257919E-13</v>
      </c>
      <c r="CA149" s="13">
        <f t="shared" si="147"/>
        <v>2.8200388570161721E-12</v>
      </c>
      <c r="CB149" s="20">
        <f t="shared" si="118"/>
        <v>5.2667878847729083E-12</v>
      </c>
      <c r="CC149" s="59">
        <f t="shared" si="119"/>
        <v>286.21154539383593</v>
      </c>
      <c r="CD149" s="59">
        <f ca="1">AVERAGE(OFFSET($CC$3,0,0,'Données projet'!$E$12+1,1))-AVERAGE(OFFSET($H$3,0,0,'Données projet'!$E$12+1,1))</f>
        <v>435.81281313761326</v>
      </c>
      <c r="CE149" s="59">
        <f t="shared" si="148"/>
        <v>460.93390058676493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46.8524707902925</v>
      </c>
      <c r="CL149" s="21">
        <f>EXP(-LN(2)/25)*CL148+(1-EXP(-LN(2)/25))/(LN(2)/25)*Calculateur!CG149*Calculateur!CI149*VLOOKUP('Données projet'!$B$12,Paramètres!$A$1:$I$89,3,0)*0.475*44/12</f>
        <v>5.4963306443142095</v>
      </c>
      <c r="CM149" s="21">
        <f>EXP(-LN(2)/2)*CM148+(1-EXP(-LN(2)/2))/(LN(2)/2)*CG149*CJ149*VLOOKUP('Données projet'!$B$12,Paramètres!$A$1:$I$89,3,0)*0.475*44/12</f>
        <v>2.5101864520534299E-11</v>
      </c>
      <c r="CN149" s="22">
        <f t="shared" si="120"/>
        <v>52.348801434631817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379.16472924112111</v>
      </c>
      <c r="CZ149" s="59">
        <f t="shared" si="150"/>
        <v>273.18950868898253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64.665615969370336</v>
      </c>
      <c r="DG149" s="21">
        <f>EXP(-LN(2)/25)*DG148+(1-EXP(-LN(2)/25))/(LN(2)/25)*Calculateur!DB149*Calculateur!DD149*VLOOKUP('Données projet'!$B$13,Paramètres!$A$1:$I$89,3,0)*0.475*44/12</f>
        <v>7.4300305384907421</v>
      </c>
      <c r="DH149" s="21">
        <f>EXP(-LN(2)/2)*DH148+(1-EXP(-LN(2)/2))/(LN(2)/2)*DB149*DE149*VLOOKUP('Données projet'!$B$13,Paramètres!$A$1:$I$89,3,0)*0.475*44/12</f>
        <v>1.1395593798021579E-7</v>
      </c>
      <c r="DI149" s="22">
        <f t="shared" si="123"/>
        <v>72.095646621817011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6.8212102632969618E-13</v>
      </c>
      <c r="DP149" s="17">
        <f>DO149*VLOOKUP('Données projet'!$B$14,Paramètres!$A$1:$I$89,3,0)*VLOOKUP('Données projet'!$B$14,Paramètres!$A$1:$I$89,5,0)</f>
        <v>2.7489477361086753E-13</v>
      </c>
      <c r="DQ149" s="13">
        <f t="shared" si="151"/>
        <v>3.6711283554998768E-12</v>
      </c>
      <c r="DR149" s="20">
        <f t="shared" si="124"/>
        <v>6.8726569498678791E-12</v>
      </c>
      <c r="DS149" s="59">
        <f t="shared" si="125"/>
        <v>286.21154539383753</v>
      </c>
      <c r="DT149" s="59">
        <f ca="1">AVERAGE(OFFSET($DS$3,0,0,'Données projet'!$E$14+1,1))-AVERAGE(OFFSET($H$3,0,0,'Données projet'!$E$14+1,1))</f>
        <v>419.35339339286082</v>
      </c>
      <c r="DU149" s="59">
        <f t="shared" si="152"/>
        <v>359.03308141414709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72.058029858443234</v>
      </c>
      <c r="EB149" s="21">
        <f>EXP(-LN(2)/25)*EB148+(1-EXP(-LN(2)/25))/(LN(2)/25)*Calculateur!DW149*Calculateur!DY149*VLOOKUP('Données projet'!$B$14,Paramètres!$A$1:$I$89,3,0)*0.475*44/12</f>
        <v>7.4818673168621075</v>
      </c>
      <c r="EC149" s="21">
        <f>EXP(-LN(2)/2)*EC148+(1-EXP(-LN(2)/2))/(LN(2)/2)*DW149*DZ149*VLOOKUP('Données projet'!$B$14,Paramètres!$A$1:$I$89,3,0)*0.475*44/12</f>
        <v>4.0647260215310794E-9</v>
      </c>
      <c r="ED149" s="22">
        <f t="shared" si="126"/>
        <v>79.539897179370072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2.2737367544323206E-13</v>
      </c>
      <c r="EK149" s="17">
        <f>EJ149*VLOOKUP('Données projet'!$B$15,Paramètres!$A$1:$I$89,3,0)*VLOOKUP('Données projet'!$B$15,Paramètres!$A$1:$I$89,5,0)</f>
        <v>1.0049916454590858E-13</v>
      </c>
      <c r="EL149" s="13">
        <f t="shared" si="153"/>
        <v>1.5089081593838289E-12</v>
      </c>
      <c r="EM149" s="20">
        <f t="shared" si="127"/>
        <v>2.8030510891776262E-12</v>
      </c>
      <c r="EN149" s="59">
        <f t="shared" si="128"/>
        <v>286.21154539383343</v>
      </c>
      <c r="EO149" s="59">
        <f ca="1">AVERAGE(OFFSET($EN$3,0,0,'Données projet'!$E$15+1,1))-AVERAGE(OFFSET($H$3,0,0,'Données projet'!$E$15+1,1))</f>
        <v>561.50881628354409</v>
      </c>
      <c r="EP149" s="59">
        <f t="shared" si="154"/>
        <v>468.67708352238458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90.419418571707411</v>
      </c>
      <c r="EW149" s="21">
        <f>EXP(-LN(2)/25)*EW148+(1-EXP(-LN(2)/25))/(LN(2)/25)*Calculateur!ER149*Calculateur!ET149*VLOOKUP('Données projet'!$B$15,Paramètres!$A$1:$I$89,3,0)*0.475*44/12</f>
        <v>9.7064363840326475</v>
      </c>
      <c r="EX149" s="21">
        <f>EXP(-LN(2)/2)*EX148+(1-EXP(-LN(2)/2))/(LN(2)/2)*ER149*EU149*VLOOKUP('Données projet'!$B$15,Paramètres!$A$1:$I$89,3,0)*0.475*44/12</f>
        <v>5.3867780376623357E-9</v>
      </c>
      <c r="EY149" s="22">
        <f t="shared" si="129"/>
        <v>100.12585496112683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5.1431925385259088E-14</v>
      </c>
      <c r="P150" s="13">
        <f t="shared" si="141"/>
        <v>8.3482866290946129E-13</v>
      </c>
      <c r="Q150" s="20">
        <f t="shared" si="108"/>
        <v>1.5435705246133045E-12</v>
      </c>
      <c r="R150" s="59">
        <f t="shared" si="109"/>
        <v>286.33509249264995</v>
      </c>
      <c r="S150" s="59">
        <f ca="1">AVERAGE(OFFSET($R$3,0,0,'Données projet'!$E$9+1,1))-AVERAGE(OFFSET($H$3,0,0,'Données projet'!$E$9+1,1))</f>
        <v>484.04602944257209</v>
      </c>
      <c r="T150" s="59">
        <f t="shared" si="142"/>
        <v>297.32483725004124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102.13045925184743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102.13045925184743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projet'!$B$10,Paramètres!$A$1:$I$89,3,0)*VLOOKUP('Données projet'!$B$10,Paramètres!$A$1:$I$89,5,0)</f>
        <v>-5.1786628318950535E-13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493.74122500490859</v>
      </c>
      <c r="AO150" s="59">
        <f t="shared" si="144"/>
        <v>299.43985151679692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91.715391848663756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91.715391848663756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364.64276939439014</v>
      </c>
      <c r="BJ150" s="59">
        <f t="shared" si="146"/>
        <v>341.7578598026638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35.133194745610069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35.133194745610069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3.4106051316484809E-13</v>
      </c>
      <c r="BZ150" s="13">
        <f>BY150*VLOOKUP('Données projet'!$B$12,Paramètres!$A$1:$I$89,3,0)*VLOOKUP('Données projet'!$B$12,Paramètres!$A$1:$I$89,5,0)</f>
        <v>2.0395418687257919E-13</v>
      </c>
      <c r="CA150" s="13">
        <f t="shared" si="147"/>
        <v>2.8200388570161721E-12</v>
      </c>
      <c r="CB150" s="20">
        <f t="shared" si="118"/>
        <v>5.2667878847729083E-12</v>
      </c>
      <c r="CC150" s="59">
        <f t="shared" si="119"/>
        <v>286.3350924926537</v>
      </c>
      <c r="CD150" s="59">
        <f ca="1">AVERAGE(OFFSET($CC$3,0,0,'Données projet'!$E$12+1,1))-AVERAGE(OFFSET($H$3,0,0,'Données projet'!$E$12+1,1))</f>
        <v>435.81281313761326</v>
      </c>
      <c r="CE150" s="59">
        <f t="shared" si="148"/>
        <v>460.93390058676493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45.933722415280286</v>
      </c>
      <c r="CL150" s="21">
        <f>EXP(-LN(2)/25)*CL149+(1-EXP(-LN(2)/25))/(LN(2)/25)*Calculateur!CG150*Calculateur!CI150*VLOOKUP('Données projet'!$B$12,Paramètres!$A$1:$I$89,3,0)*0.475*44/12</f>
        <v>5.3460331938059706</v>
      </c>
      <c r="CM150" s="21">
        <f>EXP(-LN(2)/2)*CM149+(1-EXP(-LN(2)/2))/(LN(2)/2)*CG150*CJ150*VLOOKUP('Données projet'!$B$12,Paramètres!$A$1:$I$89,3,0)*0.475*44/12</f>
        <v>1.7749698622895807E-11</v>
      </c>
      <c r="CN150" s="22">
        <f t="shared" si="120"/>
        <v>51.279755609104008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379.16472924112111</v>
      </c>
      <c r="CZ150" s="59">
        <f t="shared" si="150"/>
        <v>273.18950868898253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63.397562682342141</v>
      </c>
      <c r="DG150" s="21">
        <f>EXP(-LN(2)/25)*DG149+(1-EXP(-LN(2)/25))/(LN(2)/25)*Calculateur!DB150*Calculateur!DD150*VLOOKUP('Données projet'!$B$13,Paramètres!$A$1:$I$89,3,0)*0.475*44/12</f>
        <v>7.2268559626873881</v>
      </c>
      <c r="DH150" s="21">
        <f>EXP(-LN(2)/2)*DH149+(1-EXP(-LN(2)/2))/(LN(2)/2)*DB150*DE150*VLOOKUP('Données projet'!$B$13,Paramètres!$A$1:$I$89,3,0)*0.475*44/12</f>
        <v>8.0579016502284226E-8</v>
      </c>
      <c r="DI150" s="22">
        <f t="shared" si="123"/>
        <v>70.624418725608535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6.8212102632969618E-13</v>
      </c>
      <c r="DP150" s="17">
        <f>DO150*VLOOKUP('Données projet'!$B$14,Paramètres!$A$1:$I$89,3,0)*VLOOKUP('Données projet'!$B$14,Paramètres!$A$1:$I$89,5,0)</f>
        <v>2.7489477361086753E-13</v>
      </c>
      <c r="DQ150" s="13">
        <f t="shared" si="151"/>
        <v>3.6711283554998768E-12</v>
      </c>
      <c r="DR150" s="20">
        <f t="shared" si="124"/>
        <v>6.8726569498678791E-12</v>
      </c>
      <c r="DS150" s="59">
        <f t="shared" si="125"/>
        <v>286.33509249265529</v>
      </c>
      <c r="DT150" s="59">
        <f ca="1">AVERAGE(OFFSET($DS$3,0,0,'Données projet'!$E$14+1,1))-AVERAGE(OFFSET($H$3,0,0,'Données projet'!$E$14+1,1))</f>
        <v>419.35339339286082</v>
      </c>
      <c r="DU150" s="59">
        <f t="shared" si="152"/>
        <v>359.03308141414709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70.645015843977575</v>
      </c>
      <c r="EB150" s="21">
        <f>EXP(-LN(2)/25)*EB149+(1-EXP(-LN(2)/25))/(LN(2)/25)*Calculateur!DW150*Calculateur!DY150*VLOOKUP('Données projet'!$B$14,Paramètres!$A$1:$I$89,3,0)*0.475*44/12</f>
        <v>7.277275261628211</v>
      </c>
      <c r="EC150" s="21">
        <f>EXP(-LN(2)/2)*EC149+(1-EXP(-LN(2)/2))/(LN(2)/2)*DW150*DZ150*VLOOKUP('Données projet'!$B$14,Paramètres!$A$1:$I$89,3,0)*0.475*44/12</f>
        <v>2.8741953334900429E-9</v>
      </c>
      <c r="ED150" s="22">
        <f t="shared" si="126"/>
        <v>77.922291108479982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2.2737367544323206E-13</v>
      </c>
      <c r="EK150" s="17">
        <f>EJ150*VLOOKUP('Données projet'!$B$15,Paramètres!$A$1:$I$89,3,0)*VLOOKUP('Données projet'!$B$15,Paramètres!$A$1:$I$89,5,0)</f>
        <v>1.0049916454590858E-13</v>
      </c>
      <c r="EL150" s="13">
        <f t="shared" si="153"/>
        <v>1.5089081593838289E-12</v>
      </c>
      <c r="EM150" s="20">
        <f t="shared" si="127"/>
        <v>2.8030510891776262E-12</v>
      </c>
      <c r="EN150" s="59">
        <f t="shared" si="128"/>
        <v>286.3350924926512</v>
      </c>
      <c r="EO150" s="59">
        <f ca="1">AVERAGE(OFFSET($EN$3,0,0,'Données projet'!$E$15+1,1))-AVERAGE(OFFSET($H$3,0,0,'Données projet'!$E$15+1,1))</f>
        <v>561.50881628354409</v>
      </c>
      <c r="EP150" s="59">
        <f t="shared" si="154"/>
        <v>468.67708352238458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88.646348923915909</v>
      </c>
      <c r="EW150" s="21">
        <f>EXP(-LN(2)/25)*EW149+(1-EXP(-LN(2)/25))/(LN(2)/25)*Calculateur!ER150*Calculateur!ET150*VLOOKUP('Données projet'!$B$15,Paramètres!$A$1:$I$89,3,0)*0.475*44/12</f>
        <v>9.4410133706719694</v>
      </c>
      <c r="EX150" s="21">
        <f>EXP(-LN(2)/2)*EX149+(1-EXP(-LN(2)/2))/(LN(2)/2)*ER150*EU150*VLOOKUP('Données projet'!$B$15,Paramètres!$A$1:$I$89,3,0)*0.475*44/12</f>
        <v>3.809027279177801E-9</v>
      </c>
      <c r="EY150" s="22">
        <f t="shared" si="129"/>
        <v>98.087362298396897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5.1431925385259088E-14</v>
      </c>
      <c r="P151" s="13">
        <f t="shared" si="141"/>
        <v>8.3482866290946129E-13</v>
      </c>
      <c r="Q151" s="20">
        <f t="shared" si="108"/>
        <v>1.5435705246133045E-12</v>
      </c>
      <c r="R151" s="59">
        <f t="shared" si="109"/>
        <v>286.45649632551323</v>
      </c>
      <c r="S151" s="59">
        <f ca="1">AVERAGE(OFFSET($R$3,0,0,'Données projet'!$E$9+1,1))-AVERAGE(OFFSET($H$3,0,0,'Données projet'!$E$9+1,1))</f>
        <v>484.04602944257209</v>
      </c>
      <c r="T151" s="59">
        <f t="shared" si="142"/>
        <v>297.32483725004124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100.12774323934788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100.12774323934788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projet'!$B$10,Paramètres!$A$1:$I$89,3,0)*VLOOKUP('Données projet'!$B$10,Paramètres!$A$1:$I$89,5,0)</f>
        <v>-5.1786628318950535E-13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493.74122500490859</v>
      </c>
      <c r="AO151" s="59">
        <f t="shared" si="144"/>
        <v>299.43985151679692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89.916908955376783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89.916908955376783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364.64276939439014</v>
      </c>
      <c r="BJ151" s="59">
        <f t="shared" si="146"/>
        <v>341.7578598026638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34.444254225781499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34.444254225781499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3.4106051316484809E-13</v>
      </c>
      <c r="BZ151" s="13">
        <f>BY151*VLOOKUP('Données projet'!$B$12,Paramètres!$A$1:$I$89,3,0)*VLOOKUP('Données projet'!$B$12,Paramètres!$A$1:$I$89,5,0)</f>
        <v>2.0395418687257919E-13</v>
      </c>
      <c r="CA151" s="13">
        <f t="shared" si="147"/>
        <v>2.8200388570161721E-12</v>
      </c>
      <c r="CB151" s="20">
        <f t="shared" si="118"/>
        <v>5.2667878847729083E-12</v>
      </c>
      <c r="CC151" s="59">
        <f t="shared" si="119"/>
        <v>286.45649632551698</v>
      </c>
      <c r="CD151" s="59">
        <f ca="1">AVERAGE(OFFSET($CC$3,0,0,'Données projet'!$E$12+1,1))-AVERAGE(OFFSET($H$3,0,0,'Données projet'!$E$12+1,1))</f>
        <v>435.81281313761326</v>
      </c>
      <c r="CE151" s="59">
        <f t="shared" si="148"/>
        <v>460.93390058676493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45.032990135520883</v>
      </c>
      <c r="CL151" s="21">
        <f>EXP(-LN(2)/25)*CL150+(1-EXP(-LN(2)/25))/(LN(2)/25)*Calculateur!CG151*Calculateur!CI151*VLOOKUP('Données projet'!$B$12,Paramètres!$A$1:$I$89,3,0)*0.475*44/12</f>
        <v>5.199845634985679</v>
      </c>
      <c r="CM151" s="21">
        <f>EXP(-LN(2)/2)*CM150+(1-EXP(-LN(2)/2))/(LN(2)/2)*CG151*CJ151*VLOOKUP('Données projet'!$B$12,Paramètres!$A$1:$I$89,3,0)*0.475*44/12</f>
        <v>1.255093226026715E-11</v>
      </c>
      <c r="CN151" s="22">
        <f t="shared" si="120"/>
        <v>50.23283577051911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379.16472924112111</v>
      </c>
      <c r="CZ151" s="59">
        <f t="shared" si="150"/>
        <v>273.18950868898253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62.154375146836429</v>
      </c>
      <c r="DG151" s="21">
        <f>EXP(-LN(2)/25)*DG150+(1-EXP(-LN(2)/25))/(LN(2)/25)*Calculateur!DB151*Calculateur!DD151*VLOOKUP('Données projet'!$B$13,Paramètres!$A$1:$I$89,3,0)*0.475*44/12</f>
        <v>7.029237206343864</v>
      </c>
      <c r="DH151" s="21">
        <f>EXP(-LN(2)/2)*DH150+(1-EXP(-LN(2)/2))/(LN(2)/2)*DB151*DE151*VLOOKUP('Données projet'!$B$13,Paramètres!$A$1:$I$89,3,0)*0.475*44/12</f>
        <v>5.6977968990107895E-8</v>
      </c>
      <c r="DI151" s="22">
        <f t="shared" si="123"/>
        <v>69.183612410158261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6.8212102632969618E-13</v>
      </c>
      <c r="DP151" s="17">
        <f>DO151*VLOOKUP('Données projet'!$B$14,Paramètres!$A$1:$I$89,3,0)*VLOOKUP('Données projet'!$B$14,Paramètres!$A$1:$I$89,5,0)</f>
        <v>2.7489477361086753E-13</v>
      </c>
      <c r="DQ151" s="13">
        <f t="shared" si="151"/>
        <v>3.6711283554998768E-12</v>
      </c>
      <c r="DR151" s="20">
        <f t="shared" si="124"/>
        <v>6.8726569498678791E-12</v>
      </c>
      <c r="DS151" s="59">
        <f t="shared" si="125"/>
        <v>286.45649632551857</v>
      </c>
      <c r="DT151" s="59">
        <f ca="1">AVERAGE(OFFSET($DS$3,0,0,'Données projet'!$E$14+1,1))-AVERAGE(OFFSET($H$3,0,0,'Données projet'!$E$14+1,1))</f>
        <v>419.35339339286082</v>
      </c>
      <c r="DU151" s="59">
        <f t="shared" si="152"/>
        <v>359.03308141414709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69.25971017248213</v>
      </c>
      <c r="EB151" s="21">
        <f>EXP(-LN(2)/25)*EB150+(1-EXP(-LN(2)/25))/(LN(2)/25)*Calculateur!DW151*Calculateur!DY151*VLOOKUP('Données projet'!$B$14,Paramètres!$A$1:$I$89,3,0)*0.475*44/12</f>
        <v>7.0782777869037137</v>
      </c>
      <c r="EC151" s="21">
        <f>EXP(-LN(2)/2)*EC150+(1-EXP(-LN(2)/2))/(LN(2)/2)*DW151*DZ151*VLOOKUP('Données projet'!$B$14,Paramètres!$A$1:$I$89,3,0)*0.475*44/12</f>
        <v>2.0323630107655397E-9</v>
      </c>
      <c r="ED151" s="22">
        <f t="shared" si="126"/>
        <v>76.337987961418207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2.2737367544323206E-13</v>
      </c>
      <c r="EK151" s="17">
        <f>EJ151*VLOOKUP('Données projet'!$B$15,Paramètres!$A$1:$I$89,3,0)*VLOOKUP('Données projet'!$B$15,Paramètres!$A$1:$I$89,5,0)</f>
        <v>1.0049916454590858E-13</v>
      </c>
      <c r="EL151" s="13">
        <f t="shared" si="153"/>
        <v>1.5089081593838289E-12</v>
      </c>
      <c r="EM151" s="20">
        <f t="shared" si="127"/>
        <v>2.8030510891776262E-12</v>
      </c>
      <c r="EN151" s="59">
        <f t="shared" si="128"/>
        <v>286.45649632551448</v>
      </c>
      <c r="EO151" s="59">
        <f ca="1">AVERAGE(OFFSET($EN$3,0,0,'Données projet'!$E$15+1,1))-AVERAGE(OFFSET($H$3,0,0,'Données projet'!$E$15+1,1))</f>
        <v>561.50881628354409</v>
      </c>
      <c r="EP151" s="59">
        <f t="shared" si="154"/>
        <v>468.67708352238458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86.908048090451899</v>
      </c>
      <c r="EW151" s="21">
        <f>EXP(-LN(2)/25)*EW150+(1-EXP(-LN(2)/25))/(LN(2)/25)*Calculateur!ER151*Calculateur!ET151*VLOOKUP('Données projet'!$B$15,Paramètres!$A$1:$I$89,3,0)*0.475*44/12</f>
        <v>9.1828483635696294</v>
      </c>
      <c r="EX151" s="21">
        <f>EXP(-LN(2)/2)*EX150+(1-EXP(-LN(2)/2))/(LN(2)/2)*ER151*EU151*VLOOKUP('Données projet'!$B$15,Paramètres!$A$1:$I$89,3,0)*0.475*44/12</f>
        <v>2.6933890188311679E-9</v>
      </c>
      <c r="EY151" s="22">
        <f t="shared" si="129"/>
        <v>96.090896456714916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5.1431925385259088E-14</v>
      </c>
      <c r="P152" s="13">
        <f t="shared" si="141"/>
        <v>8.3482866290946129E-13</v>
      </c>
      <c r="Q152" s="20">
        <f t="shared" si="108"/>
        <v>1.5435705246133045E-12</v>
      </c>
      <c r="R152" s="59">
        <f t="shared" si="109"/>
        <v>286.57579407329462</v>
      </c>
      <c r="S152" s="59">
        <f ca="1">AVERAGE(OFFSET($R$3,0,0,'Données projet'!$E$9+1,1))-AVERAGE(OFFSET($H$3,0,0,'Données projet'!$E$9+1,1))</f>
        <v>484.04602944257209</v>
      </c>
      <c r="T152" s="59">
        <f t="shared" si="142"/>
        <v>297.32483725004124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98.1642992663173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98.1642992663173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projet'!$B$10,Paramètres!$A$1:$I$89,3,0)*VLOOKUP('Données projet'!$B$10,Paramètres!$A$1:$I$89,5,0)</f>
        <v>-5.1786628318950535E-13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493.74122500490859</v>
      </c>
      <c r="AO152" s="59">
        <f t="shared" si="144"/>
        <v>299.43985151679692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88.153693214660919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88.153693214660919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364.64276939439014</v>
      </c>
      <c r="BJ152" s="59">
        <f t="shared" si="146"/>
        <v>341.7578598026638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33.768823409334544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33.768823409334544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3.4106051316484809E-13</v>
      </c>
      <c r="BZ152" s="13">
        <f>BY152*VLOOKUP('Données projet'!$B$12,Paramètres!$A$1:$I$89,3,0)*VLOOKUP('Données projet'!$B$12,Paramètres!$A$1:$I$89,5,0)</f>
        <v>2.0395418687257919E-13</v>
      </c>
      <c r="CA152" s="13">
        <f t="shared" si="147"/>
        <v>2.8200388570161721E-12</v>
      </c>
      <c r="CB152" s="20">
        <f t="shared" si="118"/>
        <v>5.2667878847729083E-12</v>
      </c>
      <c r="CC152" s="59">
        <f t="shared" si="119"/>
        <v>286.57579407329837</v>
      </c>
      <c r="CD152" s="59">
        <f ca="1">AVERAGE(OFFSET($CC$3,0,0,'Données projet'!$E$12+1,1))-AVERAGE(OFFSET($H$3,0,0,'Données projet'!$E$12+1,1))</f>
        <v>435.81281313761326</v>
      </c>
      <c r="CE152" s="59">
        <f t="shared" si="148"/>
        <v>460.93390058676493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44.149920666375117</v>
      </c>
      <c r="CL152" s="21">
        <f>EXP(-LN(2)/25)*CL151+(1-EXP(-LN(2)/25))/(LN(2)/25)*Calculateur!CG152*Calculateur!CI152*VLOOKUP('Données projet'!$B$12,Paramètres!$A$1:$I$89,3,0)*0.475*44/12</f>
        <v>5.0576555826489979</v>
      </c>
      <c r="CM152" s="21">
        <f>EXP(-LN(2)/2)*CM151+(1-EXP(-LN(2)/2))/(LN(2)/2)*CG152*CJ152*VLOOKUP('Données projet'!$B$12,Paramètres!$A$1:$I$89,3,0)*0.475*44/12</f>
        <v>8.8748493114479037E-12</v>
      </c>
      <c r="CN152" s="22">
        <f t="shared" si="120"/>
        <v>49.207576249032989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379.16472924112111</v>
      </c>
      <c r="CZ152" s="59">
        <f t="shared" si="150"/>
        <v>273.18950868898253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60.935565760632464</v>
      </c>
      <c r="DG152" s="21">
        <f>EXP(-LN(2)/25)*DG151+(1-EXP(-LN(2)/25))/(LN(2)/25)*Calculateur!DB152*Calculateur!DD152*VLOOKUP('Données projet'!$B$13,Paramètres!$A$1:$I$89,3,0)*0.475*44/12</f>
        <v>6.837022345284872</v>
      </c>
      <c r="DH152" s="21">
        <f>EXP(-LN(2)/2)*DH151+(1-EXP(-LN(2)/2))/(LN(2)/2)*DB152*DE152*VLOOKUP('Données projet'!$B$13,Paramètres!$A$1:$I$89,3,0)*0.475*44/12</f>
        <v>4.0289508251142113E-8</v>
      </c>
      <c r="DI152" s="22">
        <f t="shared" si="123"/>
        <v>67.772588146206843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6.8212102632969618E-13</v>
      </c>
      <c r="DP152" s="17">
        <f>DO152*VLOOKUP('Données projet'!$B$14,Paramètres!$A$1:$I$89,3,0)*VLOOKUP('Données projet'!$B$14,Paramètres!$A$1:$I$89,5,0)</f>
        <v>2.7489477361086753E-13</v>
      </c>
      <c r="DQ152" s="13">
        <f t="shared" si="151"/>
        <v>3.6711283554998768E-12</v>
      </c>
      <c r="DR152" s="20">
        <f t="shared" si="124"/>
        <v>6.8726569498678791E-12</v>
      </c>
      <c r="DS152" s="59">
        <f t="shared" si="125"/>
        <v>286.57579407329996</v>
      </c>
      <c r="DT152" s="59">
        <f ca="1">AVERAGE(OFFSET($DS$3,0,0,'Données projet'!$E$14+1,1))-AVERAGE(OFFSET($H$3,0,0,'Données projet'!$E$14+1,1))</f>
        <v>419.35339339286082</v>
      </c>
      <c r="DU152" s="59">
        <f t="shared" si="152"/>
        <v>359.03308141414709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67.901569500251682</v>
      </c>
      <c r="EB152" s="21">
        <f>EXP(-LN(2)/25)*EB151+(1-EXP(-LN(2)/25))/(LN(2)/25)*Calculateur!DW152*Calculateur!DY152*VLOOKUP('Données projet'!$B$14,Paramètres!$A$1:$I$89,3,0)*0.475*44/12</f>
        <v>6.8847219085903806</v>
      </c>
      <c r="EC152" s="21">
        <f>EXP(-LN(2)/2)*EC151+(1-EXP(-LN(2)/2))/(LN(2)/2)*DW152*DZ152*VLOOKUP('Données projet'!$B$14,Paramètres!$A$1:$I$89,3,0)*0.475*44/12</f>
        <v>1.4370976667450214E-9</v>
      </c>
      <c r="ED152" s="22">
        <f t="shared" si="126"/>
        <v>74.786291410279162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2.2737367544323206E-13</v>
      </c>
      <c r="EK152" s="17">
        <f>EJ152*VLOOKUP('Données projet'!$B$15,Paramètres!$A$1:$I$89,3,0)*VLOOKUP('Données projet'!$B$15,Paramètres!$A$1:$I$89,5,0)</f>
        <v>1.0049916454590858E-13</v>
      </c>
      <c r="EL152" s="13">
        <f t="shared" si="153"/>
        <v>1.5089081593838289E-12</v>
      </c>
      <c r="EM152" s="20">
        <f t="shared" si="127"/>
        <v>2.8030510891776262E-12</v>
      </c>
      <c r="EN152" s="59">
        <f t="shared" si="128"/>
        <v>286.57579407329587</v>
      </c>
      <c r="EO152" s="59">
        <f ca="1">AVERAGE(OFFSET($EN$3,0,0,'Données projet'!$E$15+1,1))-AVERAGE(OFFSET($H$3,0,0,'Données projet'!$E$15+1,1))</f>
        <v>561.50881628354409</v>
      </c>
      <c r="EP152" s="59">
        <f t="shared" si="154"/>
        <v>468.67708352238458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85.203834276073295</v>
      </c>
      <c r="EW152" s="21">
        <f>EXP(-LN(2)/25)*EW151+(1-EXP(-LN(2)/25))/(LN(2)/25)*Calculateur!ER152*Calculateur!ET152*VLOOKUP('Données projet'!$B$15,Paramètres!$A$1:$I$89,3,0)*0.475*44/12</f>
        <v>8.9317428921628093</v>
      </c>
      <c r="EX152" s="21">
        <f>EXP(-LN(2)/2)*EX151+(1-EXP(-LN(2)/2))/(LN(2)/2)*ER152*EU152*VLOOKUP('Données projet'!$B$15,Paramètres!$A$1:$I$89,3,0)*0.475*44/12</f>
        <v>1.9045136395889005E-9</v>
      </c>
      <c r="EY152" s="22">
        <f t="shared" si="129"/>
        <v>94.135577170140607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5.1431925385259088E-14</v>
      </c>
      <c r="P153" s="13">
        <f t="shared" si="141"/>
        <v>8.3482866290946129E-13</v>
      </c>
      <c r="Q153" s="20">
        <f t="shared" si="108"/>
        <v>1.5435705246133045E-12</v>
      </c>
      <c r="R153" s="59">
        <f t="shared" si="109"/>
        <v>286.69302227186188</v>
      </c>
      <c r="S153" s="59">
        <f ca="1">AVERAGE(OFFSET($R$3,0,0,'Données projet'!$E$9+1,1))-AVERAGE(OFFSET($H$3,0,0,'Données projet'!$E$9+1,1))</f>
        <v>484.04602944257209</v>
      </c>
      <c r="T153" s="59">
        <f t="shared" si="142"/>
        <v>297.32483725004124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96.23935723201528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96.23935723201528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projet'!$B$10,Paramètres!$A$1:$I$89,3,0)*VLOOKUP('Données projet'!$B$10,Paramètres!$A$1:$I$89,5,0)</f>
        <v>-5.1786628318950535E-13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493.74122500490859</v>
      </c>
      <c r="AO153" s="59">
        <f t="shared" si="144"/>
        <v>299.43985151679692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86.42505305916508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86.42505305916508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364.64276939439014</v>
      </c>
      <c r="BJ153" s="59">
        <f t="shared" si="146"/>
        <v>341.7578598026638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33.106637379225994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33.106637379225994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3.4106051316484809E-13</v>
      </c>
      <c r="BZ153" s="13">
        <f>BY153*VLOOKUP('Données projet'!$B$12,Paramètres!$A$1:$I$89,3,0)*VLOOKUP('Données projet'!$B$12,Paramètres!$A$1:$I$89,5,0)</f>
        <v>2.0395418687257919E-13</v>
      </c>
      <c r="CA153" s="13">
        <f t="shared" si="147"/>
        <v>2.8200388570161721E-12</v>
      </c>
      <c r="CB153" s="20">
        <f t="shared" si="118"/>
        <v>5.2667878847729083E-12</v>
      </c>
      <c r="CC153" s="59">
        <f t="shared" si="119"/>
        <v>286.69302227186563</v>
      </c>
      <c r="CD153" s="59">
        <f ca="1">AVERAGE(OFFSET($CC$3,0,0,'Données projet'!$E$12+1,1))-AVERAGE(OFFSET($H$3,0,0,'Données projet'!$E$12+1,1))</f>
        <v>435.81281313761326</v>
      </c>
      <c r="CE153" s="59">
        <f t="shared" si="148"/>
        <v>460.93390058676493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43.284167650900109</v>
      </c>
      <c r="CL153" s="21">
        <f>EXP(-LN(2)/25)*CL152+(1-EXP(-LN(2)/25))/(LN(2)/25)*Calculateur!CG153*Calculateur!CI153*VLOOKUP('Données projet'!$B$12,Paramètres!$A$1:$I$89,3,0)*0.475*44/12</f>
        <v>4.9193537247709136</v>
      </c>
      <c r="CM153" s="21">
        <f>EXP(-LN(2)/2)*CM152+(1-EXP(-LN(2)/2))/(LN(2)/2)*CG153*CJ153*VLOOKUP('Données projet'!$B$12,Paramètres!$A$1:$I$89,3,0)*0.475*44/12</f>
        <v>6.2754661301335749E-12</v>
      </c>
      <c r="CN153" s="22">
        <f t="shared" si="120"/>
        <v>48.203521375677298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379.16472924112111</v>
      </c>
      <c r="CZ153" s="59">
        <f t="shared" si="150"/>
        <v>273.18950868898253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59.740656483091634</v>
      </c>
      <c r="DG153" s="21">
        <f>EXP(-LN(2)/25)*DG152+(1-EXP(-LN(2)/25))/(LN(2)/25)*Calculateur!DB153*Calculateur!DD153*VLOOKUP('Données projet'!$B$13,Paramètres!$A$1:$I$89,3,0)*0.475*44/12</f>
        <v>6.6500636097096786</v>
      </c>
      <c r="DH153" s="21">
        <f>EXP(-LN(2)/2)*DH152+(1-EXP(-LN(2)/2))/(LN(2)/2)*DB153*DE153*VLOOKUP('Données projet'!$B$13,Paramètres!$A$1:$I$89,3,0)*0.475*44/12</f>
        <v>2.8488984495053948E-8</v>
      </c>
      <c r="DI153" s="22">
        <f t="shared" si="123"/>
        <v>66.3907201212903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6.8212102632969618E-13</v>
      </c>
      <c r="DP153" s="17">
        <f>DO153*VLOOKUP('Données projet'!$B$14,Paramètres!$A$1:$I$89,3,0)*VLOOKUP('Données projet'!$B$14,Paramètres!$A$1:$I$89,5,0)</f>
        <v>2.7489477361086753E-13</v>
      </c>
      <c r="DQ153" s="13">
        <f t="shared" si="151"/>
        <v>3.6711283554998768E-12</v>
      </c>
      <c r="DR153" s="20">
        <f t="shared" si="124"/>
        <v>6.8726569498678791E-12</v>
      </c>
      <c r="DS153" s="59">
        <f t="shared" si="125"/>
        <v>286.69302227186722</v>
      </c>
      <c r="DT153" s="59">
        <f ca="1">AVERAGE(OFFSET($DS$3,0,0,'Données projet'!$E$14+1,1))-AVERAGE(OFFSET($H$3,0,0,'Données projet'!$E$14+1,1))</f>
        <v>419.35339339286082</v>
      </c>
      <c r="DU153" s="59">
        <f t="shared" si="152"/>
        <v>359.03308141414709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66.570061138219671</v>
      </c>
      <c r="EB153" s="21">
        <f>EXP(-LN(2)/25)*EB152+(1-EXP(-LN(2)/25))/(LN(2)/25)*Calculateur!DW153*Calculateur!DY153*VLOOKUP('Données projet'!$B$14,Paramètres!$A$1:$I$89,3,0)*0.475*44/12</f>
        <v>6.696458825948187</v>
      </c>
      <c r="EC153" s="21">
        <f>EXP(-LN(2)/2)*EC152+(1-EXP(-LN(2)/2))/(LN(2)/2)*DW153*DZ153*VLOOKUP('Données projet'!$B$14,Paramètres!$A$1:$I$89,3,0)*0.475*44/12</f>
        <v>1.0161815053827699E-9</v>
      </c>
      <c r="ED153" s="22">
        <f t="shared" si="126"/>
        <v>73.266519965184031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2.2737367544323206E-13</v>
      </c>
      <c r="EK153" s="17">
        <f>EJ153*VLOOKUP('Données projet'!$B$15,Paramètres!$A$1:$I$89,3,0)*VLOOKUP('Données projet'!$B$15,Paramètres!$A$1:$I$89,5,0)</f>
        <v>1.0049916454590858E-13</v>
      </c>
      <c r="EL153" s="13">
        <f t="shared" si="153"/>
        <v>1.5089081593838289E-12</v>
      </c>
      <c r="EM153" s="20">
        <f t="shared" si="127"/>
        <v>2.8030510891776262E-12</v>
      </c>
      <c r="EN153" s="59">
        <f t="shared" si="128"/>
        <v>286.69302227186313</v>
      </c>
      <c r="EO153" s="59">
        <f ca="1">AVERAGE(OFFSET($EN$3,0,0,'Données projet'!$E$15+1,1))-AVERAGE(OFFSET($H$3,0,0,'Données projet'!$E$15+1,1))</f>
        <v>561.50881628354409</v>
      </c>
      <c r="EP153" s="59">
        <f t="shared" si="154"/>
        <v>468.67708352238458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83.533039055126878</v>
      </c>
      <c r="EW153" s="21">
        <f>EXP(-LN(2)/25)*EW152+(1-EXP(-LN(2)/25))/(LN(2)/25)*Calculateur!ER153*Calculateur!ET153*VLOOKUP('Données projet'!$B$15,Paramètres!$A$1:$I$89,3,0)*0.475*44/12</f>
        <v>8.6875039130766716</v>
      </c>
      <c r="EX153" s="21">
        <f>EXP(-LN(2)/2)*EX152+(1-EXP(-LN(2)/2))/(LN(2)/2)*ER153*EU153*VLOOKUP('Données projet'!$B$15,Paramètres!$A$1:$I$89,3,0)*0.475*44/12</f>
        <v>1.3466945094155839E-9</v>
      </c>
      <c r="EY153" s="22">
        <f t="shared" si="129"/>
        <v>92.220542969550237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5.1431925385259088E-14</v>
      </c>
      <c r="P154" s="13">
        <f t="shared" si="141"/>
        <v>8.3482866290946129E-13</v>
      </c>
      <c r="Q154" s="20">
        <f t="shared" ref="Q154:Q203" si="162">(O154+P154)*0.475*44/12</f>
        <v>1.5435705246133045E-12</v>
      </c>
      <c r="R154" s="59">
        <f t="shared" si="109"/>
        <v>286.80821682326689</v>
      </c>
      <c r="S154" s="59">
        <f ca="1">AVERAGE(OFFSET($R$3,0,0,'Données projet'!$E$9+1,1))-AVERAGE(OFFSET($H$3,0,0,'Données projet'!$E$9+1,1))</f>
        <v>484.04602944257209</v>
      </c>
      <c r="T154" s="59">
        <f t="shared" si="142"/>
        <v>297.32483725004124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94.352162136907211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94.352162136907211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projet'!$B$10,Paramètres!$A$1:$I$89,3,0)*VLOOKUP('Données projet'!$B$10,Paramètres!$A$1:$I$89,5,0)</f>
        <v>-5.1786628318950535E-13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493.74122500490859</v>
      </c>
      <c r="AO154" s="59">
        <f t="shared" si="144"/>
        <v>299.43985151679692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84.730310482752131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84.730310482752131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364.64276939439014</v>
      </c>
      <c r="BJ154" s="59">
        <f t="shared" si="146"/>
        <v>341.7578598026638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32.457436413274273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32.457436413274273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3.4106051316484809E-13</v>
      </c>
      <c r="BZ154" s="13">
        <f>BY154*VLOOKUP('Données projet'!$B$12,Paramètres!$A$1:$I$89,3,0)*VLOOKUP('Données projet'!$B$12,Paramètres!$A$1:$I$89,5,0)</f>
        <v>2.0395418687257919E-13</v>
      </c>
      <c r="CA154" s="13">
        <f t="shared" ref="CA154:CA203" si="170">EXP(-1.0587+0.8836*LN(BZ154)+0.284)</f>
        <v>2.8200388570161721E-12</v>
      </c>
      <c r="CB154" s="20">
        <f t="shared" ref="CB154:CB203" si="171">(BZ154+CA154)*0.475*44/12</f>
        <v>5.2667878847729083E-12</v>
      </c>
      <c r="CC154" s="59">
        <f t="shared" si="119"/>
        <v>286.80821682327064</v>
      </c>
      <c r="CD154" s="59">
        <f ca="1">AVERAGE(OFFSET($CC$3,0,0,'Données projet'!$E$12+1,1))-AVERAGE(OFFSET($H$3,0,0,'Données projet'!$E$12+1,1))</f>
        <v>435.81281313761326</v>
      </c>
      <c r="CE154" s="59">
        <f t="shared" si="148"/>
        <v>460.93390058676493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42.435391524001368</v>
      </c>
      <c r="CL154" s="21">
        <f>EXP(-LN(2)/25)*CL153+(1-EXP(-LN(2)/25))/(LN(2)/25)*Calculateur!CG154*Calculateur!CI154*VLOOKUP('Données projet'!$B$12,Paramètres!$A$1:$I$89,3,0)*0.475*44/12</f>
        <v>4.7848337384694837</v>
      </c>
      <c r="CM154" s="21">
        <f>EXP(-LN(2)/2)*CM153+(1-EXP(-LN(2)/2))/(LN(2)/2)*CG154*CJ154*VLOOKUP('Données projet'!$B$12,Paramètres!$A$1:$I$89,3,0)*0.475*44/12</f>
        <v>4.4374246557239519E-12</v>
      </c>
      <c r="CN154" s="22">
        <f t="shared" ref="CN154:CN203" si="172">SUM(CK154:CM154)</f>
        <v>47.220225262475289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379.16472924112111</v>
      </c>
      <c r="CZ154" s="59">
        <f t="shared" si="150"/>
        <v>273.18950868898253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58.569178647660685</v>
      </c>
      <c r="DG154" s="21">
        <f>EXP(-LN(2)/25)*DG153+(1-EXP(-LN(2)/25))/(LN(2)/25)*Calculateur!DB154*Calculateur!DD154*VLOOKUP('Données projet'!$B$13,Paramètres!$A$1:$I$89,3,0)*0.475*44/12</f>
        <v>6.4682172705905208</v>
      </c>
      <c r="DH154" s="21">
        <f>EXP(-LN(2)/2)*DH153+(1-EXP(-LN(2)/2))/(LN(2)/2)*DB154*DE154*VLOOKUP('Données projet'!$B$13,Paramètres!$A$1:$I$89,3,0)*0.475*44/12</f>
        <v>2.0144754125571057E-8</v>
      </c>
      <c r="DI154" s="22">
        <f t="shared" ref="DI154:DI203" si="175">SUM(DF154:DH154)</f>
        <v>65.03739593839596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6.8212102632969618E-13</v>
      </c>
      <c r="DP154" s="17">
        <f>DO154*VLOOKUP('Données projet'!$B$14,Paramètres!$A$1:$I$89,3,0)*VLOOKUP('Données projet'!$B$14,Paramètres!$A$1:$I$89,5,0)</f>
        <v>2.7489477361086753E-13</v>
      </c>
      <c r="DQ154" s="13">
        <f t="shared" ref="DQ154:DQ203" si="176">EXP(-1.0587+0.8836*LN(DP154)+0.284)</f>
        <v>3.6711283554998768E-12</v>
      </c>
      <c r="DR154" s="20">
        <f t="shared" ref="DR154:DR203" si="177">(DP154+DQ154)*0.475*44/12</f>
        <v>6.8726569498678791E-12</v>
      </c>
      <c r="DS154" s="59">
        <f t="shared" si="125"/>
        <v>286.80821682327223</v>
      </c>
      <c r="DT154" s="59">
        <f ca="1">AVERAGE(OFFSET($DS$3,0,0,'Données projet'!$E$14+1,1))-AVERAGE(OFFSET($H$3,0,0,'Données projet'!$E$14+1,1))</f>
        <v>419.35339339286082</v>
      </c>
      <c r="DU154" s="59">
        <f t="shared" si="152"/>
        <v>359.03308141414709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65.264662843027196</v>
      </c>
      <c r="EB154" s="21">
        <f>EXP(-LN(2)/25)*EB153+(1-EXP(-LN(2)/25))/(LN(2)/25)*Calculateur!DW154*Calculateur!DY154*VLOOKUP('Données projet'!$B$14,Paramètres!$A$1:$I$89,3,0)*0.475*44/12</f>
        <v>6.5133438072011689</v>
      </c>
      <c r="EC154" s="21">
        <f>EXP(-LN(2)/2)*EC153+(1-EXP(-LN(2)/2))/(LN(2)/2)*DW154*DZ154*VLOOKUP('Données projet'!$B$14,Paramètres!$A$1:$I$89,3,0)*0.475*44/12</f>
        <v>7.1854883337251072E-10</v>
      </c>
      <c r="ED154" s="22">
        <f t="shared" ref="ED154:ED203" si="178">SUM(EA154:EC154)</f>
        <v>71.778006650946907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2.2737367544323206E-13</v>
      </c>
      <c r="EK154" s="17">
        <f>EJ154*VLOOKUP('Données projet'!$B$15,Paramètres!$A$1:$I$89,3,0)*VLOOKUP('Données projet'!$B$15,Paramètres!$A$1:$I$89,5,0)</f>
        <v>1.0049916454590858E-13</v>
      </c>
      <c r="EL154" s="13">
        <f t="shared" ref="EL154:EL203" si="179">EXP(-1.0587+0.8836*LN(EK154)+0.284)</f>
        <v>1.5089081593838289E-12</v>
      </c>
      <c r="EM154" s="20">
        <f t="shared" ref="EM154:EM203" si="180">(EK154+EL154)*0.475*44/12</f>
        <v>2.8030510891776262E-12</v>
      </c>
      <c r="EN154" s="59">
        <f t="shared" si="128"/>
        <v>286.80821682326814</v>
      </c>
      <c r="EO154" s="59">
        <f ca="1">AVERAGE(OFFSET($EN$3,0,0,'Données projet'!$E$15+1,1))-AVERAGE(OFFSET($H$3,0,0,'Données projet'!$E$15+1,1))</f>
        <v>561.50881628354409</v>
      </c>
      <c r="EP154" s="59">
        <f t="shared" si="154"/>
        <v>468.67708352238458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81.895007109378753</v>
      </c>
      <c r="EW154" s="21">
        <f>EXP(-LN(2)/25)*EW153+(1-EXP(-LN(2)/25))/(LN(2)/25)*Calculateur!ER154*Calculateur!ET154*VLOOKUP('Données projet'!$B$15,Paramètres!$A$1:$I$89,3,0)*0.475*44/12</f>
        <v>8.4499436617176151</v>
      </c>
      <c r="EX154" s="21">
        <f>EXP(-LN(2)/2)*EX153+(1-EXP(-LN(2)/2))/(LN(2)/2)*ER154*EU154*VLOOKUP('Données projet'!$B$15,Paramètres!$A$1:$I$89,3,0)*0.475*44/12</f>
        <v>9.5225681979445025E-10</v>
      </c>
      <c r="EY154" s="22">
        <f t="shared" ref="EY154:EY203" si="181">SUM(EV154:EX154)</f>
        <v>90.34495077204862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5.1431925385259088E-14</v>
      </c>
      <c r="P155" s="13">
        <f t="shared" si="141"/>
        <v>8.3482866290946129E-13</v>
      </c>
      <c r="Q155" s="20">
        <f t="shared" si="162"/>
        <v>1.5435705246133045E-12</v>
      </c>
      <c r="R155" s="59">
        <f t="shared" si="109"/>
        <v>286.92141300674143</v>
      </c>
      <c r="S155" s="59">
        <f ca="1">AVERAGE(OFFSET($R$3,0,0,'Données projet'!$E$9+1,1))-AVERAGE(OFFSET($H$3,0,0,'Données projet'!$E$9+1,1))</f>
        <v>484.04602944257209</v>
      </c>
      <c r="T155" s="59">
        <f t="shared" si="142"/>
        <v>297.32483725004124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92.501973786538855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92.501973786538855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projet'!$B$10,Paramètres!$A$1:$I$89,3,0)*VLOOKUP('Données projet'!$B$10,Paramètres!$A$1:$I$89,5,0)</f>
        <v>-5.1786628318950535E-13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493.74122500490859</v>
      </c>
      <c r="AO155" s="59">
        <f t="shared" si="144"/>
        <v>299.43985151679692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83.068800774571741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83.068800774571741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364.64276939439014</v>
      </c>
      <c r="BJ155" s="59">
        <f t="shared" si="146"/>
        <v>341.7578598026638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31.820965882291379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31.820965882291379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3.4106051316484809E-13</v>
      </c>
      <c r="BZ155" s="13">
        <f>BY155*VLOOKUP('Données projet'!$B$12,Paramètres!$A$1:$I$89,3,0)*VLOOKUP('Données projet'!$B$12,Paramètres!$A$1:$I$89,5,0)</f>
        <v>2.0395418687257919E-13</v>
      </c>
      <c r="CA155" s="13">
        <f t="shared" si="170"/>
        <v>2.8200388570161721E-12</v>
      </c>
      <c r="CB155" s="20">
        <f t="shared" si="171"/>
        <v>5.2667878847729083E-12</v>
      </c>
      <c r="CC155" s="59">
        <f t="shared" si="119"/>
        <v>286.92141300674518</v>
      </c>
      <c r="CD155" s="59">
        <f ca="1">AVERAGE(OFFSET($CC$3,0,0,'Données projet'!$E$12+1,1))-AVERAGE(OFFSET($H$3,0,0,'Données projet'!$E$12+1,1))</f>
        <v>435.81281313761326</v>
      </c>
      <c r="CE155" s="59">
        <f t="shared" si="148"/>
        <v>460.93390058676493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41.60325937924879</v>
      </c>
      <c r="CL155" s="21">
        <f>EXP(-LN(2)/25)*CL154+(1-EXP(-LN(2)/25))/(LN(2)/25)*Calculateur!CG155*Calculateur!CI155*VLOOKUP('Données projet'!$B$12,Paramètres!$A$1:$I$89,3,0)*0.475*44/12</f>
        <v>4.6539922082675655</v>
      </c>
      <c r="CM155" s="21">
        <f>EXP(-LN(2)/2)*CM154+(1-EXP(-LN(2)/2))/(LN(2)/2)*CG155*CJ155*VLOOKUP('Données projet'!$B$12,Paramètres!$A$1:$I$89,3,0)*0.475*44/12</f>
        <v>3.1377330650667874E-12</v>
      </c>
      <c r="CN155" s="22">
        <f t="shared" si="172"/>
        <v>46.257251587519498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379.16472924112111</v>
      </c>
      <c r="CZ155" s="59">
        <f t="shared" si="150"/>
        <v>273.18950868898253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57.420672778051618</v>
      </c>
      <c r="DG155" s="21">
        <f>EXP(-LN(2)/25)*DG154+(1-EXP(-LN(2)/25))/(LN(2)/25)*Calculateur!DB155*Calculateur!DD155*VLOOKUP('Données projet'!$B$13,Paramètres!$A$1:$I$89,3,0)*0.475*44/12</f>
        <v>6.2913435291774604</v>
      </c>
      <c r="DH155" s="21">
        <f>EXP(-LN(2)/2)*DH154+(1-EXP(-LN(2)/2))/(LN(2)/2)*DB155*DE155*VLOOKUP('Données projet'!$B$13,Paramètres!$A$1:$I$89,3,0)*0.475*44/12</f>
        <v>1.4244492247526974E-8</v>
      </c>
      <c r="DI155" s="22">
        <f t="shared" si="175"/>
        <v>63.71201632147357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6.8212102632969618E-13</v>
      </c>
      <c r="DP155" s="17">
        <f>DO155*VLOOKUP('Données projet'!$B$14,Paramètres!$A$1:$I$89,3,0)*VLOOKUP('Données projet'!$B$14,Paramètres!$A$1:$I$89,5,0)</f>
        <v>2.7489477361086753E-13</v>
      </c>
      <c r="DQ155" s="13">
        <f t="shared" si="176"/>
        <v>3.6711283554998768E-12</v>
      </c>
      <c r="DR155" s="20">
        <f t="shared" si="177"/>
        <v>6.8726569498678791E-12</v>
      </c>
      <c r="DS155" s="59">
        <f t="shared" si="125"/>
        <v>286.92141300674677</v>
      </c>
      <c r="DT155" s="59">
        <f ca="1">AVERAGE(OFFSET($DS$3,0,0,'Données projet'!$E$14+1,1))-AVERAGE(OFFSET($H$3,0,0,'Données projet'!$E$14+1,1))</f>
        <v>419.35339339286082</v>
      </c>
      <c r="DU155" s="59">
        <f t="shared" si="152"/>
        <v>359.03308141414709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63.984862612189104</v>
      </c>
      <c r="EB155" s="21">
        <f>EXP(-LN(2)/25)*EB154+(1-EXP(-LN(2)/25))/(LN(2)/25)*Calculateur!DW155*Calculateur!DY155*VLOOKUP('Données projet'!$B$14,Paramètres!$A$1:$I$89,3,0)*0.475*44/12</f>
        <v>6.3352360782713886</v>
      </c>
      <c r="EC155" s="21">
        <f>EXP(-LN(2)/2)*EC154+(1-EXP(-LN(2)/2))/(LN(2)/2)*DW155*DZ155*VLOOKUP('Données projet'!$B$14,Paramètres!$A$1:$I$89,3,0)*0.475*44/12</f>
        <v>5.0809075269138493E-10</v>
      </c>
      <c r="ED155" s="22">
        <f t="shared" si="178"/>
        <v>70.320098690968592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2.2737367544323206E-13</v>
      </c>
      <c r="EK155" s="17">
        <f>EJ155*VLOOKUP('Données projet'!$B$15,Paramètres!$A$1:$I$89,3,0)*VLOOKUP('Données projet'!$B$15,Paramètres!$A$1:$I$89,5,0)</f>
        <v>1.0049916454590858E-13</v>
      </c>
      <c r="EL155" s="13">
        <f t="shared" si="179"/>
        <v>1.5089081593838289E-12</v>
      </c>
      <c r="EM155" s="20">
        <f t="shared" si="180"/>
        <v>2.8030510891776262E-12</v>
      </c>
      <c r="EN155" s="59">
        <f t="shared" si="128"/>
        <v>286.92141300674268</v>
      </c>
      <c r="EO155" s="59">
        <f ca="1">AVERAGE(OFFSET($EN$3,0,0,'Données projet'!$E$15+1,1))-AVERAGE(OFFSET($H$3,0,0,'Données projet'!$E$15+1,1))</f>
        <v>561.50881628354409</v>
      </c>
      <c r="EP155" s="59">
        <f t="shared" si="154"/>
        <v>468.67708352238458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80.289095970985912</v>
      </c>
      <c r="EW155" s="21">
        <f>EXP(-LN(2)/25)*EW154+(1-EXP(-LN(2)/25))/(LN(2)/25)*Calculateur!ER155*Calculateur!ET155*VLOOKUP('Données projet'!$B$15,Paramètres!$A$1:$I$89,3,0)*0.475*44/12</f>
        <v>8.2188795079247221</v>
      </c>
      <c r="EX155" s="21">
        <f>EXP(-LN(2)/2)*EX154+(1-EXP(-LN(2)/2))/(LN(2)/2)*ER155*EU155*VLOOKUP('Données projet'!$B$15,Paramètres!$A$1:$I$89,3,0)*0.475*44/12</f>
        <v>6.7334725470779197E-10</v>
      </c>
      <c r="EY155" s="22">
        <f t="shared" si="181"/>
        <v>88.50797547958399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5.1431925385259088E-14</v>
      </c>
      <c r="P156" s="13">
        <f t="shared" si="141"/>
        <v>8.3482866290946129E-13</v>
      </c>
      <c r="Q156" s="20">
        <f t="shared" si="162"/>
        <v>1.5435705246133045E-12</v>
      </c>
      <c r="R156" s="59">
        <f t="shared" si="109"/>
        <v>287.03264548950153</v>
      </c>
      <c r="S156" s="59">
        <f ca="1">AVERAGE(OFFSET($R$3,0,0,'Données projet'!$E$9+1,1))-AVERAGE(OFFSET($H$3,0,0,'Données projet'!$E$9+1,1))</f>
        <v>484.04602944257209</v>
      </c>
      <c r="T156" s="59">
        <f t="shared" si="142"/>
        <v>297.32483725004124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90.688066501217762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90.688066501217762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projet'!$B$10,Paramètres!$A$1:$I$89,3,0)*VLOOKUP('Données projet'!$B$10,Paramètres!$A$1:$I$89,5,0)</f>
        <v>-5.1786628318950535E-13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493.74122500490859</v>
      </c>
      <c r="AO156" s="59">
        <f t="shared" si="144"/>
        <v>299.43985151679692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81.439872258347918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81.439872258347918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364.64276939439014</v>
      </c>
      <c r="BJ156" s="59">
        <f t="shared" si="146"/>
        <v>341.7578598026638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31.196976150212365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31.196976150212365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3.4106051316484809E-13</v>
      </c>
      <c r="BZ156" s="13">
        <f>BY156*VLOOKUP('Données projet'!$B$12,Paramètres!$A$1:$I$89,3,0)*VLOOKUP('Données projet'!$B$12,Paramètres!$A$1:$I$89,5,0)</f>
        <v>2.0395418687257919E-13</v>
      </c>
      <c r="CA156" s="13">
        <f t="shared" si="170"/>
        <v>2.8200388570161721E-12</v>
      </c>
      <c r="CB156" s="20">
        <f t="shared" si="171"/>
        <v>5.2667878847729083E-12</v>
      </c>
      <c r="CC156" s="59">
        <f t="shared" si="119"/>
        <v>287.03264548950528</v>
      </c>
      <c r="CD156" s="59">
        <f ca="1">AVERAGE(OFFSET($CC$3,0,0,'Données projet'!$E$12+1,1))-AVERAGE(OFFSET($H$3,0,0,'Données projet'!$E$12+1,1))</f>
        <v>435.81281313761326</v>
      </c>
      <c r="CE156" s="59">
        <f t="shared" si="148"/>
        <v>460.93390058676493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40.787444838304324</v>
      </c>
      <c r="CL156" s="21">
        <f>EXP(-LN(2)/25)*CL155+(1-EXP(-LN(2)/25))/(LN(2)/25)*Calculateur!CG156*Calculateur!CI156*VLOOKUP('Données projet'!$B$12,Paramètres!$A$1:$I$89,3,0)*0.475*44/12</f>
        <v>4.5267285465896752</v>
      </c>
      <c r="CM156" s="21">
        <f>EXP(-LN(2)/2)*CM155+(1-EXP(-LN(2)/2))/(LN(2)/2)*CG156*CJ156*VLOOKUP('Données projet'!$B$12,Paramètres!$A$1:$I$89,3,0)*0.475*44/12</f>
        <v>2.2187123278619759E-12</v>
      </c>
      <c r="CN156" s="22">
        <f t="shared" si="172"/>
        <v>45.314173384896215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379.16472924112111</v>
      </c>
      <c r="CZ156" s="59">
        <f t="shared" si="150"/>
        <v>273.18950868898253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56.294688408026168</v>
      </c>
      <c r="DG156" s="21">
        <f>EXP(-LN(2)/25)*DG155+(1-EXP(-LN(2)/25))/(LN(2)/25)*Calculateur!DB156*Calculateur!DD156*VLOOKUP('Données projet'!$B$13,Paramètres!$A$1:$I$89,3,0)*0.475*44/12</f>
        <v>6.119306409524726</v>
      </c>
      <c r="DH156" s="21">
        <f>EXP(-LN(2)/2)*DH155+(1-EXP(-LN(2)/2))/(LN(2)/2)*DB156*DE156*VLOOKUP('Données projet'!$B$13,Paramètres!$A$1:$I$89,3,0)*0.475*44/12</f>
        <v>1.0072377062785528E-8</v>
      </c>
      <c r="DI156" s="22">
        <f t="shared" si="175"/>
        <v>62.41399482762327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6.8212102632969618E-13</v>
      </c>
      <c r="DP156" s="17">
        <f>DO156*VLOOKUP('Données projet'!$B$14,Paramètres!$A$1:$I$89,3,0)*VLOOKUP('Données projet'!$B$14,Paramètres!$A$1:$I$89,5,0)</f>
        <v>2.7489477361086753E-13</v>
      </c>
      <c r="DQ156" s="13">
        <f t="shared" si="176"/>
        <v>3.6711283554998768E-12</v>
      </c>
      <c r="DR156" s="20">
        <f t="shared" si="177"/>
        <v>6.8726569498678791E-12</v>
      </c>
      <c r="DS156" s="59">
        <f t="shared" si="125"/>
        <v>287.03264548950688</v>
      </c>
      <c r="DT156" s="59">
        <f ca="1">AVERAGE(OFFSET($DS$3,0,0,'Données projet'!$E$14+1,1))-AVERAGE(OFFSET($H$3,0,0,'Données projet'!$E$14+1,1))</f>
        <v>419.35339339286082</v>
      </c>
      <c r="DU156" s="59">
        <f t="shared" si="152"/>
        <v>359.03308141414709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62.730158483276682</v>
      </c>
      <c r="EB156" s="21">
        <f>EXP(-LN(2)/25)*EB155+(1-EXP(-LN(2)/25))/(LN(2)/25)*Calculateur!DW156*Calculateur!DY156*VLOOKUP('Données projet'!$B$14,Paramètres!$A$1:$I$89,3,0)*0.475*44/12</f>
        <v>6.1619987145554713</v>
      </c>
      <c r="EC156" s="21">
        <f>EXP(-LN(2)/2)*EC155+(1-EXP(-LN(2)/2))/(LN(2)/2)*DW156*DZ156*VLOOKUP('Données projet'!$B$14,Paramètres!$A$1:$I$89,3,0)*0.475*44/12</f>
        <v>3.5927441668625536E-10</v>
      </c>
      <c r="ED156" s="22">
        <f t="shared" si="178"/>
        <v>68.892157198191427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2.2737367544323206E-13</v>
      </c>
      <c r="EK156" s="17">
        <f>EJ156*VLOOKUP('Données projet'!$B$15,Paramètres!$A$1:$I$89,3,0)*VLOOKUP('Données projet'!$B$15,Paramètres!$A$1:$I$89,5,0)</f>
        <v>1.0049916454590858E-13</v>
      </c>
      <c r="EL156" s="13">
        <f t="shared" si="179"/>
        <v>1.5089081593838289E-12</v>
      </c>
      <c r="EM156" s="20">
        <f t="shared" si="180"/>
        <v>2.8030510891776262E-12</v>
      </c>
      <c r="EN156" s="59">
        <f t="shared" si="128"/>
        <v>287.03264548950278</v>
      </c>
      <c r="EO156" s="59">
        <f ca="1">AVERAGE(OFFSET($EN$3,0,0,'Données projet'!$E$15+1,1))-AVERAGE(OFFSET($H$3,0,0,'Données projet'!$E$15+1,1))</f>
        <v>561.50881628354409</v>
      </c>
      <c r="EP156" s="59">
        <f t="shared" si="154"/>
        <v>468.67708352238458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78.714675770507881</v>
      </c>
      <c r="EW156" s="21">
        <f>EXP(-LN(2)/25)*EW155+(1-EXP(-LN(2)/25))/(LN(2)/25)*Calculateur!ER156*Calculateur!ET156*VLOOKUP('Données projet'!$B$15,Paramètres!$A$1:$I$89,3,0)*0.475*44/12</f>
        <v>7.9941338155684321</v>
      </c>
      <c r="EX156" s="21">
        <f>EXP(-LN(2)/2)*EX155+(1-EXP(-LN(2)/2))/(LN(2)/2)*ER156*EU156*VLOOKUP('Données projet'!$B$15,Paramètres!$A$1:$I$89,3,0)*0.475*44/12</f>
        <v>4.7612840989722512E-10</v>
      </c>
      <c r="EY156" s="22">
        <f t="shared" si="181"/>
        <v>86.708809586552448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5.1431925385259088E-14</v>
      </c>
      <c r="P157" s="13">
        <f t="shared" si="141"/>
        <v>8.3482866290946129E-13</v>
      </c>
      <c r="Q157" s="20">
        <f t="shared" si="162"/>
        <v>1.5435705246133045E-12</v>
      </c>
      <c r="R157" s="59">
        <f t="shared" si="109"/>
        <v>287.14194833736428</v>
      </c>
      <c r="S157" s="59">
        <f ca="1">AVERAGE(OFFSET($R$3,0,0,'Données projet'!$E$9+1,1))-AVERAGE(OFFSET($H$3,0,0,'Données projet'!$E$9+1,1))</f>
        <v>484.04602944257209</v>
      </c>
      <c r="T157" s="59">
        <f t="shared" si="142"/>
        <v>297.32483725004124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88.909728831387611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88.909728831387611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projet'!$B$10,Paramètres!$A$1:$I$89,3,0)*VLOOKUP('Données projet'!$B$10,Paramètres!$A$1:$I$89,5,0)</f>
        <v>-5.1786628318950535E-13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493.74122500490859</v>
      </c>
      <c r="AO157" s="59">
        <f t="shared" si="144"/>
        <v>299.43985151679692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79.84288603677895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79.84288603677895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364.64276939439014</v>
      </c>
      <c r="BJ157" s="59">
        <f t="shared" si="146"/>
        <v>341.7578598026638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30.585222476183265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30.585222476183265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3.4106051316484809E-13</v>
      </c>
      <c r="BZ157" s="13">
        <f>BY157*VLOOKUP('Données projet'!$B$12,Paramètres!$A$1:$I$89,3,0)*VLOOKUP('Données projet'!$B$12,Paramètres!$A$1:$I$89,5,0)</f>
        <v>2.0395418687257919E-13</v>
      </c>
      <c r="CA157" s="13">
        <f t="shared" si="170"/>
        <v>2.8200388570161721E-12</v>
      </c>
      <c r="CB157" s="20">
        <f t="shared" si="171"/>
        <v>5.2667878847729083E-12</v>
      </c>
      <c r="CC157" s="59">
        <f t="shared" si="119"/>
        <v>287.14194833736804</v>
      </c>
      <c r="CD157" s="59">
        <f ca="1">AVERAGE(OFFSET($CC$3,0,0,'Données projet'!$E$12+1,1))-AVERAGE(OFFSET($H$3,0,0,'Données projet'!$E$12+1,1))</f>
        <v>435.81281313761326</v>
      </c>
      <c r="CE157" s="59">
        <f t="shared" si="148"/>
        <v>460.93390058676493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39.987627922910043</v>
      </c>
      <c r="CL157" s="21">
        <f>EXP(-LN(2)/25)*CL156+(1-EXP(-LN(2)/25))/(LN(2)/25)*Calculateur!CG157*Calculateur!CI157*VLOOKUP('Données projet'!$B$12,Paramètres!$A$1:$I$89,3,0)*0.475*44/12</f>
        <v>4.4029449164328724</v>
      </c>
      <c r="CM157" s="21">
        <f>EXP(-LN(2)/2)*CM156+(1-EXP(-LN(2)/2))/(LN(2)/2)*CG157*CJ157*VLOOKUP('Données projet'!$B$12,Paramètres!$A$1:$I$89,3,0)*0.475*44/12</f>
        <v>1.5688665325333937E-12</v>
      </c>
      <c r="CN157" s="22">
        <f t="shared" si="172"/>
        <v>44.390572839344486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379.16472924112111</v>
      </c>
      <c r="CZ157" s="59">
        <f t="shared" si="150"/>
        <v>273.18950868898253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55.190783904714266</v>
      </c>
      <c r="DG157" s="21">
        <f>EXP(-LN(2)/25)*DG156+(1-EXP(-LN(2)/25))/(LN(2)/25)*Calculateur!DB157*Calculateur!DD157*VLOOKUP('Données projet'!$B$13,Paramètres!$A$1:$I$89,3,0)*0.475*44/12</f>
        <v>5.9519736539559345</v>
      </c>
      <c r="DH157" s="21">
        <f>EXP(-LN(2)/2)*DH156+(1-EXP(-LN(2)/2))/(LN(2)/2)*DB157*DE157*VLOOKUP('Données projet'!$B$13,Paramètres!$A$1:$I$89,3,0)*0.475*44/12</f>
        <v>7.1222461237634869E-9</v>
      </c>
      <c r="DI157" s="22">
        <f t="shared" si="175"/>
        <v>61.142757565792444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6.8212102632969618E-13</v>
      </c>
      <c r="DP157" s="17">
        <f>DO157*VLOOKUP('Données projet'!$B$14,Paramètres!$A$1:$I$89,3,0)*VLOOKUP('Données projet'!$B$14,Paramètres!$A$1:$I$89,5,0)</f>
        <v>2.7489477361086753E-13</v>
      </c>
      <c r="DQ157" s="13">
        <f t="shared" si="176"/>
        <v>3.6711283554998768E-12</v>
      </c>
      <c r="DR157" s="20">
        <f t="shared" si="177"/>
        <v>6.8726569498678791E-12</v>
      </c>
      <c r="DS157" s="59">
        <f t="shared" si="125"/>
        <v>287.14194833736963</v>
      </c>
      <c r="DT157" s="59">
        <f ca="1">AVERAGE(OFFSET($DS$3,0,0,'Données projet'!$E$14+1,1))-AVERAGE(OFFSET($H$3,0,0,'Données projet'!$E$14+1,1))</f>
        <v>419.35339339286082</v>
      </c>
      <c r="DU157" s="59">
        <f t="shared" si="152"/>
        <v>359.03308141414709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61.500058337038283</v>
      </c>
      <c r="EB157" s="21">
        <f>EXP(-LN(2)/25)*EB156+(1-EXP(-LN(2)/25))/(LN(2)/25)*Calculateur!DW157*Calculateur!DY157*VLOOKUP('Données projet'!$B$14,Paramètres!$A$1:$I$89,3,0)*0.475*44/12</f>
        <v>5.9934985356605228</v>
      </c>
      <c r="EC157" s="21">
        <f>EXP(-LN(2)/2)*EC156+(1-EXP(-LN(2)/2))/(LN(2)/2)*DW157*DZ157*VLOOKUP('Données projet'!$B$14,Paramètres!$A$1:$I$89,3,0)*0.475*44/12</f>
        <v>2.5404537634569246E-10</v>
      </c>
      <c r="ED157" s="22">
        <f t="shared" si="178"/>
        <v>67.493556872952851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2.2737367544323206E-13</v>
      </c>
      <c r="EK157" s="17">
        <f>EJ157*VLOOKUP('Données projet'!$B$15,Paramètres!$A$1:$I$89,3,0)*VLOOKUP('Données projet'!$B$15,Paramètres!$A$1:$I$89,5,0)</f>
        <v>1.0049916454590858E-13</v>
      </c>
      <c r="EL157" s="13">
        <f t="shared" si="179"/>
        <v>1.5089081593838289E-12</v>
      </c>
      <c r="EM157" s="20">
        <f t="shared" si="180"/>
        <v>2.8030510891776262E-12</v>
      </c>
      <c r="EN157" s="59">
        <f t="shared" si="128"/>
        <v>287.14194833736553</v>
      </c>
      <c r="EO157" s="59">
        <f ca="1">AVERAGE(OFFSET($EN$3,0,0,'Données projet'!$E$15+1,1))-AVERAGE(OFFSET($H$3,0,0,'Données projet'!$E$15+1,1))</f>
        <v>561.50881628354409</v>
      </c>
      <c r="EP157" s="59">
        <f t="shared" si="154"/>
        <v>468.67708352238458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77.171128989859724</v>
      </c>
      <c r="EW157" s="21">
        <f>EXP(-LN(2)/25)*EW156+(1-EXP(-LN(2)/25))/(LN(2)/25)*Calculateur!ER157*Calculateur!ET157*VLOOKUP('Données projet'!$B$15,Paramètres!$A$1:$I$89,3,0)*0.475*44/12</f>
        <v>7.7755338059884869</v>
      </c>
      <c r="EX157" s="21">
        <f>EXP(-LN(2)/2)*EX156+(1-EXP(-LN(2)/2))/(LN(2)/2)*ER157*EU157*VLOOKUP('Données projet'!$B$15,Paramètres!$A$1:$I$89,3,0)*0.475*44/12</f>
        <v>3.3667362735389598E-10</v>
      </c>
      <c r="EY157" s="22">
        <f t="shared" si="181"/>
        <v>84.946662796184881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5.1431925385259088E-14</v>
      </c>
      <c r="P158" s="13">
        <f t="shared" si="141"/>
        <v>8.3482866290946129E-13</v>
      </c>
      <c r="Q158" s="20">
        <f t="shared" si="162"/>
        <v>1.5435705246133045E-12</v>
      </c>
      <c r="R158" s="59">
        <f t="shared" si="109"/>
        <v>287.24935502518122</v>
      </c>
      <c r="S158" s="59">
        <f ca="1">AVERAGE(OFFSET($R$3,0,0,'Données projet'!$E$9+1,1))-AVERAGE(OFFSET($H$3,0,0,'Données projet'!$E$9+1,1))</f>
        <v>484.04602944257209</v>
      </c>
      <c r="T158" s="59">
        <f t="shared" si="142"/>
        <v>297.32483725004124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87.166263278583955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87.166263278583955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projet'!$B$10,Paramètres!$A$1:$I$89,3,0)*VLOOKUP('Données projet'!$B$10,Paramètres!$A$1:$I$89,5,0)</f>
        <v>-5.1786628318950535E-13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493.74122500490859</v>
      </c>
      <c r="AO158" s="59">
        <f t="shared" si="144"/>
        <v>299.43985151679692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78.277215740949529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78.277215740949529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364.64276939439014</v>
      </c>
      <c r="BJ158" s="59">
        <f t="shared" si="146"/>
        <v>341.7578598026638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29.985464918568979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29.985464918568979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3.4106051316484809E-13</v>
      </c>
      <c r="BZ158" s="13">
        <f>BY158*VLOOKUP('Données projet'!$B$12,Paramètres!$A$1:$I$89,3,0)*VLOOKUP('Données projet'!$B$12,Paramètres!$A$1:$I$89,5,0)</f>
        <v>2.0395418687257919E-13</v>
      </c>
      <c r="CA158" s="13">
        <f t="shared" si="170"/>
        <v>2.8200388570161721E-12</v>
      </c>
      <c r="CB158" s="20">
        <f t="shared" si="171"/>
        <v>5.2667878847729083E-12</v>
      </c>
      <c r="CC158" s="59">
        <f t="shared" si="119"/>
        <v>287.24935502518497</v>
      </c>
      <c r="CD158" s="59">
        <f ca="1">AVERAGE(OFFSET($CC$3,0,0,'Données projet'!$E$12+1,1))-AVERAGE(OFFSET($H$3,0,0,'Données projet'!$E$12+1,1))</f>
        <v>435.81281313761326</v>
      </c>
      <c r="CE158" s="59">
        <f t="shared" si="148"/>
        <v>460.93390058676493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39.203494929386494</v>
      </c>
      <c r="CL158" s="21">
        <f>EXP(-LN(2)/25)*CL157+(1-EXP(-LN(2)/25))/(LN(2)/25)*Calculateur!CG158*Calculateur!CI158*VLOOKUP('Données projet'!$B$12,Paramètres!$A$1:$I$89,3,0)*0.475*44/12</f>
        <v>4.2825461561522058</v>
      </c>
      <c r="CM158" s="21">
        <f>EXP(-LN(2)/2)*CM157+(1-EXP(-LN(2)/2))/(LN(2)/2)*CG158*CJ158*VLOOKUP('Données projet'!$B$12,Paramètres!$A$1:$I$89,3,0)*0.475*44/12</f>
        <v>1.109356163930988E-12</v>
      </c>
      <c r="CN158" s="22">
        <f t="shared" si="172"/>
        <v>43.48604108553981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379.16472924112111</v>
      </c>
      <c r="CZ158" s="59">
        <f t="shared" si="150"/>
        <v>273.18950868898253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54.108526295397049</v>
      </c>
      <c r="DG158" s="21">
        <f>EXP(-LN(2)/25)*DG157+(1-EXP(-LN(2)/25))/(LN(2)/25)*Calculateur!DB158*Calculateur!DD158*VLOOKUP('Données projet'!$B$13,Paramètres!$A$1:$I$89,3,0)*0.475*44/12</f>
        <v>5.7892166213878182</v>
      </c>
      <c r="DH158" s="21">
        <f>EXP(-LN(2)/2)*DH157+(1-EXP(-LN(2)/2))/(LN(2)/2)*DB158*DE158*VLOOKUP('Données projet'!$B$13,Paramètres!$A$1:$I$89,3,0)*0.475*44/12</f>
        <v>5.0361885313927641E-9</v>
      </c>
      <c r="DI158" s="22">
        <f t="shared" si="175"/>
        <v>59.897742921821056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6.8212102632969618E-13</v>
      </c>
      <c r="DP158" s="17">
        <f>DO158*VLOOKUP('Données projet'!$B$14,Paramètres!$A$1:$I$89,3,0)*VLOOKUP('Données projet'!$B$14,Paramètres!$A$1:$I$89,5,0)</f>
        <v>2.7489477361086753E-13</v>
      </c>
      <c r="DQ158" s="13">
        <f t="shared" si="176"/>
        <v>3.6711283554998768E-12</v>
      </c>
      <c r="DR158" s="20">
        <f t="shared" si="177"/>
        <v>6.8726569498678791E-12</v>
      </c>
      <c r="DS158" s="59">
        <f t="shared" si="125"/>
        <v>287.24935502518656</v>
      </c>
      <c r="DT158" s="59">
        <f ca="1">AVERAGE(OFFSET($DS$3,0,0,'Données projet'!$E$14+1,1))-AVERAGE(OFFSET($H$3,0,0,'Données projet'!$E$14+1,1))</f>
        <v>419.35339339286082</v>
      </c>
      <c r="DU158" s="59">
        <f t="shared" si="152"/>
        <v>359.03308141414709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60.294079704380614</v>
      </c>
      <c r="EB158" s="21">
        <f>EXP(-LN(2)/25)*EB157+(1-EXP(-LN(2)/25))/(LN(2)/25)*Calculateur!DW158*Calculateur!DY158*VLOOKUP('Données projet'!$B$14,Paramètres!$A$1:$I$89,3,0)*0.475*44/12</f>
        <v>5.8296060030184957</v>
      </c>
      <c r="EC158" s="21">
        <f>EXP(-LN(2)/2)*EC157+(1-EXP(-LN(2)/2))/(LN(2)/2)*DW158*DZ158*VLOOKUP('Données projet'!$B$14,Paramètres!$A$1:$I$89,3,0)*0.475*44/12</f>
        <v>1.7963720834312768E-10</v>
      </c>
      <c r="ED158" s="22">
        <f t="shared" si="178"/>
        <v>66.123685707578744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2.2737367544323206E-13</v>
      </c>
      <c r="EK158" s="17">
        <f>EJ158*VLOOKUP('Données projet'!$B$15,Paramètres!$A$1:$I$89,3,0)*VLOOKUP('Données projet'!$B$15,Paramètres!$A$1:$I$89,5,0)</f>
        <v>1.0049916454590858E-13</v>
      </c>
      <c r="EL158" s="13">
        <f t="shared" si="179"/>
        <v>1.5089081593838289E-12</v>
      </c>
      <c r="EM158" s="20">
        <f t="shared" si="180"/>
        <v>2.8030510891776262E-12</v>
      </c>
      <c r="EN158" s="59">
        <f t="shared" si="128"/>
        <v>287.24935502518247</v>
      </c>
      <c r="EO158" s="59">
        <f ca="1">AVERAGE(OFFSET($EN$3,0,0,'Données projet'!$E$15+1,1))-AVERAGE(OFFSET($H$3,0,0,'Données projet'!$E$15+1,1))</f>
        <v>561.50881628354409</v>
      </c>
      <c r="EP158" s="59">
        <f t="shared" si="154"/>
        <v>468.67708352238458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75.657850220109509</v>
      </c>
      <c r="EW158" s="21">
        <f>EXP(-LN(2)/25)*EW157+(1-EXP(-LN(2)/25))/(LN(2)/25)*Calculateur!ER158*Calculateur!ET158*VLOOKUP('Données projet'!$B$15,Paramètres!$A$1:$I$89,3,0)*0.475*44/12</f>
        <v>7.5629114251661802</v>
      </c>
      <c r="EX158" s="21">
        <f>EXP(-LN(2)/2)*EX157+(1-EXP(-LN(2)/2))/(LN(2)/2)*ER158*EU158*VLOOKUP('Données projet'!$B$15,Paramètres!$A$1:$I$89,3,0)*0.475*44/12</f>
        <v>2.3806420494861256E-10</v>
      </c>
      <c r="EY158" s="22">
        <f t="shared" si="181"/>
        <v>83.220761645513747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5.1431925385259088E-14</v>
      </c>
      <c r="P159" s="13">
        <f t="shared" si="141"/>
        <v>8.3482866290946129E-13</v>
      </c>
      <c r="Q159" s="20">
        <f t="shared" si="162"/>
        <v>1.5435705246133045E-12</v>
      </c>
      <c r="R159" s="59">
        <f t="shared" si="109"/>
        <v>287.35489844708985</v>
      </c>
      <c r="S159" s="59">
        <f ca="1">AVERAGE(OFFSET($R$3,0,0,'Données projet'!$E$9+1,1))-AVERAGE(OFFSET($H$3,0,0,'Données projet'!$E$9+1,1))</f>
        <v>484.04602944257209</v>
      </c>
      <c r="T159" s="59">
        <f t="shared" si="142"/>
        <v>297.32483725004124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85.456986021861795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85.456986021861795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projet'!$B$10,Paramètres!$A$1:$I$89,3,0)*VLOOKUP('Données projet'!$B$10,Paramètres!$A$1:$I$89,5,0)</f>
        <v>-5.1786628318950535E-13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493.74122500490859</v>
      </c>
      <c r="AO159" s="59">
        <f t="shared" si="144"/>
        <v>299.43985151679692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76.742247284656742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76.742247284656742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364.64276939439014</v>
      </c>
      <c r="BJ159" s="59">
        <f t="shared" si="146"/>
        <v>341.7578598026638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29.397468240843519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29.397468240843519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3.4106051316484809E-13</v>
      </c>
      <c r="BZ159" s="13">
        <f>BY159*VLOOKUP('Données projet'!$B$12,Paramètres!$A$1:$I$89,3,0)*VLOOKUP('Données projet'!$B$12,Paramètres!$A$1:$I$89,5,0)</f>
        <v>2.0395418687257919E-13</v>
      </c>
      <c r="CA159" s="13">
        <f t="shared" si="170"/>
        <v>2.8200388570161721E-12</v>
      </c>
      <c r="CB159" s="20">
        <f t="shared" si="171"/>
        <v>5.2667878847729083E-12</v>
      </c>
      <c r="CC159" s="59">
        <f t="shared" si="119"/>
        <v>287.3548984470936</v>
      </c>
      <c r="CD159" s="59">
        <f ca="1">AVERAGE(OFFSET($CC$3,0,0,'Données projet'!$E$12+1,1))-AVERAGE(OFFSET($H$3,0,0,'Données projet'!$E$12+1,1))</f>
        <v>435.81281313761326</v>
      </c>
      <c r="CE159" s="59">
        <f t="shared" si="148"/>
        <v>460.93390058676493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38.434738305592042</v>
      </c>
      <c r="CL159" s="21">
        <f>EXP(-LN(2)/25)*CL158+(1-EXP(-LN(2)/25))/(LN(2)/25)*Calculateur!CG159*Calculateur!CI159*VLOOKUP('Données projet'!$B$12,Paramètres!$A$1:$I$89,3,0)*0.475*44/12</f>
        <v>4.1654397063029096</v>
      </c>
      <c r="CM159" s="21">
        <f>EXP(-LN(2)/2)*CM158+(1-EXP(-LN(2)/2))/(LN(2)/2)*CG159*CJ159*VLOOKUP('Données projet'!$B$12,Paramètres!$A$1:$I$89,3,0)*0.475*44/12</f>
        <v>7.8443326626669686E-13</v>
      </c>
      <c r="CN159" s="22">
        <f t="shared" si="172"/>
        <v>42.600178011895736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379.16472924112111</v>
      </c>
      <c r="CZ159" s="59">
        <f t="shared" si="150"/>
        <v>273.18950868898253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53.047491097686581</v>
      </c>
      <c r="DG159" s="21">
        <f>EXP(-LN(2)/25)*DG158+(1-EXP(-LN(2)/25))/(LN(2)/25)*Calculateur!DB159*Calculateur!DD159*VLOOKUP('Données projet'!$B$13,Paramètres!$A$1:$I$89,3,0)*0.475*44/12</f>
        <v>5.6309101884342976</v>
      </c>
      <c r="DH159" s="21">
        <f>EXP(-LN(2)/2)*DH158+(1-EXP(-LN(2)/2))/(LN(2)/2)*DB159*DE159*VLOOKUP('Données projet'!$B$13,Paramètres!$A$1:$I$89,3,0)*0.475*44/12</f>
        <v>3.5611230618817434E-9</v>
      </c>
      <c r="DI159" s="22">
        <f t="shared" si="175"/>
        <v>58.678401289682007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6.8212102632969618E-13</v>
      </c>
      <c r="DP159" s="17">
        <f>DO159*VLOOKUP('Données projet'!$B$14,Paramètres!$A$1:$I$89,3,0)*VLOOKUP('Données projet'!$B$14,Paramètres!$A$1:$I$89,5,0)</f>
        <v>2.7489477361086753E-13</v>
      </c>
      <c r="DQ159" s="13">
        <f t="shared" si="176"/>
        <v>3.6711283554998768E-12</v>
      </c>
      <c r="DR159" s="20">
        <f t="shared" si="177"/>
        <v>6.8726569498678791E-12</v>
      </c>
      <c r="DS159" s="59">
        <f t="shared" si="125"/>
        <v>287.3548984470952</v>
      </c>
      <c r="DT159" s="59">
        <f ca="1">AVERAGE(OFFSET($DS$3,0,0,'Données projet'!$E$14+1,1))-AVERAGE(OFFSET($H$3,0,0,'Données projet'!$E$14+1,1))</f>
        <v>419.35339339286082</v>
      </c>
      <c r="DU159" s="59">
        <f t="shared" si="152"/>
        <v>359.03308141414709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59.111749577135029</v>
      </c>
      <c r="EB159" s="21">
        <f>EXP(-LN(2)/25)*EB158+(1-EXP(-LN(2)/25))/(LN(2)/25)*Calculateur!DW159*Calculateur!DY159*VLOOKUP('Données projet'!$B$14,Paramètres!$A$1:$I$89,3,0)*0.475*44/12</f>
        <v>5.6701951203002992</v>
      </c>
      <c r="EC159" s="21">
        <f>EXP(-LN(2)/2)*EC158+(1-EXP(-LN(2)/2))/(LN(2)/2)*DW159*DZ159*VLOOKUP('Données projet'!$B$14,Paramètres!$A$1:$I$89,3,0)*0.475*44/12</f>
        <v>1.2702268817284623E-10</v>
      </c>
      <c r="ED159" s="22">
        <f t="shared" si="178"/>
        <v>64.781944697562352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2.2737367544323206E-13</v>
      </c>
      <c r="EK159" s="17">
        <f>EJ159*VLOOKUP('Données projet'!$B$15,Paramètres!$A$1:$I$89,3,0)*VLOOKUP('Données projet'!$B$15,Paramètres!$A$1:$I$89,5,0)</f>
        <v>1.0049916454590858E-13</v>
      </c>
      <c r="EL159" s="13">
        <f t="shared" si="179"/>
        <v>1.5089081593838289E-12</v>
      </c>
      <c r="EM159" s="20">
        <f t="shared" si="180"/>
        <v>2.8030510891776262E-12</v>
      </c>
      <c r="EN159" s="59">
        <f t="shared" si="128"/>
        <v>287.3548984470911</v>
      </c>
      <c r="EO159" s="59">
        <f ca="1">AVERAGE(OFFSET($EN$3,0,0,'Données projet'!$E$15+1,1))-AVERAGE(OFFSET($H$3,0,0,'Données projet'!$E$15+1,1))</f>
        <v>561.50881628354409</v>
      </c>
      <c r="EP159" s="59">
        <f t="shared" si="154"/>
        <v>468.67708352238458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74.174245924025186</v>
      </c>
      <c r="EW159" s="21">
        <f>EXP(-LN(2)/25)*EW158+(1-EXP(-LN(2)/25))/(LN(2)/25)*Calculateur!ER159*Calculateur!ET159*VLOOKUP('Données projet'!$B$15,Paramètres!$A$1:$I$89,3,0)*0.475*44/12</f>
        <v>7.3561032145287841</v>
      </c>
      <c r="EX159" s="21">
        <f>EXP(-LN(2)/2)*EX158+(1-EXP(-LN(2)/2))/(LN(2)/2)*ER159*EU159*VLOOKUP('Données projet'!$B$15,Paramètres!$A$1:$I$89,3,0)*0.475*44/12</f>
        <v>1.6833681367694799E-10</v>
      </c>
      <c r="EY159" s="22">
        <f t="shared" si="181"/>
        <v>81.530349138722315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5.1431925385259088E-14</v>
      </c>
      <c r="P160" s="13">
        <f t="shared" si="141"/>
        <v>8.3482866290946129E-13</v>
      </c>
      <c r="Q160" s="20">
        <f t="shared" si="162"/>
        <v>1.5435705246133045E-12</v>
      </c>
      <c r="R160" s="59">
        <f t="shared" si="109"/>
        <v>287.45861092658811</v>
      </c>
      <c r="S160" s="59">
        <f ca="1">AVERAGE(OFFSET($R$3,0,0,'Données projet'!$E$9+1,1))-AVERAGE(OFFSET($H$3,0,0,'Données projet'!$E$9+1,1))</f>
        <v>484.04602944257209</v>
      </c>
      <c r="T160" s="59">
        <f t="shared" si="142"/>
        <v>297.32483725004124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83.781226649587779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83.781226649587779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projet'!$B$10,Paramètres!$A$1:$I$89,3,0)*VLOOKUP('Données projet'!$B$10,Paramètres!$A$1:$I$89,5,0)</f>
        <v>-5.1786628318950535E-13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493.74122500490859</v>
      </c>
      <c r="AO160" s="59">
        <f t="shared" si="144"/>
        <v>299.43985151679692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75.237378623553539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75.237378623553539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364.64276939439014</v>
      </c>
      <c r="BJ160" s="59">
        <f t="shared" si="146"/>
        <v>341.7578598026638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28.821001819325698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28.821001819325698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3.4106051316484809E-13</v>
      </c>
      <c r="BZ160" s="13">
        <f>BY160*VLOOKUP('Données projet'!$B$12,Paramètres!$A$1:$I$89,3,0)*VLOOKUP('Données projet'!$B$12,Paramètres!$A$1:$I$89,5,0)</f>
        <v>2.0395418687257919E-13</v>
      </c>
      <c r="CA160" s="13">
        <f t="shared" si="170"/>
        <v>2.8200388570161721E-12</v>
      </c>
      <c r="CB160" s="20">
        <f t="shared" si="171"/>
        <v>5.2667878847729083E-12</v>
      </c>
      <c r="CC160" s="59">
        <f t="shared" si="119"/>
        <v>287.45861092659186</v>
      </c>
      <c r="CD160" s="59">
        <f ca="1">AVERAGE(OFFSET($CC$3,0,0,'Données projet'!$E$12+1,1))-AVERAGE(OFFSET($H$3,0,0,'Données projet'!$E$12+1,1))</f>
        <v>435.81281313761326</v>
      </c>
      <c r="CE160" s="59">
        <f t="shared" si="148"/>
        <v>460.93390058676493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37.68105653029496</v>
      </c>
      <c r="CL160" s="21">
        <f>EXP(-LN(2)/25)*CL159+(1-EXP(-LN(2)/25))/(LN(2)/25)*Calculateur!CG160*Calculateur!CI160*VLOOKUP('Données projet'!$B$12,Paramètres!$A$1:$I$89,3,0)*0.475*44/12</f>
        <v>4.0515355384831029</v>
      </c>
      <c r="CM160" s="21">
        <f>EXP(-LN(2)/2)*CM159+(1-EXP(-LN(2)/2))/(LN(2)/2)*CG160*CJ160*VLOOKUP('Données projet'!$B$12,Paramètres!$A$1:$I$89,3,0)*0.475*44/12</f>
        <v>5.5467808196549398E-13</v>
      </c>
      <c r="CN160" s="22">
        <f t="shared" si="172"/>
        <v>41.732592068778615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379.16472924112111</v>
      </c>
      <c r="CZ160" s="59">
        <f t="shared" si="150"/>
        <v>273.18950868898253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52.007262153035647</v>
      </c>
      <c r="DG160" s="21">
        <f>EXP(-LN(2)/25)*DG159+(1-EXP(-LN(2)/25))/(LN(2)/25)*Calculateur!DB160*Calculateur!DD160*VLOOKUP('Données projet'!$B$13,Paramètres!$A$1:$I$89,3,0)*0.475*44/12</f>
        <v>5.4769326532148641</v>
      </c>
      <c r="DH160" s="21">
        <f>EXP(-LN(2)/2)*DH159+(1-EXP(-LN(2)/2))/(LN(2)/2)*DB160*DE160*VLOOKUP('Données projet'!$B$13,Paramètres!$A$1:$I$89,3,0)*0.475*44/12</f>
        <v>2.5180942656963821E-9</v>
      </c>
      <c r="DI160" s="22">
        <f t="shared" si="175"/>
        <v>57.484194808768606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6.8212102632969618E-13</v>
      </c>
      <c r="DP160" s="17">
        <f>DO160*VLOOKUP('Données projet'!$B$14,Paramètres!$A$1:$I$89,3,0)*VLOOKUP('Données projet'!$B$14,Paramètres!$A$1:$I$89,5,0)</f>
        <v>2.7489477361086753E-13</v>
      </c>
      <c r="DQ160" s="13">
        <f t="shared" si="176"/>
        <v>3.6711283554998768E-12</v>
      </c>
      <c r="DR160" s="20">
        <f t="shared" si="177"/>
        <v>6.8726569498678791E-12</v>
      </c>
      <c r="DS160" s="59">
        <f t="shared" si="125"/>
        <v>287.45861092659345</v>
      </c>
      <c r="DT160" s="59">
        <f ca="1">AVERAGE(OFFSET($DS$3,0,0,'Données projet'!$E$14+1,1))-AVERAGE(OFFSET($H$3,0,0,'Données projet'!$E$14+1,1))</f>
        <v>419.35339339286082</v>
      </c>
      <c r="DU160" s="59">
        <f t="shared" si="152"/>
        <v>359.03308141414709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57.952604222534553</v>
      </c>
      <c r="EB160" s="21">
        <f>EXP(-LN(2)/25)*EB159+(1-EXP(-LN(2)/25))/(LN(2)/25)*Calculateur!DW160*Calculateur!DY160*VLOOKUP('Données projet'!$B$14,Paramètres!$A$1:$I$89,3,0)*0.475*44/12</f>
        <v>5.5151433365530851</v>
      </c>
      <c r="EC160" s="21">
        <f>EXP(-LN(2)/2)*EC159+(1-EXP(-LN(2)/2))/(LN(2)/2)*DW160*DZ160*VLOOKUP('Données projet'!$B$14,Paramètres!$A$1:$I$89,3,0)*0.475*44/12</f>
        <v>8.9818604171563839E-11</v>
      </c>
      <c r="ED160" s="22">
        <f t="shared" si="178"/>
        <v>63.467747559177461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2.2737367544323206E-13</v>
      </c>
      <c r="EK160" s="17">
        <f>EJ160*VLOOKUP('Données projet'!$B$15,Paramètres!$A$1:$I$89,3,0)*VLOOKUP('Données projet'!$B$15,Paramètres!$A$1:$I$89,5,0)</f>
        <v>1.0049916454590858E-13</v>
      </c>
      <c r="EL160" s="13">
        <f t="shared" si="179"/>
        <v>1.5089081593838289E-12</v>
      </c>
      <c r="EM160" s="20">
        <f t="shared" si="180"/>
        <v>2.8030510891776262E-12</v>
      </c>
      <c r="EN160" s="59">
        <f t="shared" si="128"/>
        <v>287.45861092658936</v>
      </c>
      <c r="EO160" s="59">
        <f ca="1">AVERAGE(OFFSET($EN$3,0,0,'Données projet'!$E$15+1,1))-AVERAGE(OFFSET($H$3,0,0,'Données projet'!$E$15+1,1))</f>
        <v>561.50881628354409</v>
      </c>
      <c r="EP160" s="59">
        <f t="shared" si="154"/>
        <v>468.67708352238458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72.71973420327781</v>
      </c>
      <c r="EW160" s="21">
        <f>EXP(-LN(2)/25)*EW159+(1-EXP(-LN(2)/25))/(LN(2)/25)*Calculateur!ER160*Calculateur!ET160*VLOOKUP('Données projet'!$B$15,Paramètres!$A$1:$I$89,3,0)*0.475*44/12</f>
        <v>7.1549501852868387</v>
      </c>
      <c r="EX160" s="21">
        <f>EXP(-LN(2)/2)*EX159+(1-EXP(-LN(2)/2))/(LN(2)/2)*ER160*EU160*VLOOKUP('Données projet'!$B$15,Paramètres!$A$1:$I$89,3,0)*0.475*44/12</f>
        <v>1.1903210247430628E-10</v>
      </c>
      <c r="EY160" s="22">
        <f t="shared" si="181"/>
        <v>79.874684388683676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5.1431925385259088E-14</v>
      </c>
      <c r="P161" s="13">
        <f t="shared" si="141"/>
        <v>8.3482866290946129E-13</v>
      </c>
      <c r="Q161" s="20">
        <f t="shared" si="162"/>
        <v>1.5435705246133045E-12</v>
      </c>
      <c r="R161" s="59">
        <f t="shared" si="109"/>
        <v>287.56052422643353</v>
      </c>
      <c r="S161" s="59">
        <f ca="1">AVERAGE(OFFSET($R$3,0,0,'Données projet'!$E$9+1,1))-AVERAGE(OFFSET($H$3,0,0,'Données projet'!$E$9+1,1))</f>
        <v>484.04602944257209</v>
      </c>
      <c r="T161" s="59">
        <f t="shared" si="142"/>
        <v>297.32483725004124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82.138327896491759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82.138327896491759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projet'!$B$10,Paramètres!$A$1:$I$89,3,0)*VLOOKUP('Données projet'!$B$10,Paramètres!$A$1:$I$89,5,0)</f>
        <v>-5.1786628318950535E-13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493.74122500490859</v>
      </c>
      <c r="AO161" s="59">
        <f t="shared" si="144"/>
        <v>299.43985151679692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73.762019519015325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73.762019519015325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364.64276939439014</v>
      </c>
      <c r="BJ161" s="59">
        <f t="shared" si="146"/>
        <v>341.7578598026638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28.255839552724041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28.255839552724041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3.4106051316484809E-13</v>
      </c>
      <c r="BZ161" s="13">
        <f>BY161*VLOOKUP('Données projet'!$B$12,Paramètres!$A$1:$I$89,3,0)*VLOOKUP('Données projet'!$B$12,Paramètres!$A$1:$I$89,5,0)</f>
        <v>2.0395418687257919E-13</v>
      </c>
      <c r="CA161" s="13">
        <f t="shared" si="170"/>
        <v>2.8200388570161721E-12</v>
      </c>
      <c r="CB161" s="20">
        <f t="shared" si="171"/>
        <v>5.2667878847729083E-12</v>
      </c>
      <c r="CC161" s="59">
        <f t="shared" si="119"/>
        <v>287.56052422643728</v>
      </c>
      <c r="CD161" s="59">
        <f ca="1">AVERAGE(OFFSET($CC$3,0,0,'Données projet'!$E$12+1,1))-AVERAGE(OFFSET($H$3,0,0,'Données projet'!$E$12+1,1))</f>
        <v>435.81281313761326</v>
      </c>
      <c r="CE161" s="59">
        <f t="shared" si="148"/>
        <v>460.93390058676493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36.94215399491096</v>
      </c>
      <c r="CL161" s="21">
        <f>EXP(-LN(2)/25)*CL160+(1-EXP(-LN(2)/25))/(LN(2)/25)*Calculateur!CG161*Calculateur!CI161*VLOOKUP('Données projet'!$B$12,Paramètres!$A$1:$I$89,3,0)*0.475*44/12</f>
        <v>3.9407460861222883</v>
      </c>
      <c r="CM161" s="21">
        <f>EXP(-LN(2)/2)*CM160+(1-EXP(-LN(2)/2))/(LN(2)/2)*CG161*CJ161*VLOOKUP('Données projet'!$B$12,Paramètres!$A$1:$I$89,3,0)*0.475*44/12</f>
        <v>3.9221663313334843E-13</v>
      </c>
      <c r="CN161" s="22">
        <f t="shared" si="172"/>
        <v>40.88290008103364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379.16472924112111</v>
      </c>
      <c r="CZ161" s="59">
        <f t="shared" si="150"/>
        <v>273.18950868898253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50.987431463512316</v>
      </c>
      <c r="DG161" s="21">
        <f>EXP(-LN(2)/25)*DG160+(1-EXP(-LN(2)/25))/(LN(2)/25)*Calculateur!DB161*Calculateur!DD161*VLOOKUP('Données projet'!$B$13,Paramètres!$A$1:$I$89,3,0)*0.475*44/12</f>
        <v>5.3271656417933331</v>
      </c>
      <c r="DH161" s="21">
        <f>EXP(-LN(2)/2)*DH160+(1-EXP(-LN(2)/2))/(LN(2)/2)*DB161*DE161*VLOOKUP('Données projet'!$B$13,Paramètres!$A$1:$I$89,3,0)*0.475*44/12</f>
        <v>1.7805615309408717E-9</v>
      </c>
      <c r="DI161" s="22">
        <f t="shared" si="175"/>
        <v>56.314597107086215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6.8212102632969618E-13</v>
      </c>
      <c r="DP161" s="17">
        <f>DO161*VLOOKUP('Données projet'!$B$14,Paramètres!$A$1:$I$89,3,0)*VLOOKUP('Données projet'!$B$14,Paramètres!$A$1:$I$89,5,0)</f>
        <v>2.7489477361086753E-13</v>
      </c>
      <c r="DQ161" s="13">
        <f t="shared" si="176"/>
        <v>3.6711283554998768E-12</v>
      </c>
      <c r="DR161" s="20">
        <f t="shared" si="177"/>
        <v>6.8726569498678791E-12</v>
      </c>
      <c r="DS161" s="59">
        <f t="shared" si="125"/>
        <v>287.56052422643887</v>
      </c>
      <c r="DT161" s="59">
        <f ca="1">AVERAGE(OFFSET($DS$3,0,0,'Données projet'!$E$14+1,1))-AVERAGE(OFFSET($H$3,0,0,'Données projet'!$E$14+1,1))</f>
        <v>419.35339339286082</v>
      </c>
      <c r="DU161" s="59">
        <f t="shared" si="152"/>
        <v>359.03308141414709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56.816189001328944</v>
      </c>
      <c r="EB161" s="21">
        <f>EXP(-LN(2)/25)*EB160+(1-EXP(-LN(2)/25))/(LN(2)/25)*Calculateur!DW161*Calculateur!DY161*VLOOKUP('Données projet'!$B$14,Paramètres!$A$1:$I$89,3,0)*0.475*44/12</f>
        <v>5.3643314519862582</v>
      </c>
      <c r="EC161" s="21">
        <f>EXP(-LN(2)/2)*EC160+(1-EXP(-LN(2)/2))/(LN(2)/2)*DW161*DZ161*VLOOKUP('Données projet'!$B$14,Paramètres!$A$1:$I$89,3,0)*0.475*44/12</f>
        <v>6.3511344086423116E-11</v>
      </c>
      <c r="ED161" s="22">
        <f t="shared" si="178"/>
        <v>62.180520453378712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2.2737367544323206E-13</v>
      </c>
      <c r="EK161" s="17">
        <f>EJ161*VLOOKUP('Données projet'!$B$15,Paramètres!$A$1:$I$89,3,0)*VLOOKUP('Données projet'!$B$15,Paramètres!$A$1:$I$89,5,0)</f>
        <v>1.0049916454590858E-13</v>
      </c>
      <c r="EL161" s="13">
        <f t="shared" si="179"/>
        <v>1.5089081593838289E-12</v>
      </c>
      <c r="EM161" s="20">
        <f t="shared" si="180"/>
        <v>2.8030510891776262E-12</v>
      </c>
      <c r="EN161" s="59">
        <f t="shared" si="128"/>
        <v>287.56052422643478</v>
      </c>
      <c r="EO161" s="59">
        <f ca="1">AVERAGE(OFFSET($EN$3,0,0,'Données projet'!$E$15+1,1))-AVERAGE(OFFSET($H$3,0,0,'Données projet'!$E$15+1,1))</f>
        <v>561.50881628354409</v>
      </c>
      <c r="EP161" s="59">
        <f t="shared" si="154"/>
        <v>468.67708352238458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71.293744570209739</v>
      </c>
      <c r="EW161" s="21">
        <f>EXP(-LN(2)/25)*EW160+(1-EXP(-LN(2)/25))/(LN(2)/25)*Calculateur!ER161*Calculateur!ET161*VLOOKUP('Données projet'!$B$15,Paramètres!$A$1:$I$89,3,0)*0.475*44/12</f>
        <v>6.9592976962076927</v>
      </c>
      <c r="EX161" s="21">
        <f>EXP(-LN(2)/2)*EX160+(1-EXP(-LN(2)/2))/(LN(2)/2)*ER161*EU161*VLOOKUP('Données projet'!$B$15,Paramètres!$A$1:$I$89,3,0)*0.475*44/12</f>
        <v>8.4168406838473996E-11</v>
      </c>
      <c r="EY161" s="22">
        <f t="shared" si="181"/>
        <v>78.253042266501609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5.1431925385259088E-14</v>
      </c>
      <c r="P162" s="13">
        <f t="shared" si="141"/>
        <v>8.3482866290946129E-13</v>
      </c>
      <c r="Q162" s="20">
        <f t="shared" si="162"/>
        <v>1.5435705246133045E-12</v>
      </c>
      <c r="R162" s="59">
        <f t="shared" si="109"/>
        <v>287.6606695583705</v>
      </c>
      <c r="S162" s="59">
        <f ca="1">AVERAGE(OFFSET($R$3,0,0,'Données projet'!$E$9+1,1))-AVERAGE(OFFSET($H$3,0,0,'Données projet'!$E$9+1,1))</f>
        <v>484.04602944257209</v>
      </c>
      <c r="T162" s="59">
        <f t="shared" si="142"/>
        <v>297.32483725004124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80.527645385874663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80.527645385874663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projet'!$B$10,Paramètres!$A$1:$I$89,3,0)*VLOOKUP('Données projet'!$B$10,Paramètres!$A$1:$I$89,5,0)</f>
        <v>-5.1786628318950535E-13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493.74122500490859</v>
      </c>
      <c r="AO162" s="59">
        <f t="shared" si="144"/>
        <v>299.43985151679692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72.315591306636904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72.315591306636904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364.64276939439014</v>
      </c>
      <c r="BJ162" s="59">
        <f t="shared" si="146"/>
        <v>341.7578598026638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27.701759773455496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27.701759773455496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3.4106051316484809E-13</v>
      </c>
      <c r="BZ162" s="13">
        <f>BY162*VLOOKUP('Données projet'!$B$12,Paramètres!$A$1:$I$89,3,0)*VLOOKUP('Données projet'!$B$12,Paramètres!$A$1:$I$89,5,0)</f>
        <v>2.0395418687257919E-13</v>
      </c>
      <c r="CA162" s="13">
        <f t="shared" si="170"/>
        <v>2.8200388570161721E-12</v>
      </c>
      <c r="CB162" s="20">
        <f t="shared" si="171"/>
        <v>5.2667878847729083E-12</v>
      </c>
      <c r="CC162" s="59">
        <f t="shared" si="119"/>
        <v>287.66066955837425</v>
      </c>
      <c r="CD162" s="59">
        <f ca="1">AVERAGE(OFFSET($CC$3,0,0,'Données projet'!$E$12+1,1))-AVERAGE(OFFSET($H$3,0,0,'Données projet'!$E$12+1,1))</f>
        <v>435.81281313761326</v>
      </c>
      <c r="CE162" s="59">
        <f t="shared" si="148"/>
        <v>460.93390058676493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36.217740887559792</v>
      </c>
      <c r="CL162" s="21">
        <f>EXP(-LN(2)/25)*CL161+(1-EXP(-LN(2)/25))/(LN(2)/25)*Calculateur!CG162*Calculateur!CI162*VLOOKUP('Données projet'!$B$12,Paramètres!$A$1:$I$89,3,0)*0.475*44/12</f>
        <v>3.8329861771624443</v>
      </c>
      <c r="CM162" s="21">
        <f>EXP(-LN(2)/2)*CM161+(1-EXP(-LN(2)/2))/(LN(2)/2)*CG162*CJ162*VLOOKUP('Données projet'!$B$12,Paramètres!$A$1:$I$89,3,0)*0.475*44/12</f>
        <v>2.7733904098274699E-13</v>
      </c>
      <c r="CN162" s="22">
        <f t="shared" si="172"/>
        <v>40.050727064722516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379.16472924112111</v>
      </c>
      <c r="CZ162" s="59">
        <f t="shared" si="150"/>
        <v>273.18950868898253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49.987599031775233</v>
      </c>
      <c r="DG162" s="21">
        <f>EXP(-LN(2)/25)*DG161+(1-EXP(-LN(2)/25))/(LN(2)/25)*Calculateur!DB162*Calculateur!DD162*VLOOKUP('Données projet'!$B$13,Paramètres!$A$1:$I$89,3,0)*0.475*44/12</f>
        <v>5.1814940171750283</v>
      </c>
      <c r="DH162" s="21">
        <f>EXP(-LN(2)/2)*DH161+(1-EXP(-LN(2)/2))/(LN(2)/2)*DB162*DE162*VLOOKUP('Données projet'!$B$13,Paramètres!$A$1:$I$89,3,0)*0.475*44/12</f>
        <v>1.259047132848191E-9</v>
      </c>
      <c r="DI162" s="22">
        <f t="shared" si="175"/>
        <v>55.169093050209305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6.8212102632969618E-13</v>
      </c>
      <c r="DP162" s="17">
        <f>DO162*VLOOKUP('Données projet'!$B$14,Paramètres!$A$1:$I$89,3,0)*VLOOKUP('Données projet'!$B$14,Paramètres!$A$1:$I$89,5,0)</f>
        <v>2.7489477361086753E-13</v>
      </c>
      <c r="DQ162" s="13">
        <f t="shared" si="176"/>
        <v>3.6711283554998768E-12</v>
      </c>
      <c r="DR162" s="20">
        <f t="shared" si="177"/>
        <v>6.8726569498678791E-12</v>
      </c>
      <c r="DS162" s="59">
        <f t="shared" si="125"/>
        <v>287.66066955837584</v>
      </c>
      <c r="DT162" s="59">
        <f ca="1">AVERAGE(OFFSET($DS$3,0,0,'Données projet'!$E$14+1,1))-AVERAGE(OFFSET($H$3,0,0,'Données projet'!$E$14+1,1))</f>
        <v>419.35339339286082</v>
      </c>
      <c r="DU162" s="59">
        <f t="shared" si="152"/>
        <v>359.03308141414709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55.702058189466328</v>
      </c>
      <c r="EB162" s="21">
        <f>EXP(-LN(2)/25)*EB161+(1-EXP(-LN(2)/25))/(LN(2)/25)*Calculateur!DW162*Calculateur!DY162*VLOOKUP('Données projet'!$B$14,Paramètres!$A$1:$I$89,3,0)*0.475*44/12</f>
        <v>5.217643526333763</v>
      </c>
      <c r="EC162" s="21">
        <f>EXP(-LN(2)/2)*EC161+(1-EXP(-LN(2)/2))/(LN(2)/2)*DW162*DZ162*VLOOKUP('Données projet'!$B$14,Paramètres!$A$1:$I$89,3,0)*0.475*44/12</f>
        <v>4.490930208578192E-11</v>
      </c>
      <c r="ED162" s="22">
        <f t="shared" si="178"/>
        <v>60.919701715844994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2.2737367544323206E-13</v>
      </c>
      <c r="EK162" s="17">
        <f>EJ162*VLOOKUP('Données projet'!$B$15,Paramètres!$A$1:$I$89,3,0)*VLOOKUP('Données projet'!$B$15,Paramètres!$A$1:$I$89,5,0)</f>
        <v>1.0049916454590858E-13</v>
      </c>
      <c r="EL162" s="13">
        <f t="shared" si="179"/>
        <v>1.5089081593838289E-12</v>
      </c>
      <c r="EM162" s="20">
        <f t="shared" si="180"/>
        <v>2.8030510891776262E-12</v>
      </c>
      <c r="EN162" s="59">
        <f t="shared" si="128"/>
        <v>287.66066955837175</v>
      </c>
      <c r="EO162" s="59">
        <f ca="1">AVERAGE(OFFSET($EN$3,0,0,'Données projet'!$E$15+1,1))-AVERAGE(OFFSET($H$3,0,0,'Données projet'!$E$15+1,1))</f>
        <v>561.50881628354409</v>
      </c>
      <c r="EP162" s="59">
        <f t="shared" si="154"/>
        <v>468.67708352238458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69.895717724078338</v>
      </c>
      <c r="EW162" s="21">
        <f>EXP(-LN(2)/25)*EW161+(1-EXP(-LN(2)/25))/(LN(2)/25)*Calculateur!ER162*Calculateur!ET162*VLOOKUP('Données projet'!$B$15,Paramètres!$A$1:$I$89,3,0)*0.475*44/12</f>
        <v>6.7689953347313327</v>
      </c>
      <c r="EX162" s="21">
        <f>EXP(-LN(2)/2)*EX161+(1-EXP(-LN(2)/2))/(LN(2)/2)*ER162*EU162*VLOOKUP('Données projet'!$B$15,Paramètres!$A$1:$I$89,3,0)*0.475*44/12</f>
        <v>5.951605123715314E-11</v>
      </c>
      <c r="EY162" s="22">
        <f t="shared" si="181"/>
        <v>76.664713058869182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5.1431925385259088E-14</v>
      </c>
      <c r="P163" s="13">
        <f t="shared" si="141"/>
        <v>8.3482866290946129E-13</v>
      </c>
      <c r="Q163" s="20">
        <f t="shared" si="162"/>
        <v>1.5435705246133045E-12</v>
      </c>
      <c r="R163" s="59">
        <f t="shared" si="109"/>
        <v>287.75907759268989</v>
      </c>
      <c r="S163" s="59">
        <f ca="1">AVERAGE(OFFSET($R$3,0,0,'Données projet'!$E$9+1,1))-AVERAGE(OFFSET($H$3,0,0,'Données projet'!$E$9+1,1))</f>
        <v>484.04602944257209</v>
      </c>
      <c r="T163" s="59">
        <f t="shared" si="142"/>
        <v>297.32483725004124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78.948547376871446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78.948547376871446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projet'!$B$10,Paramètres!$A$1:$I$89,3,0)*VLOOKUP('Données projet'!$B$10,Paramètres!$A$1:$I$89,5,0)</f>
        <v>-5.1786628318950535E-13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493.74122500490859</v>
      </c>
      <c r="AO163" s="59">
        <f t="shared" si="144"/>
        <v>299.43985151679692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70.897526669269126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70.897526669269126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364.64276939439014</v>
      </c>
      <c r="BJ163" s="59">
        <f t="shared" si="146"/>
        <v>341.7578598026638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27.158545160703113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27.158545160703113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3.4106051316484809E-13</v>
      </c>
      <c r="BZ163" s="13">
        <f>BY163*VLOOKUP('Données projet'!$B$12,Paramètres!$A$1:$I$89,3,0)*VLOOKUP('Données projet'!$B$12,Paramètres!$A$1:$I$89,5,0)</f>
        <v>2.0395418687257919E-13</v>
      </c>
      <c r="CA163" s="13">
        <f t="shared" si="170"/>
        <v>2.8200388570161721E-12</v>
      </c>
      <c r="CB163" s="20">
        <f t="shared" si="171"/>
        <v>5.2667878847729083E-12</v>
      </c>
      <c r="CC163" s="59">
        <f t="shared" si="119"/>
        <v>287.75907759269364</v>
      </c>
      <c r="CD163" s="59">
        <f ca="1">AVERAGE(OFFSET($CC$3,0,0,'Données projet'!$E$12+1,1))-AVERAGE(OFFSET($H$3,0,0,'Données projet'!$E$12+1,1))</f>
        <v>435.81281313761326</v>
      </c>
      <c r="CE163" s="59">
        <f t="shared" si="148"/>
        <v>460.93390058676493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35.507533079395415</v>
      </c>
      <c r="CL163" s="21">
        <f>EXP(-LN(2)/25)*CL162+(1-EXP(-LN(2)/25))/(LN(2)/25)*Calculateur!CG163*Calculateur!CI163*VLOOKUP('Données projet'!$B$12,Paramètres!$A$1:$I$89,3,0)*0.475*44/12</f>
        <v>3.7281729685799547</v>
      </c>
      <c r="CM163" s="21">
        <f>EXP(-LN(2)/2)*CM162+(1-EXP(-LN(2)/2))/(LN(2)/2)*CG163*CJ163*VLOOKUP('Données projet'!$B$12,Paramètres!$A$1:$I$89,3,0)*0.475*44/12</f>
        <v>1.9610831656667421E-13</v>
      </c>
      <c r="CN163" s="22">
        <f t="shared" si="172"/>
        <v>39.235706047975569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379.16472924112111</v>
      </c>
      <c r="CZ163" s="59">
        <f t="shared" si="150"/>
        <v>273.18950868898253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49.007372704186949</v>
      </c>
      <c r="DG163" s="21">
        <f>EXP(-LN(2)/25)*DG162+(1-EXP(-LN(2)/25))/(LN(2)/25)*Calculateur!DB163*Calculateur!DD163*VLOOKUP('Données projet'!$B$13,Paramètres!$A$1:$I$89,3,0)*0.475*44/12</f>
        <v>5.0398057907924496</v>
      </c>
      <c r="DH163" s="21">
        <f>EXP(-LN(2)/2)*DH162+(1-EXP(-LN(2)/2))/(LN(2)/2)*DB163*DE163*VLOOKUP('Données projet'!$B$13,Paramètres!$A$1:$I$89,3,0)*0.475*44/12</f>
        <v>8.9028076547043586E-10</v>
      </c>
      <c r="DI163" s="22">
        <f t="shared" si="175"/>
        <v>54.04717849586968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6.8212102632969618E-13</v>
      </c>
      <c r="DP163" s="17">
        <f>DO163*VLOOKUP('Données projet'!$B$14,Paramètres!$A$1:$I$89,3,0)*VLOOKUP('Données projet'!$B$14,Paramètres!$A$1:$I$89,5,0)</f>
        <v>2.7489477361086753E-13</v>
      </c>
      <c r="DQ163" s="13">
        <f t="shared" si="176"/>
        <v>3.6711283554998768E-12</v>
      </c>
      <c r="DR163" s="20">
        <f t="shared" si="177"/>
        <v>6.8726569498678791E-12</v>
      </c>
      <c r="DS163" s="59">
        <f t="shared" si="125"/>
        <v>287.75907759269523</v>
      </c>
      <c r="DT163" s="59">
        <f ca="1">AVERAGE(OFFSET($DS$3,0,0,'Données projet'!$E$14+1,1))-AVERAGE(OFFSET($H$3,0,0,'Données projet'!$E$14+1,1))</f>
        <v>419.35339339286082</v>
      </c>
      <c r="DU163" s="59">
        <f t="shared" si="152"/>
        <v>359.03308141414709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54.609774803271648</v>
      </c>
      <c r="EB163" s="21">
        <f>EXP(-LN(2)/25)*EB162+(1-EXP(-LN(2)/25))/(LN(2)/25)*Calculateur!DW163*Calculateur!DY163*VLOOKUP('Données projet'!$B$14,Paramètres!$A$1:$I$89,3,0)*0.475*44/12</f>
        <v>5.0749667897222182</v>
      </c>
      <c r="EC163" s="21">
        <f>EXP(-LN(2)/2)*EC162+(1-EXP(-LN(2)/2))/(LN(2)/2)*DW163*DZ163*VLOOKUP('Données projet'!$B$14,Paramètres!$A$1:$I$89,3,0)*0.475*44/12</f>
        <v>3.1755672043211558E-11</v>
      </c>
      <c r="ED163" s="22">
        <f t="shared" si="178"/>
        <v>59.68474159302562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2.2737367544323206E-13</v>
      </c>
      <c r="EK163" s="17">
        <f>EJ163*VLOOKUP('Données projet'!$B$15,Paramètres!$A$1:$I$89,3,0)*VLOOKUP('Données projet'!$B$15,Paramètres!$A$1:$I$89,5,0)</f>
        <v>1.0049916454590858E-13</v>
      </c>
      <c r="EL163" s="13">
        <f t="shared" si="179"/>
        <v>1.5089081593838289E-12</v>
      </c>
      <c r="EM163" s="20">
        <f t="shared" si="180"/>
        <v>2.8030510891776262E-12</v>
      </c>
      <c r="EN163" s="59">
        <f t="shared" si="128"/>
        <v>287.75907759269114</v>
      </c>
      <c r="EO163" s="59">
        <f ca="1">AVERAGE(OFFSET($EN$3,0,0,'Données projet'!$E$15+1,1))-AVERAGE(OFFSET($H$3,0,0,'Données projet'!$E$15+1,1))</f>
        <v>561.50881628354409</v>
      </c>
      <c r="EP163" s="59">
        <f t="shared" si="154"/>
        <v>468.67708352238458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68.525105331687399</v>
      </c>
      <c r="EW163" s="21">
        <f>EXP(-LN(2)/25)*EW162+(1-EXP(-LN(2)/25))/(LN(2)/25)*Calculateur!ER163*Calculateur!ET163*VLOOKUP('Données projet'!$B$15,Paramètres!$A$1:$I$89,3,0)*0.475*44/12</f>
        <v>6.5838968013371106</v>
      </c>
      <c r="EX163" s="21">
        <f>EXP(-LN(2)/2)*EX162+(1-EXP(-LN(2)/2))/(LN(2)/2)*ER163*EU163*VLOOKUP('Données projet'!$B$15,Paramètres!$A$1:$I$89,3,0)*0.475*44/12</f>
        <v>4.2084203419236998E-11</v>
      </c>
      <c r="EY163" s="22">
        <f t="shared" si="181"/>
        <v>75.109002133066582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5.1431925385259088E-14</v>
      </c>
      <c r="P164" s="13">
        <f t="shared" si="141"/>
        <v>8.3482866290946129E-13</v>
      </c>
      <c r="Q164" s="20">
        <f t="shared" si="162"/>
        <v>1.5435705246133045E-12</v>
      </c>
      <c r="R164" s="59">
        <f t="shared" si="109"/>
        <v>287.85577846762123</v>
      </c>
      <c r="S164" s="59">
        <f ca="1">AVERAGE(OFFSET($R$3,0,0,'Données projet'!$E$9+1,1))-AVERAGE(OFFSET($H$3,0,0,'Données projet'!$E$9+1,1))</f>
        <v>484.04602944257209</v>
      </c>
      <c r="T164" s="59">
        <f t="shared" si="142"/>
        <v>297.32483725004124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77.400414516670097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77.400414516670097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projet'!$B$10,Paramètres!$A$1:$I$89,3,0)*VLOOKUP('Données projet'!$B$10,Paramètres!$A$1:$I$89,5,0)</f>
        <v>-5.1786628318950535E-13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493.74122500490859</v>
      </c>
      <c r="AO164" s="59">
        <f t="shared" si="144"/>
        <v>299.43985151679692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69.507269414506112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69.507269414506112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364.64276939439014</v>
      </c>
      <c r="BJ164" s="59">
        <f t="shared" si="146"/>
        <v>341.7578598026638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26.625982655178607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26.625982655178607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3.4106051316484809E-13</v>
      </c>
      <c r="BZ164" s="13">
        <f>BY164*VLOOKUP('Données projet'!$B$12,Paramètres!$A$1:$I$89,3,0)*VLOOKUP('Données projet'!$B$12,Paramètres!$A$1:$I$89,5,0)</f>
        <v>2.0395418687257919E-13</v>
      </c>
      <c r="CA164" s="13">
        <f t="shared" si="170"/>
        <v>2.8200388570161721E-12</v>
      </c>
      <c r="CB164" s="20">
        <f t="shared" si="171"/>
        <v>5.2667878847729083E-12</v>
      </c>
      <c r="CC164" s="59">
        <f t="shared" si="119"/>
        <v>287.85577846762499</v>
      </c>
      <c r="CD164" s="59">
        <f ca="1">AVERAGE(OFFSET($CC$3,0,0,'Données projet'!$E$12+1,1))-AVERAGE(OFFSET($H$3,0,0,'Données projet'!$E$12+1,1))</f>
        <v>435.81281313761326</v>
      </c>
      <c r="CE164" s="59">
        <f t="shared" si="148"/>
        <v>460.93390058676493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34.811252013165152</v>
      </c>
      <c r="CL164" s="21">
        <f>EXP(-LN(2)/25)*CL163+(1-EXP(-LN(2)/25))/(LN(2)/25)*Calculateur!CG164*Calculateur!CI164*VLOOKUP('Données projet'!$B$12,Paramètres!$A$1:$I$89,3,0)*0.475*44/12</f>
        <v>3.6262258826980402</v>
      </c>
      <c r="CM164" s="21">
        <f>EXP(-LN(2)/2)*CM163+(1-EXP(-LN(2)/2))/(LN(2)/2)*CG164*CJ164*VLOOKUP('Données projet'!$B$12,Paramètres!$A$1:$I$89,3,0)*0.475*44/12</f>
        <v>1.386695204913735E-13</v>
      </c>
      <c r="CN164" s="22">
        <f t="shared" si="172"/>
        <v>38.437477895863331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379.16472924112111</v>
      </c>
      <c r="CZ164" s="59">
        <f t="shared" si="150"/>
        <v>273.18950868898253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48.046368017003644</v>
      </c>
      <c r="DG164" s="21">
        <f>EXP(-LN(2)/25)*DG163+(1-EXP(-LN(2)/25))/(LN(2)/25)*Calculateur!DB164*Calculateur!DD164*VLOOKUP('Données projet'!$B$13,Paramètres!$A$1:$I$89,3,0)*0.475*44/12</f>
        <v>4.9019920364113618</v>
      </c>
      <c r="DH164" s="21">
        <f>EXP(-LN(2)/2)*DH163+(1-EXP(-LN(2)/2))/(LN(2)/2)*DB164*DE164*VLOOKUP('Données projet'!$B$13,Paramètres!$A$1:$I$89,3,0)*0.475*44/12</f>
        <v>6.2952356642409552E-10</v>
      </c>
      <c r="DI164" s="22">
        <f t="shared" si="175"/>
        <v>52.948360054044535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6.8212102632969618E-13</v>
      </c>
      <c r="DP164" s="17">
        <f>DO164*VLOOKUP('Données projet'!$B$14,Paramètres!$A$1:$I$89,3,0)*VLOOKUP('Données projet'!$B$14,Paramètres!$A$1:$I$89,5,0)</f>
        <v>2.7489477361086753E-13</v>
      </c>
      <c r="DQ164" s="13">
        <f t="shared" si="176"/>
        <v>3.6711283554998768E-12</v>
      </c>
      <c r="DR164" s="20">
        <f t="shared" si="177"/>
        <v>6.8726569498678791E-12</v>
      </c>
      <c r="DS164" s="59">
        <f t="shared" si="125"/>
        <v>287.85577846762658</v>
      </c>
      <c r="DT164" s="59">
        <f ca="1">AVERAGE(OFFSET($DS$3,0,0,'Données projet'!$E$14+1,1))-AVERAGE(OFFSET($H$3,0,0,'Données projet'!$E$14+1,1))</f>
        <v>419.35339339286082</v>
      </c>
      <c r="DU164" s="59">
        <f t="shared" si="152"/>
        <v>359.03308141414709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53.538910428053164</v>
      </c>
      <c r="EB164" s="21">
        <f>EXP(-LN(2)/25)*EB163+(1-EXP(-LN(2)/25))/(LN(2)/25)*Calculateur!DW164*Calculateur!DY164*VLOOKUP('Données projet'!$B$14,Paramètres!$A$1:$I$89,3,0)*0.475*44/12</f>
        <v>4.9361915559763601</v>
      </c>
      <c r="EC164" s="21">
        <f>EXP(-LN(2)/2)*EC163+(1-EXP(-LN(2)/2))/(LN(2)/2)*DW164*DZ164*VLOOKUP('Données projet'!$B$14,Paramètres!$A$1:$I$89,3,0)*0.475*44/12</f>
        <v>2.245465104289096E-11</v>
      </c>
      <c r="ED164" s="22">
        <f t="shared" si="178"/>
        <v>58.475101984051975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2.2737367544323206E-13</v>
      </c>
      <c r="EK164" s="17">
        <f>EJ164*VLOOKUP('Données projet'!$B$15,Paramètres!$A$1:$I$89,3,0)*VLOOKUP('Données projet'!$B$15,Paramètres!$A$1:$I$89,5,0)</f>
        <v>1.0049916454590858E-13</v>
      </c>
      <c r="EL164" s="13">
        <f t="shared" si="179"/>
        <v>1.5089081593838289E-12</v>
      </c>
      <c r="EM164" s="20">
        <f t="shared" si="180"/>
        <v>2.8030510891776262E-12</v>
      </c>
      <c r="EN164" s="59">
        <f t="shared" si="128"/>
        <v>287.85577846762249</v>
      </c>
      <c r="EO164" s="59">
        <f ca="1">AVERAGE(OFFSET($EN$3,0,0,'Données projet'!$E$15+1,1))-AVERAGE(OFFSET($H$3,0,0,'Données projet'!$E$15+1,1))</f>
        <v>561.50881628354409</v>
      </c>
      <c r="EP164" s="59">
        <f t="shared" si="154"/>
        <v>468.67708352238458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67.181369812320227</v>
      </c>
      <c r="EW164" s="21">
        <f>EXP(-LN(2)/25)*EW163+(1-EXP(-LN(2)/25))/(LN(2)/25)*Calculateur!ER164*Calculateur!ET164*VLOOKUP('Données projet'!$B$15,Paramètres!$A$1:$I$89,3,0)*0.475*44/12</f>
        <v>6.403859797072462</v>
      </c>
      <c r="EX164" s="21">
        <f>EXP(-LN(2)/2)*EX163+(1-EXP(-LN(2)/2))/(LN(2)/2)*ER164*EU164*VLOOKUP('Données projet'!$B$15,Paramètres!$A$1:$I$89,3,0)*0.475*44/12</f>
        <v>2.975802561857657E-11</v>
      </c>
      <c r="EY164" s="22">
        <f t="shared" si="181"/>
        <v>73.585229609422441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5.1431925385259088E-14</v>
      </c>
      <c r="P165" s="13">
        <f t="shared" si="141"/>
        <v>8.3482866290946129E-13</v>
      </c>
      <c r="Q165" s="20">
        <f t="shared" si="162"/>
        <v>1.5435705246133045E-12</v>
      </c>
      <c r="R165" s="59">
        <f t="shared" si="109"/>
        <v>287.95080179856325</v>
      </c>
      <c r="S165" s="59">
        <f ca="1">AVERAGE(OFFSET($R$3,0,0,'Données projet'!$E$9+1,1))-AVERAGE(OFFSET($H$3,0,0,'Données projet'!$E$9+1,1))</f>
        <v>484.04602944257209</v>
      </c>
      <c r="T165" s="59">
        <f t="shared" si="142"/>
        <v>297.32483725004124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75.882639597589488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75.882639597589488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-5.1786628318950535E-13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493.74122500490859</v>
      </c>
      <c r="AO165" s="59">
        <f t="shared" si="144"/>
        <v>299.43985151679692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68.144274256535809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68.144274256535809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364.64276939439014</v>
      </c>
      <c r="BJ165" s="59">
        <f t="shared" si="146"/>
        <v>341.7578598026638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26.103863375556383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26.103863375556383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3.4106051316484809E-13</v>
      </c>
      <c r="BZ165" s="13">
        <f>BY165*VLOOKUP('Données projet'!$B$12,Paramètres!$A$1:$I$89,3,0)*VLOOKUP('Données projet'!$B$12,Paramètres!$A$1:$I$89,5,0)</f>
        <v>2.0395418687257919E-13</v>
      </c>
      <c r="CA165" s="13">
        <f t="shared" si="170"/>
        <v>2.8200388570161721E-12</v>
      </c>
      <c r="CB165" s="20">
        <f t="shared" si="171"/>
        <v>5.2667878847729083E-12</v>
      </c>
      <c r="CC165" s="59">
        <f t="shared" si="119"/>
        <v>287.950801798567</v>
      </c>
      <c r="CD165" s="59">
        <f ca="1">AVERAGE(OFFSET($CC$3,0,0,'Données projet'!$E$12+1,1))-AVERAGE(OFFSET($H$3,0,0,'Données projet'!$E$12+1,1))</f>
        <v>435.81281313761326</v>
      </c>
      <c r="CE165" s="59">
        <f t="shared" si="148"/>
        <v>460.93390058676493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34.12862459395415</v>
      </c>
      <c r="CL165" s="21">
        <f>EXP(-LN(2)/25)*CL164+(1-EXP(-LN(2)/25))/(LN(2)/25)*Calculateur!CG165*Calculateur!CI165*VLOOKUP('Données projet'!$B$12,Paramètres!$A$1:$I$89,3,0)*0.475*44/12</f>
        <v>3.5270665452407308</v>
      </c>
      <c r="CM165" s="21">
        <f>EXP(-LN(2)/2)*CM164+(1-EXP(-LN(2)/2))/(LN(2)/2)*CG165*CJ165*VLOOKUP('Données projet'!$B$12,Paramètres!$A$1:$I$89,3,0)*0.475*44/12</f>
        <v>9.8054158283337107E-14</v>
      </c>
      <c r="CN165" s="22">
        <f t="shared" si="172"/>
        <v>37.655691139194978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379.16472924112111</v>
      </c>
      <c r="CZ165" s="59">
        <f t="shared" si="150"/>
        <v>273.18950868898253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47.104208045581025</v>
      </c>
      <c r="DG165" s="21">
        <f>EXP(-LN(2)/25)*DG164+(1-EXP(-LN(2)/25))/(LN(2)/25)*Calculateur!DB165*Calculateur!DD165*VLOOKUP('Données projet'!$B$13,Paramètres!$A$1:$I$89,3,0)*0.475*44/12</f>
        <v>4.7679468063911354</v>
      </c>
      <c r="DH165" s="21">
        <f>EXP(-LN(2)/2)*DH164+(1-EXP(-LN(2)/2))/(LN(2)/2)*DB165*DE165*VLOOKUP('Données projet'!$B$13,Paramètres!$A$1:$I$89,3,0)*0.475*44/12</f>
        <v>4.4514038273521793E-10</v>
      </c>
      <c r="DI165" s="22">
        <f t="shared" si="175"/>
        <v>51.872154852417303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6.8212102632969618E-13</v>
      </c>
      <c r="DP165" s="17">
        <f>DO165*VLOOKUP('Données projet'!$B$14,Paramètres!$A$1:$I$89,3,0)*VLOOKUP('Données projet'!$B$14,Paramètres!$A$1:$I$89,5,0)</f>
        <v>2.7489477361086753E-13</v>
      </c>
      <c r="DQ165" s="13">
        <f t="shared" si="176"/>
        <v>3.6711283554998768E-12</v>
      </c>
      <c r="DR165" s="20">
        <f t="shared" si="177"/>
        <v>6.8726569498678791E-12</v>
      </c>
      <c r="DS165" s="59">
        <f t="shared" si="125"/>
        <v>287.95080179856859</v>
      </c>
      <c r="DT165" s="59">
        <f ca="1">AVERAGE(OFFSET($DS$3,0,0,'Données projet'!$E$14+1,1))-AVERAGE(OFFSET($H$3,0,0,'Données projet'!$E$14+1,1))</f>
        <v>419.35339339286082</v>
      </c>
      <c r="DU165" s="59">
        <f t="shared" si="152"/>
        <v>359.03308141414709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52.48904505006994</v>
      </c>
      <c r="EB165" s="21">
        <f>EXP(-LN(2)/25)*EB164+(1-EXP(-LN(2)/25))/(LN(2)/25)*Calculateur!DW165*Calculateur!DY165*VLOOKUP('Données projet'!$B$14,Paramètres!$A$1:$I$89,3,0)*0.475*44/12</f>
        <v>4.8012111382951543</v>
      </c>
      <c r="EC165" s="21">
        <f>EXP(-LN(2)/2)*EC164+(1-EXP(-LN(2)/2))/(LN(2)/2)*DW165*DZ165*VLOOKUP('Données projet'!$B$14,Paramètres!$A$1:$I$89,3,0)*0.475*44/12</f>
        <v>1.5877836021605779E-11</v>
      </c>
      <c r="ED165" s="22">
        <f t="shared" si="178"/>
        <v>57.290256188380972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2.2737367544323206E-13</v>
      </c>
      <c r="EK165" s="17">
        <f>EJ165*VLOOKUP('Données projet'!$B$15,Paramètres!$A$1:$I$89,3,0)*VLOOKUP('Données projet'!$B$15,Paramètres!$A$1:$I$89,5,0)</f>
        <v>1.0049916454590858E-13</v>
      </c>
      <c r="EL165" s="13">
        <f t="shared" si="179"/>
        <v>1.5089081593838289E-12</v>
      </c>
      <c r="EM165" s="20">
        <f t="shared" si="180"/>
        <v>2.8030510891776262E-12</v>
      </c>
      <c r="EN165" s="59">
        <f t="shared" si="128"/>
        <v>287.9508017985645</v>
      </c>
      <c r="EO165" s="59">
        <f ca="1">AVERAGE(OFFSET($EN$3,0,0,'Données projet'!$E$15+1,1))-AVERAGE(OFFSET($H$3,0,0,'Données projet'!$E$15+1,1))</f>
        <v>561.50881628354409</v>
      </c>
      <c r="EP165" s="59">
        <f t="shared" si="154"/>
        <v>468.67708352238458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65.863984126890116</v>
      </c>
      <c r="EW165" s="21">
        <f>EXP(-LN(2)/25)*EW164+(1-EXP(-LN(2)/25))/(LN(2)/25)*Calculateur!ER165*Calculateur!ET165*VLOOKUP('Données projet'!$B$15,Paramètres!$A$1:$I$89,3,0)*0.475*44/12</f>
        <v>6.2287459141571651</v>
      </c>
      <c r="EX165" s="21">
        <f>EXP(-LN(2)/2)*EX164+(1-EXP(-LN(2)/2))/(LN(2)/2)*ER165*EU165*VLOOKUP('Données projet'!$B$15,Paramètres!$A$1:$I$89,3,0)*0.475*44/12</f>
        <v>2.1042101709618499E-11</v>
      </c>
      <c r="EY165" s="22">
        <f t="shared" si="181"/>
        <v>72.092730041068322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5.1431925385259088E-14</v>
      </c>
      <c r="P166" s="13">
        <f t="shared" si="141"/>
        <v>8.3482866290946129E-13</v>
      </c>
      <c r="Q166" s="20">
        <f t="shared" si="162"/>
        <v>1.5435705246133045E-12</v>
      </c>
      <c r="R166" s="59">
        <f t="shared" si="109"/>
        <v>288.04417668715377</v>
      </c>
      <c r="S166" s="59">
        <f ca="1">AVERAGE(OFFSET($R$3,0,0,'Données projet'!$E$9+1,1))-AVERAGE(OFFSET($H$3,0,0,'Données projet'!$E$9+1,1))</f>
        <v>484.04602944257209</v>
      </c>
      <c r="T166" s="59">
        <f t="shared" si="142"/>
        <v>297.32483725004124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74.394627318920769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74.394627318920769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-5.1786628318950535E-13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493.74122500490859</v>
      </c>
      <c r="AO166" s="59">
        <f t="shared" si="144"/>
        <v>299.43985151679692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66.80800660226835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66.80800660226835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364.64276939439014</v>
      </c>
      <c r="BJ166" s="59">
        <f t="shared" si="146"/>
        <v>341.7578598026638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25.591982536546237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25.591982536546237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3.4106051316484809E-13</v>
      </c>
      <c r="BZ166" s="13">
        <f>BY166*VLOOKUP('Données projet'!$B$12,Paramètres!$A$1:$I$89,3,0)*VLOOKUP('Données projet'!$B$12,Paramètres!$A$1:$I$89,5,0)</f>
        <v>2.0395418687257919E-13</v>
      </c>
      <c r="CA166" s="13">
        <f t="shared" si="170"/>
        <v>2.8200388570161721E-12</v>
      </c>
      <c r="CB166" s="20">
        <f t="shared" si="171"/>
        <v>5.2667878847729083E-12</v>
      </c>
      <c r="CC166" s="59">
        <f t="shared" si="119"/>
        <v>288.04417668715752</v>
      </c>
      <c r="CD166" s="59">
        <f ca="1">AVERAGE(OFFSET($CC$3,0,0,'Données projet'!$E$12+1,1))-AVERAGE(OFFSET($H$3,0,0,'Données projet'!$E$12+1,1))</f>
        <v>435.81281313761326</v>
      </c>
      <c r="CE166" s="59">
        <f t="shared" si="148"/>
        <v>460.93390058676493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33.459383082072264</v>
      </c>
      <c r="CL166" s="21">
        <f>EXP(-LN(2)/25)*CL165+(1-EXP(-LN(2)/25))/(LN(2)/25)*Calculateur!CG166*Calculateur!CI166*VLOOKUP('Données projet'!$B$12,Paramètres!$A$1:$I$89,3,0)*0.475*44/12</f>
        <v>3.4306187250807545</v>
      </c>
      <c r="CM166" s="21">
        <f>EXP(-LN(2)/2)*CM165+(1-EXP(-LN(2)/2))/(LN(2)/2)*CG166*CJ166*VLOOKUP('Données projet'!$B$12,Paramètres!$A$1:$I$89,3,0)*0.475*44/12</f>
        <v>6.9334760245686748E-14</v>
      </c>
      <c r="CN166" s="22">
        <f t="shared" si="172"/>
        <v>36.890001807153091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379.16472924112111</v>
      </c>
      <c r="CZ166" s="59">
        <f t="shared" si="150"/>
        <v>273.18950868898253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46.180523256537164</v>
      </c>
      <c r="DG166" s="21">
        <f>EXP(-LN(2)/25)*DG165+(1-EXP(-LN(2)/25))/(LN(2)/25)*Calculateur!DB166*Calculateur!DD166*VLOOKUP('Données projet'!$B$13,Paramètres!$A$1:$I$89,3,0)*0.475*44/12</f>
        <v>4.6375670502349449</v>
      </c>
      <c r="DH166" s="21">
        <f>EXP(-LN(2)/2)*DH165+(1-EXP(-LN(2)/2))/(LN(2)/2)*DB166*DE166*VLOOKUP('Données projet'!$B$13,Paramètres!$A$1:$I$89,3,0)*0.475*44/12</f>
        <v>3.1476178321204776E-10</v>
      </c>
      <c r="DI166" s="22">
        <f t="shared" si="175"/>
        <v>50.818090307086869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6.8212102632969618E-13</v>
      </c>
      <c r="DP166" s="17">
        <f>DO166*VLOOKUP('Données projet'!$B$14,Paramètres!$A$1:$I$89,3,0)*VLOOKUP('Données projet'!$B$14,Paramètres!$A$1:$I$89,5,0)</f>
        <v>2.7489477361086753E-13</v>
      </c>
      <c r="DQ166" s="13">
        <f t="shared" si="176"/>
        <v>3.6711283554998768E-12</v>
      </c>
      <c r="DR166" s="20">
        <f t="shared" si="177"/>
        <v>6.8726569498678791E-12</v>
      </c>
      <c r="DS166" s="59">
        <f t="shared" si="125"/>
        <v>288.04417668715911</v>
      </c>
      <c r="DT166" s="59">
        <f ca="1">AVERAGE(OFFSET($DS$3,0,0,'Données projet'!$E$14+1,1))-AVERAGE(OFFSET($H$3,0,0,'Données projet'!$E$14+1,1))</f>
        <v>419.35339339286082</v>
      </c>
      <c r="DU166" s="59">
        <f t="shared" si="152"/>
        <v>359.03308141414709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51.459766891794317</v>
      </c>
      <c r="EB166" s="21">
        <f>EXP(-LN(2)/25)*EB165+(1-EXP(-LN(2)/25))/(LN(2)/25)*Calculateur!DW166*Calculateur!DY166*VLOOKUP('Données projet'!$B$14,Paramètres!$A$1:$I$89,3,0)*0.475*44/12</f>
        <v>4.6699217672337525</v>
      </c>
      <c r="EC166" s="21">
        <f>EXP(-LN(2)/2)*EC165+(1-EXP(-LN(2)/2))/(LN(2)/2)*DW166*DZ166*VLOOKUP('Données projet'!$B$14,Paramètres!$A$1:$I$89,3,0)*0.475*44/12</f>
        <v>1.122732552144548E-11</v>
      </c>
      <c r="ED166" s="22">
        <f t="shared" si="178"/>
        <v>56.129688659039296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2.2737367544323206E-13</v>
      </c>
      <c r="EK166" s="17">
        <f>EJ166*VLOOKUP('Données projet'!$B$15,Paramètres!$A$1:$I$89,3,0)*VLOOKUP('Données projet'!$B$15,Paramètres!$A$1:$I$89,5,0)</f>
        <v>1.0049916454590858E-13</v>
      </c>
      <c r="EL166" s="13">
        <f t="shared" si="179"/>
        <v>1.5089081593838289E-12</v>
      </c>
      <c r="EM166" s="20">
        <f t="shared" si="180"/>
        <v>2.8030510891776262E-12</v>
      </c>
      <c r="EN166" s="59">
        <f t="shared" si="128"/>
        <v>288.04417668715502</v>
      </c>
      <c r="EO166" s="59">
        <f ca="1">AVERAGE(OFFSET($EN$3,0,0,'Données projet'!$E$15+1,1))-AVERAGE(OFFSET($H$3,0,0,'Données projet'!$E$15+1,1))</f>
        <v>561.50881628354409</v>
      </c>
      <c r="EP166" s="59">
        <f t="shared" si="154"/>
        <v>468.67708352238458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64.572431571225351</v>
      </c>
      <c r="EW166" s="21">
        <f>EXP(-LN(2)/25)*EW165+(1-EXP(-LN(2)/25))/(LN(2)/25)*Calculateur!ER166*Calculateur!ET166*VLOOKUP('Données projet'!$B$15,Paramètres!$A$1:$I$89,3,0)*0.475*44/12</f>
        <v>6.0584205295790259</v>
      </c>
      <c r="EX166" s="21">
        <f>EXP(-LN(2)/2)*EX165+(1-EXP(-LN(2)/2))/(LN(2)/2)*ER166*EU166*VLOOKUP('Données projet'!$B$15,Paramètres!$A$1:$I$89,3,0)*0.475*44/12</f>
        <v>1.4879012809288285E-11</v>
      </c>
      <c r="EY166" s="22">
        <f t="shared" si="181"/>
        <v>70.630852100819254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5.1431925385259088E-14</v>
      </c>
      <c r="P167" s="13">
        <f t="shared" si="141"/>
        <v>8.3482866290946129E-13</v>
      </c>
      <c r="Q167" s="20">
        <f t="shared" si="162"/>
        <v>1.5435705246133045E-12</v>
      </c>
      <c r="R167" s="59">
        <f t="shared" si="109"/>
        <v>288.13593173018222</v>
      </c>
      <c r="S167" s="59">
        <f ca="1">AVERAGE(OFFSET($R$3,0,0,'Données projet'!$E$9+1,1))-AVERAGE(OFFSET($H$3,0,0,'Données projet'!$E$9+1,1))</f>
        <v>484.04602944257209</v>
      </c>
      <c r="T167" s="59">
        <f t="shared" si="142"/>
        <v>297.32483725004124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72.935794053438869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72.935794053438869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-5.1786628318950535E-13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493.74122500490859</v>
      </c>
      <c r="AO167" s="59">
        <f t="shared" si="144"/>
        <v>299.43985151679692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65.497942341658273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65.497942341658273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364.64276939439014</v>
      </c>
      <c r="BJ167" s="59">
        <f t="shared" si="146"/>
        <v>341.7578598026638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25.090139368572597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25.090139368572597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3.4106051316484809E-13</v>
      </c>
      <c r="BZ167" s="13">
        <f>BY167*VLOOKUP('Données projet'!$B$12,Paramètres!$A$1:$I$89,3,0)*VLOOKUP('Données projet'!$B$12,Paramètres!$A$1:$I$89,5,0)</f>
        <v>2.0395418687257919E-13</v>
      </c>
      <c r="CA167" s="13">
        <f t="shared" si="170"/>
        <v>2.8200388570161721E-12</v>
      </c>
      <c r="CB167" s="20">
        <f t="shared" si="171"/>
        <v>5.2667878847729083E-12</v>
      </c>
      <c r="CC167" s="59">
        <f t="shared" si="119"/>
        <v>288.13593173018597</v>
      </c>
      <c r="CD167" s="59">
        <f ca="1">AVERAGE(OFFSET($CC$3,0,0,'Données projet'!$E$12+1,1))-AVERAGE(OFFSET($H$3,0,0,'Données projet'!$E$12+1,1))</f>
        <v>435.81281313761326</v>
      </c>
      <c r="CE167" s="59">
        <f t="shared" si="148"/>
        <v>460.93390058676493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32.803264988041363</v>
      </c>
      <c r="CL167" s="21">
        <f>EXP(-LN(2)/25)*CL166+(1-EXP(-LN(2)/25))/(LN(2)/25)*Calculateur!CG167*Calculateur!CI167*VLOOKUP('Données projet'!$B$12,Paramètres!$A$1:$I$89,3,0)*0.475*44/12</f>
        <v>3.3368082756350232</v>
      </c>
      <c r="CM167" s="21">
        <f>EXP(-LN(2)/2)*CM166+(1-EXP(-LN(2)/2))/(LN(2)/2)*CG167*CJ167*VLOOKUP('Données projet'!$B$12,Paramètres!$A$1:$I$89,3,0)*0.475*44/12</f>
        <v>4.9027079141668554E-14</v>
      </c>
      <c r="CN167" s="22">
        <f t="shared" si="172"/>
        <v>36.140073263676435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379.16472924112111</v>
      </c>
      <c r="CZ167" s="59">
        <f t="shared" si="150"/>
        <v>273.18950868898253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45.274951362814363</v>
      </c>
      <c r="DG167" s="21">
        <f>EXP(-LN(2)/25)*DG166+(1-EXP(-LN(2)/25))/(LN(2)/25)*Calculateur!DB167*Calculateur!DD167*VLOOKUP('Données projet'!$B$13,Paramètres!$A$1:$I$89,3,0)*0.475*44/12</f>
        <v>4.5107525353672182</v>
      </c>
      <c r="DH167" s="21">
        <f>EXP(-LN(2)/2)*DH166+(1-EXP(-LN(2)/2))/(LN(2)/2)*DB167*DE167*VLOOKUP('Données projet'!$B$13,Paramètres!$A$1:$I$89,3,0)*0.475*44/12</f>
        <v>2.2257019136760897E-10</v>
      </c>
      <c r="DI167" s="22">
        <f t="shared" si="175"/>
        <v>49.785703898404151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6.8212102632969618E-13</v>
      </c>
      <c r="DP167" s="17">
        <f>DO167*VLOOKUP('Données projet'!$B$14,Paramètres!$A$1:$I$89,3,0)*VLOOKUP('Données projet'!$B$14,Paramètres!$A$1:$I$89,5,0)</f>
        <v>2.7489477361086753E-13</v>
      </c>
      <c r="DQ167" s="13">
        <f t="shared" si="176"/>
        <v>3.6711283554998768E-12</v>
      </c>
      <c r="DR167" s="20">
        <f t="shared" si="177"/>
        <v>6.8726569498678791E-12</v>
      </c>
      <c r="DS167" s="59">
        <f t="shared" si="125"/>
        <v>288.13593173018756</v>
      </c>
      <c r="DT167" s="59">
        <f ca="1">AVERAGE(OFFSET($DS$3,0,0,'Données projet'!$E$14+1,1))-AVERAGE(OFFSET($H$3,0,0,'Données projet'!$E$14+1,1))</f>
        <v>419.35339339286082</v>
      </c>
      <c r="DU167" s="59">
        <f t="shared" si="152"/>
        <v>359.03308141414709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50.450672250404793</v>
      </c>
      <c r="EB167" s="21">
        <f>EXP(-LN(2)/25)*EB166+(1-EXP(-LN(2)/25))/(LN(2)/25)*Calculateur!DW167*Calculateur!DY167*VLOOKUP('Données projet'!$B$14,Paramètres!$A$1:$I$89,3,0)*0.475*44/12</f>
        <v>4.5422225109282328</v>
      </c>
      <c r="EC167" s="21">
        <f>EXP(-LN(2)/2)*EC166+(1-EXP(-LN(2)/2))/(LN(2)/2)*DW167*DZ167*VLOOKUP('Données projet'!$B$14,Paramètres!$A$1:$I$89,3,0)*0.475*44/12</f>
        <v>7.9389180108028895E-12</v>
      </c>
      <c r="ED167" s="22">
        <f t="shared" si="178"/>
        <v>54.992894761340963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2.2737367544323206E-13</v>
      </c>
      <c r="EK167" s="17">
        <f>EJ167*VLOOKUP('Données projet'!$B$15,Paramètres!$A$1:$I$89,3,0)*VLOOKUP('Données projet'!$B$15,Paramètres!$A$1:$I$89,5,0)</f>
        <v>1.0049916454590858E-13</v>
      </c>
      <c r="EL167" s="13">
        <f t="shared" si="179"/>
        <v>1.5089081593838289E-12</v>
      </c>
      <c r="EM167" s="20">
        <f t="shared" si="180"/>
        <v>2.8030510891776262E-12</v>
      </c>
      <c r="EN167" s="59">
        <f t="shared" si="128"/>
        <v>288.13593173018347</v>
      </c>
      <c r="EO167" s="59">
        <f ca="1">AVERAGE(OFFSET($EN$3,0,0,'Données projet'!$E$15+1,1))-AVERAGE(OFFSET($H$3,0,0,'Données projet'!$E$15+1,1))</f>
        <v>561.50881628354409</v>
      </c>
      <c r="EP167" s="59">
        <f t="shared" si="154"/>
        <v>468.67708352238458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63.306205573407908</v>
      </c>
      <c r="EW167" s="21">
        <f>EXP(-LN(2)/25)*EW166+(1-EXP(-LN(2)/25))/(LN(2)/25)*Calculateur!ER167*Calculateur!ET167*VLOOKUP('Données projet'!$B$15,Paramètres!$A$1:$I$89,3,0)*0.475*44/12</f>
        <v>5.8927527015991981</v>
      </c>
      <c r="EX167" s="21">
        <f>EXP(-LN(2)/2)*EX166+(1-EXP(-LN(2)/2))/(LN(2)/2)*ER167*EU167*VLOOKUP('Données projet'!$B$15,Paramètres!$A$1:$I$89,3,0)*0.475*44/12</f>
        <v>1.0521050854809249E-11</v>
      </c>
      <c r="EY167" s="22">
        <f t="shared" si="181"/>
        <v>69.198958275017617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5.1431925385259088E-14</v>
      </c>
      <c r="P168" s="13">
        <f t="shared" si="141"/>
        <v>8.3482866290946129E-13</v>
      </c>
      <c r="Q168" s="20">
        <f t="shared" si="162"/>
        <v>1.5435705246133045E-12</v>
      </c>
      <c r="R168" s="59">
        <f t="shared" si="109"/>
        <v>288.22609502834769</v>
      </c>
      <c r="S168" s="59">
        <f ca="1">AVERAGE(OFFSET($R$3,0,0,'Données projet'!$E$9+1,1))-AVERAGE(OFFSET($H$3,0,0,'Données projet'!$E$9+1,1))</f>
        <v>484.04602944257209</v>
      </c>
      <c r="T168" s="59">
        <f t="shared" si="142"/>
        <v>297.32483725004124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71.505567618492634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71.505567618492634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-5.1786628318950535E-13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493.74122500490859</v>
      </c>
      <c r="AO168" s="59">
        <f t="shared" si="144"/>
        <v>299.43985151679692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64.213567642138472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64.213567642138472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364.64276939439014</v>
      </c>
      <c r="BJ168" s="59">
        <f t="shared" si="146"/>
        <v>341.7578598026638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24.59813703902881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24.59813703902881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3.4106051316484809E-13</v>
      </c>
      <c r="BZ168" s="13">
        <f>BY168*VLOOKUP('Données projet'!$B$12,Paramètres!$A$1:$I$89,3,0)*VLOOKUP('Données projet'!$B$12,Paramètres!$A$1:$I$89,5,0)</f>
        <v>2.0395418687257919E-13</v>
      </c>
      <c r="CA168" s="13">
        <f t="shared" si="170"/>
        <v>2.8200388570161721E-12</v>
      </c>
      <c r="CB168" s="20">
        <f t="shared" si="171"/>
        <v>5.2667878847729083E-12</v>
      </c>
      <c r="CC168" s="59">
        <f t="shared" si="119"/>
        <v>288.22609502835144</v>
      </c>
      <c r="CD168" s="59">
        <f ca="1">AVERAGE(OFFSET($CC$3,0,0,'Données projet'!$E$12+1,1))-AVERAGE(OFFSET($H$3,0,0,'Données projet'!$E$12+1,1))</f>
        <v>435.81281313761326</v>
      </c>
      <c r="CE168" s="59">
        <f t="shared" si="148"/>
        <v>460.93390058676493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32.16001296964189</v>
      </c>
      <c r="CL168" s="21">
        <f>EXP(-LN(2)/25)*CL167+(1-EXP(-LN(2)/25))/(LN(2)/25)*Calculateur!CG168*Calculateur!CI168*VLOOKUP('Données projet'!$B$12,Paramètres!$A$1:$I$89,3,0)*0.475*44/12</f>
        <v>3.2455630778626627</v>
      </c>
      <c r="CM168" s="21">
        <f>EXP(-LN(2)/2)*CM167+(1-EXP(-LN(2)/2))/(LN(2)/2)*CG168*CJ168*VLOOKUP('Données projet'!$B$12,Paramètres!$A$1:$I$89,3,0)*0.475*44/12</f>
        <v>3.4667380122843374E-14</v>
      </c>
      <c r="CN168" s="22">
        <f t="shared" si="172"/>
        <v>35.405576047504589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379.16472924112111</v>
      </c>
      <c r="CZ168" s="59">
        <f t="shared" si="150"/>
        <v>273.18950868898253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44.387137181583149</v>
      </c>
      <c r="DG168" s="21">
        <f>EXP(-LN(2)/25)*DG167+(1-EXP(-LN(2)/25))/(LN(2)/25)*Calculateur!DB168*Calculateur!DD168*VLOOKUP('Données projet'!$B$13,Paramètres!$A$1:$I$89,3,0)*0.475*44/12</f>
        <v>4.3874057700774349</v>
      </c>
      <c r="DH168" s="21">
        <f>EXP(-LN(2)/2)*DH167+(1-EXP(-LN(2)/2))/(LN(2)/2)*DB168*DE168*VLOOKUP('Données projet'!$B$13,Paramètres!$A$1:$I$89,3,0)*0.475*44/12</f>
        <v>1.5738089160602388E-10</v>
      </c>
      <c r="DI168" s="22">
        <f t="shared" si="175"/>
        <v>48.774542951817963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6.8212102632969618E-13</v>
      </c>
      <c r="DP168" s="17">
        <f>DO168*VLOOKUP('Données projet'!$B$14,Paramètres!$A$1:$I$89,3,0)*VLOOKUP('Données projet'!$B$14,Paramètres!$A$1:$I$89,5,0)</f>
        <v>2.7489477361086753E-13</v>
      </c>
      <c r="DQ168" s="13">
        <f t="shared" si="176"/>
        <v>3.6711283554998768E-12</v>
      </c>
      <c r="DR168" s="20">
        <f t="shared" si="177"/>
        <v>6.8726569498678791E-12</v>
      </c>
      <c r="DS168" s="59">
        <f t="shared" si="125"/>
        <v>288.22609502835303</v>
      </c>
      <c r="DT168" s="59">
        <f ca="1">AVERAGE(OFFSET($DS$3,0,0,'Données projet'!$E$14+1,1))-AVERAGE(OFFSET($H$3,0,0,'Données projet'!$E$14+1,1))</f>
        <v>419.35339339286082</v>
      </c>
      <c r="DU168" s="59">
        <f t="shared" si="152"/>
        <v>359.03308141414709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49.461365339445955</v>
      </c>
      <c r="EB168" s="21">
        <f>EXP(-LN(2)/25)*EB167+(1-EXP(-LN(2)/25))/(LN(2)/25)*Calculateur!DW168*Calculateur!DY168*VLOOKUP('Données projet'!$B$14,Paramètres!$A$1:$I$89,3,0)*0.475*44/12</f>
        <v>4.4180151975018003</v>
      </c>
      <c r="EC168" s="21">
        <f>EXP(-LN(2)/2)*EC167+(1-EXP(-LN(2)/2))/(LN(2)/2)*DW168*DZ168*VLOOKUP('Données projet'!$B$14,Paramètres!$A$1:$I$89,3,0)*0.475*44/12</f>
        <v>5.61366276072274E-12</v>
      </c>
      <c r="ED168" s="22">
        <f t="shared" si="178"/>
        <v>53.87938053695337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2.2737367544323206E-13</v>
      </c>
      <c r="EK168" s="17">
        <f>EJ168*VLOOKUP('Données projet'!$B$15,Paramètres!$A$1:$I$89,3,0)*VLOOKUP('Données projet'!$B$15,Paramètres!$A$1:$I$89,5,0)</f>
        <v>1.0049916454590858E-13</v>
      </c>
      <c r="EL168" s="13">
        <f t="shared" si="179"/>
        <v>1.5089081593838289E-12</v>
      </c>
      <c r="EM168" s="20">
        <f t="shared" si="180"/>
        <v>2.8030510891776262E-12</v>
      </c>
      <c r="EN168" s="59">
        <f t="shared" si="128"/>
        <v>288.22609502834894</v>
      </c>
      <c r="EO168" s="59">
        <f ca="1">AVERAGE(OFFSET($EN$3,0,0,'Données projet'!$E$15+1,1))-AVERAGE(OFFSET($H$3,0,0,'Données projet'!$E$15+1,1))</f>
        <v>561.50881628354409</v>
      </c>
      <c r="EP168" s="59">
        <f t="shared" si="154"/>
        <v>468.67708352238458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62.064809495086067</v>
      </c>
      <c r="EW168" s="21">
        <f>EXP(-LN(2)/25)*EW167+(1-EXP(-LN(2)/25))/(LN(2)/25)*Calculateur!ER168*Calculateur!ET168*VLOOKUP('Données projet'!$B$15,Paramètres!$A$1:$I$89,3,0)*0.475*44/12</f>
        <v>5.7316150690875718</v>
      </c>
      <c r="EX168" s="21">
        <f>EXP(-LN(2)/2)*EX167+(1-EXP(-LN(2)/2))/(LN(2)/2)*ER168*EU168*VLOOKUP('Données projet'!$B$15,Paramètres!$A$1:$I$89,3,0)*0.475*44/12</f>
        <v>7.4395064046441426E-12</v>
      </c>
      <c r="EY168" s="22">
        <f t="shared" si="181"/>
        <v>67.796424564181081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5.1431925385259088E-14</v>
      </c>
      <c r="P169" s="13">
        <f t="shared" si="141"/>
        <v>8.3482866290946129E-13</v>
      </c>
      <c r="Q169" s="20">
        <f t="shared" si="162"/>
        <v>1.5435705246133045E-12</v>
      </c>
      <c r="R169" s="59">
        <f t="shared" si="109"/>
        <v>288.31469419486496</v>
      </c>
      <c r="S169" s="59">
        <f ca="1">AVERAGE(OFFSET($R$3,0,0,'Données projet'!$E$9+1,1))-AVERAGE(OFFSET($H$3,0,0,'Données projet'!$E$9+1,1))</f>
        <v>484.04602944257209</v>
      </c>
      <c r="T169" s="59">
        <f t="shared" si="142"/>
        <v>297.32483725004124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70.103387051583709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70.103387051583709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-5.1786628318950535E-13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493.74122500490859</v>
      </c>
      <c r="AO169" s="59">
        <f t="shared" si="144"/>
        <v>299.43985151679692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62.954378747085038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62.954378747085038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364.64276939439014</v>
      </c>
      <c r="BJ169" s="59">
        <f t="shared" si="146"/>
        <v>341.7578598026638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24.115782575075588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24.115782575075588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3.4106051316484809E-13</v>
      </c>
      <c r="BZ169" s="13">
        <f>BY169*VLOOKUP('Données projet'!$B$12,Paramètres!$A$1:$I$89,3,0)*VLOOKUP('Données projet'!$B$12,Paramètres!$A$1:$I$89,5,0)</f>
        <v>2.0395418687257919E-13</v>
      </c>
      <c r="CA169" s="13">
        <f t="shared" si="170"/>
        <v>2.8200388570161721E-12</v>
      </c>
      <c r="CB169" s="20">
        <f t="shared" si="171"/>
        <v>5.2667878847729083E-12</v>
      </c>
      <c r="CC169" s="59">
        <f t="shared" si="119"/>
        <v>288.31469419486871</v>
      </c>
      <c r="CD169" s="59">
        <f ca="1">AVERAGE(OFFSET($CC$3,0,0,'Données projet'!$E$12+1,1))-AVERAGE(OFFSET($H$3,0,0,'Données projet'!$E$12+1,1))</f>
        <v>435.81281313761326</v>
      </c>
      <c r="CE169" s="59">
        <f t="shared" si="148"/>
        <v>460.93390058676493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31.529374730978237</v>
      </c>
      <c r="CL169" s="21">
        <f>EXP(-LN(2)/25)*CL168+(1-EXP(-LN(2)/25))/(LN(2)/25)*Calculateur!CG169*Calculateur!CI169*VLOOKUP('Données projet'!$B$12,Paramètres!$A$1:$I$89,3,0)*0.475*44/12</f>
        <v>3.1568129848217636</v>
      </c>
      <c r="CM169" s="21">
        <f>EXP(-LN(2)/2)*CM168+(1-EXP(-LN(2)/2))/(LN(2)/2)*CG169*CJ169*VLOOKUP('Données projet'!$B$12,Paramètres!$A$1:$I$89,3,0)*0.475*44/12</f>
        <v>2.4513539570834277E-14</v>
      </c>
      <c r="CN169" s="22">
        <f t="shared" si="172"/>
        <v>34.686187715800024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379.16472924112111</v>
      </c>
      <c r="CZ169" s="59">
        <f t="shared" si="150"/>
        <v>273.18950868898253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43.516732494932704</v>
      </c>
      <c r="DG169" s="21">
        <f>EXP(-LN(2)/25)*DG168+(1-EXP(-LN(2)/25))/(LN(2)/25)*Calculateur!DB169*Calculateur!DD169*VLOOKUP('Données projet'!$B$13,Paramètres!$A$1:$I$89,3,0)*0.475*44/12</f>
        <v>4.2674319285710256</v>
      </c>
      <c r="DH169" s="21">
        <f>EXP(-LN(2)/2)*DH168+(1-EXP(-LN(2)/2))/(LN(2)/2)*DB169*DE169*VLOOKUP('Données projet'!$B$13,Paramètres!$A$1:$I$89,3,0)*0.475*44/12</f>
        <v>1.1128509568380448E-10</v>
      </c>
      <c r="DI169" s="22">
        <f t="shared" si="175"/>
        <v>47.784164423615017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6.8212102632969618E-13</v>
      </c>
      <c r="DP169" s="17">
        <f>DO169*VLOOKUP('Données projet'!$B$14,Paramètres!$A$1:$I$89,3,0)*VLOOKUP('Données projet'!$B$14,Paramètres!$A$1:$I$89,5,0)</f>
        <v>2.7489477361086753E-13</v>
      </c>
      <c r="DQ169" s="13">
        <f t="shared" si="176"/>
        <v>3.6711283554998768E-12</v>
      </c>
      <c r="DR169" s="20">
        <f t="shared" si="177"/>
        <v>6.8726569498678791E-12</v>
      </c>
      <c r="DS169" s="59">
        <f t="shared" si="125"/>
        <v>288.3146941948703</v>
      </c>
      <c r="DT169" s="59">
        <f ca="1">AVERAGE(OFFSET($DS$3,0,0,'Données projet'!$E$14+1,1))-AVERAGE(OFFSET($H$3,0,0,'Données projet'!$E$14+1,1))</f>
        <v>419.35339339286082</v>
      </c>
      <c r="DU169" s="59">
        <f t="shared" si="152"/>
        <v>359.03308141414709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48.49145813359339</v>
      </c>
      <c r="EB169" s="21">
        <f>EXP(-LN(2)/25)*EB168+(1-EXP(-LN(2)/25))/(LN(2)/25)*Calculateur!DW169*Calculateur!DY169*VLOOKUP('Données projet'!$B$14,Paramètres!$A$1:$I$89,3,0)*0.475*44/12</f>
        <v>4.2972043395927919</v>
      </c>
      <c r="EC169" s="21">
        <f>EXP(-LN(2)/2)*EC168+(1-EXP(-LN(2)/2))/(LN(2)/2)*DW169*DZ169*VLOOKUP('Données projet'!$B$14,Paramètres!$A$1:$I$89,3,0)*0.475*44/12</f>
        <v>3.9694590054014447E-12</v>
      </c>
      <c r="ED169" s="22">
        <f t="shared" si="178"/>
        <v>52.788662473190151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2.2737367544323206E-13</v>
      </c>
      <c r="EK169" s="17">
        <f>EJ169*VLOOKUP('Données projet'!$B$15,Paramètres!$A$1:$I$89,3,0)*VLOOKUP('Données projet'!$B$15,Paramètres!$A$1:$I$89,5,0)</f>
        <v>1.0049916454590858E-13</v>
      </c>
      <c r="EL169" s="13">
        <f t="shared" si="179"/>
        <v>1.5089081593838289E-12</v>
      </c>
      <c r="EM169" s="20">
        <f t="shared" si="180"/>
        <v>2.8030510891776262E-12</v>
      </c>
      <c r="EN169" s="59">
        <f t="shared" si="128"/>
        <v>288.31469419486621</v>
      </c>
      <c r="EO169" s="59">
        <f ca="1">AVERAGE(OFFSET($EN$3,0,0,'Données projet'!$E$15+1,1))-AVERAGE(OFFSET($H$3,0,0,'Données projet'!$E$15+1,1))</f>
        <v>561.50881628354409</v>
      </c>
      <c r="EP169" s="59">
        <f t="shared" si="154"/>
        <v>468.67708352238458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60.847756436683269</v>
      </c>
      <c r="EW169" s="21">
        <f>EXP(-LN(2)/25)*EW168+(1-EXP(-LN(2)/25))/(LN(2)/25)*Calculateur!ER169*Calculateur!ET169*VLOOKUP('Données projet'!$B$15,Paramètres!$A$1:$I$89,3,0)*0.475*44/12</f>
        <v>5.5748837536108358</v>
      </c>
      <c r="EX169" s="21">
        <f>EXP(-LN(2)/2)*EX168+(1-EXP(-LN(2)/2))/(LN(2)/2)*ER169*EU169*VLOOKUP('Données projet'!$B$15,Paramètres!$A$1:$I$89,3,0)*0.475*44/12</f>
        <v>5.2605254274046247E-12</v>
      </c>
      <c r="EY169" s="22">
        <f t="shared" si="181"/>
        <v>66.422640190299362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5.1431925385259088E-14</v>
      </c>
      <c r="P170" s="13">
        <f t="shared" si="141"/>
        <v>8.3482866290946129E-13</v>
      </c>
      <c r="Q170" s="20">
        <f t="shared" si="162"/>
        <v>1.5435705246133045E-12</v>
      </c>
      <c r="R170" s="59">
        <f t="shared" si="109"/>
        <v>288.40175636392115</v>
      </c>
      <c r="S170" s="59">
        <f ca="1">AVERAGE(OFFSET($R$3,0,0,'Données projet'!$E$9+1,1))-AVERAGE(OFFSET($H$3,0,0,'Données projet'!$E$9+1,1))</f>
        <v>484.04602944257209</v>
      </c>
      <c r="T170" s="59">
        <f t="shared" si="142"/>
        <v>297.32483725004124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68.728702390346172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68.728702390346172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-5.1786628318950535E-13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493.74122500490859</v>
      </c>
      <c r="AO170" s="59">
        <f t="shared" si="144"/>
        <v>299.43985151679692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61.71988177823421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61.71988177823421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364.64276939439014</v>
      </c>
      <c r="BJ170" s="59">
        <f t="shared" si="146"/>
        <v>341.7578598026638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23.642886787953316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23.642886787953316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3.4106051316484809E-13</v>
      </c>
      <c r="BZ170" s="13">
        <f>BY170*VLOOKUP('Données projet'!$B$12,Paramètres!$A$1:$I$89,3,0)*VLOOKUP('Données projet'!$B$12,Paramètres!$A$1:$I$89,5,0)</f>
        <v>2.0395418687257919E-13</v>
      </c>
      <c r="CA170" s="13">
        <f t="shared" si="170"/>
        <v>2.8200388570161721E-12</v>
      </c>
      <c r="CB170" s="20">
        <f t="shared" si="171"/>
        <v>5.2667878847729083E-12</v>
      </c>
      <c r="CC170" s="59">
        <f t="shared" si="119"/>
        <v>288.4017563639249</v>
      </c>
      <c r="CD170" s="59">
        <f ca="1">AVERAGE(OFFSET($CC$3,0,0,'Données projet'!$E$12+1,1))-AVERAGE(OFFSET($H$3,0,0,'Données projet'!$E$12+1,1))</f>
        <v>435.81281313761326</v>
      </c>
      <c r="CE170" s="59">
        <f t="shared" si="148"/>
        <v>460.93390058676493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30.911102923523433</v>
      </c>
      <c r="CL170" s="21">
        <f>EXP(-LN(2)/25)*CL169+(1-EXP(-LN(2)/25))/(LN(2)/25)*Calculateur!CG170*Calculateur!CI170*VLOOKUP('Données projet'!$B$12,Paramètres!$A$1:$I$89,3,0)*0.475*44/12</f>
        <v>3.0704897677422327</v>
      </c>
      <c r="CM170" s="21">
        <f>EXP(-LN(2)/2)*CM169+(1-EXP(-LN(2)/2))/(LN(2)/2)*CG170*CJ170*VLOOKUP('Données projet'!$B$12,Paramètres!$A$1:$I$89,3,0)*0.475*44/12</f>
        <v>1.7333690061421687E-14</v>
      </c>
      <c r="CN170" s="22">
        <f t="shared" si="172"/>
        <v>33.981592691265682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379.16472924112111</v>
      </c>
      <c r="CZ170" s="59">
        <f t="shared" si="150"/>
        <v>273.18950868898253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42.66339591329303</v>
      </c>
      <c r="DG170" s="21">
        <f>EXP(-LN(2)/25)*DG169+(1-EXP(-LN(2)/25))/(LN(2)/25)*Calculateur!DB170*Calculateur!DD170*VLOOKUP('Données projet'!$B$13,Paramètres!$A$1:$I$89,3,0)*0.475*44/12</f>
        <v>4.1507387780697593</v>
      </c>
      <c r="DH170" s="21">
        <f>EXP(-LN(2)/2)*DH169+(1-EXP(-LN(2)/2))/(LN(2)/2)*DB170*DE170*VLOOKUP('Données projet'!$B$13,Paramètres!$A$1:$I$89,3,0)*0.475*44/12</f>
        <v>7.869044580301194E-11</v>
      </c>
      <c r="DI170" s="22">
        <f t="shared" si="175"/>
        <v>46.814134691441481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6.8212102632969618E-13</v>
      </c>
      <c r="DP170" s="17">
        <f>DO170*VLOOKUP('Données projet'!$B$14,Paramètres!$A$1:$I$89,3,0)*VLOOKUP('Données projet'!$B$14,Paramètres!$A$1:$I$89,5,0)</f>
        <v>2.7489477361086753E-13</v>
      </c>
      <c r="DQ170" s="13">
        <f t="shared" si="176"/>
        <v>3.6711283554998768E-12</v>
      </c>
      <c r="DR170" s="20">
        <f t="shared" si="177"/>
        <v>6.8726569498678791E-12</v>
      </c>
      <c r="DS170" s="59">
        <f t="shared" si="125"/>
        <v>288.40175636392649</v>
      </c>
      <c r="DT170" s="59">
        <f ca="1">AVERAGE(OFFSET($DS$3,0,0,'Données projet'!$E$14+1,1))-AVERAGE(OFFSET($H$3,0,0,'Données projet'!$E$14+1,1))</f>
        <v>419.35339339286082</v>
      </c>
      <c r="DU170" s="59">
        <f t="shared" si="152"/>
        <v>359.03308141414709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47.540570216462612</v>
      </c>
      <c r="EB170" s="21">
        <f>EXP(-LN(2)/25)*EB169+(1-EXP(-LN(2)/25))/(LN(2)/25)*Calculateur!DW170*Calculateur!DY170*VLOOKUP('Données projet'!$B$14,Paramètres!$A$1:$I$89,3,0)*0.475*44/12</f>
        <v>4.1796970609464719</v>
      </c>
      <c r="EC170" s="21">
        <f>EXP(-LN(2)/2)*EC169+(1-EXP(-LN(2)/2))/(LN(2)/2)*DW170*DZ170*VLOOKUP('Données projet'!$B$14,Paramètres!$A$1:$I$89,3,0)*0.475*44/12</f>
        <v>2.80683138036137E-12</v>
      </c>
      <c r="ED170" s="22">
        <f t="shared" si="178"/>
        <v>51.720267277411892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2.2737367544323206E-13</v>
      </c>
      <c r="EK170" s="17">
        <f>EJ170*VLOOKUP('Données projet'!$B$15,Paramètres!$A$1:$I$89,3,0)*VLOOKUP('Données projet'!$B$15,Paramètres!$A$1:$I$89,5,0)</f>
        <v>1.0049916454590858E-13</v>
      </c>
      <c r="EL170" s="13">
        <f t="shared" si="179"/>
        <v>1.5089081593838289E-12</v>
      </c>
      <c r="EM170" s="20">
        <f t="shared" si="180"/>
        <v>2.8030510891776262E-12</v>
      </c>
      <c r="EN170" s="59">
        <f t="shared" si="128"/>
        <v>288.4017563639224</v>
      </c>
      <c r="EO170" s="59">
        <f ca="1">AVERAGE(OFFSET($EN$3,0,0,'Données projet'!$E$15+1,1))-AVERAGE(OFFSET($H$3,0,0,'Données projet'!$E$15+1,1))</f>
        <v>561.50881628354409</v>
      </c>
      <c r="EP170" s="59">
        <f t="shared" si="154"/>
        <v>468.67708352238458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59.654569046426687</v>
      </c>
      <c r="EW170" s="21">
        <f>EXP(-LN(2)/25)*EW169+(1-EXP(-LN(2)/25))/(LN(2)/25)*Calculateur!ER170*Calculateur!ET170*VLOOKUP('Données projet'!$B$15,Paramètres!$A$1:$I$89,3,0)*0.475*44/12</f>
        <v>5.4224382641979521</v>
      </c>
      <c r="EX170" s="21">
        <f>EXP(-LN(2)/2)*EX169+(1-EXP(-LN(2)/2))/(LN(2)/2)*ER170*EU170*VLOOKUP('Données projet'!$B$15,Paramètres!$A$1:$I$89,3,0)*0.475*44/12</f>
        <v>3.7197532023220713E-12</v>
      </c>
      <c r="EY170" s="22">
        <f t="shared" si="181"/>
        <v>65.07700731062836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5.1431925385259088E-14</v>
      </c>
      <c r="P171" s="13">
        <f t="shared" si="141"/>
        <v>8.3482866290946129E-13</v>
      </c>
      <c r="Q171" s="20">
        <f t="shared" si="162"/>
        <v>1.5435705246133045E-12</v>
      </c>
      <c r="R171" s="59">
        <f t="shared" si="109"/>
        <v>288.48730819898606</v>
      </c>
      <c r="S171" s="59">
        <f ca="1">AVERAGE(OFFSET($R$3,0,0,'Données projet'!$E$9+1,1))-AVERAGE(OFFSET($H$3,0,0,'Données projet'!$E$9+1,1))</f>
        <v>484.04602944257209</v>
      </c>
      <c r="T171" s="59">
        <f t="shared" si="142"/>
        <v>297.32483725004124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67.380974456840647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67.380974456840647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-5.1786628318950535E-13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493.74122500490859</v>
      </c>
      <c r="AO171" s="59">
        <f t="shared" si="144"/>
        <v>299.43985151679692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60.509592541973745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60.509592541973745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364.64276939439014</v>
      </c>
      <c r="BJ171" s="59">
        <f t="shared" si="146"/>
        <v>341.7578598026638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23.179264198778561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23.179264198778561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3.4106051316484809E-13</v>
      </c>
      <c r="BZ171" s="13">
        <f>BY171*VLOOKUP('Données projet'!$B$12,Paramètres!$A$1:$I$89,3,0)*VLOOKUP('Données projet'!$B$12,Paramètres!$A$1:$I$89,5,0)</f>
        <v>2.0395418687257919E-13</v>
      </c>
      <c r="CA171" s="13">
        <f t="shared" si="170"/>
        <v>2.8200388570161721E-12</v>
      </c>
      <c r="CB171" s="20">
        <f t="shared" si="171"/>
        <v>5.2667878847729083E-12</v>
      </c>
      <c r="CC171" s="59">
        <f t="shared" si="119"/>
        <v>288.48730819898981</v>
      </c>
      <c r="CD171" s="59">
        <f ca="1">AVERAGE(OFFSET($CC$3,0,0,'Données projet'!$E$12+1,1))-AVERAGE(OFFSET($H$3,0,0,'Données projet'!$E$12+1,1))</f>
        <v>435.81281313761326</v>
      </c>
      <c r="CE171" s="59">
        <f t="shared" si="148"/>
        <v>460.93390058676493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30.304955049104255</v>
      </c>
      <c r="CL171" s="21">
        <f>EXP(-LN(2)/25)*CL170+(1-EXP(-LN(2)/25))/(LN(2)/25)*Calculateur!CG171*Calculateur!CI171*VLOOKUP('Données projet'!$B$12,Paramètres!$A$1:$I$89,3,0)*0.475*44/12</f>
        <v>2.9865270635732823</v>
      </c>
      <c r="CM171" s="21">
        <f>EXP(-LN(2)/2)*CM170+(1-EXP(-LN(2)/2))/(LN(2)/2)*CG171*CJ171*VLOOKUP('Données projet'!$B$12,Paramètres!$A$1:$I$89,3,0)*0.475*44/12</f>
        <v>1.2256769785417138E-14</v>
      </c>
      <c r="CN171" s="22">
        <f t="shared" si="172"/>
        <v>33.291482112677549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379.16472924112111</v>
      </c>
      <c r="CZ171" s="59">
        <f t="shared" si="150"/>
        <v>273.18950868898253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41.826792741535392</v>
      </c>
      <c r="DG171" s="21">
        <f>EXP(-LN(2)/25)*DG170+(1-EXP(-LN(2)/25))/(LN(2)/25)*Calculateur!DB171*Calculateur!DD171*VLOOKUP('Données projet'!$B$13,Paramètres!$A$1:$I$89,3,0)*0.475*44/12</f>
        <v>4.0372366079055757</v>
      </c>
      <c r="DH171" s="21">
        <f>EXP(-LN(2)/2)*DH170+(1-EXP(-LN(2)/2))/(LN(2)/2)*DB171*DE171*VLOOKUP('Données projet'!$B$13,Paramètres!$A$1:$I$89,3,0)*0.475*44/12</f>
        <v>5.5642547841902241E-11</v>
      </c>
      <c r="DI171" s="22">
        <f t="shared" si="175"/>
        <v>45.864029349496612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6.8212102632969618E-13</v>
      </c>
      <c r="DP171" s="17">
        <f>DO171*VLOOKUP('Données projet'!$B$14,Paramètres!$A$1:$I$89,3,0)*VLOOKUP('Données projet'!$B$14,Paramètres!$A$1:$I$89,5,0)</f>
        <v>2.7489477361086753E-13</v>
      </c>
      <c r="DQ171" s="13">
        <f t="shared" si="176"/>
        <v>3.6711283554998768E-12</v>
      </c>
      <c r="DR171" s="20">
        <f t="shared" si="177"/>
        <v>6.8726569498678791E-12</v>
      </c>
      <c r="DS171" s="59">
        <f t="shared" si="125"/>
        <v>288.4873081989914</v>
      </c>
      <c r="DT171" s="59">
        <f ca="1">AVERAGE(OFFSET($DS$3,0,0,'Données projet'!$E$14+1,1))-AVERAGE(OFFSET($H$3,0,0,'Données projet'!$E$14+1,1))</f>
        <v>419.35339339286082</v>
      </c>
      <c r="DU171" s="59">
        <f t="shared" si="152"/>
        <v>359.03308141414709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46.608328631402408</v>
      </c>
      <c r="EB171" s="21">
        <f>EXP(-LN(2)/25)*EB170+(1-EXP(-LN(2)/25))/(LN(2)/25)*Calculateur!DW171*Calculateur!DY171*VLOOKUP('Données projet'!$B$14,Paramètres!$A$1:$I$89,3,0)*0.475*44/12</f>
        <v>4.0654030250141746</v>
      </c>
      <c r="EC171" s="21">
        <f>EXP(-LN(2)/2)*EC170+(1-EXP(-LN(2)/2))/(LN(2)/2)*DW171*DZ171*VLOOKUP('Données projet'!$B$14,Paramètres!$A$1:$I$89,3,0)*0.475*44/12</f>
        <v>1.9847295027007224E-12</v>
      </c>
      <c r="ED171" s="22">
        <f t="shared" si="178"/>
        <v>50.673731656418568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2.2737367544323206E-13</v>
      </c>
      <c r="EK171" s="17">
        <f>EJ171*VLOOKUP('Données projet'!$B$15,Paramètres!$A$1:$I$89,3,0)*VLOOKUP('Données projet'!$B$15,Paramètres!$A$1:$I$89,5,0)</f>
        <v>1.0049916454590858E-13</v>
      </c>
      <c r="EL171" s="13">
        <f t="shared" si="179"/>
        <v>1.5089081593838289E-12</v>
      </c>
      <c r="EM171" s="20">
        <f t="shared" si="180"/>
        <v>2.8030510891776262E-12</v>
      </c>
      <c r="EN171" s="59">
        <f t="shared" si="128"/>
        <v>288.48730819898731</v>
      </c>
      <c r="EO171" s="59">
        <f ca="1">AVERAGE(OFFSET($EN$3,0,0,'Données projet'!$E$15+1,1))-AVERAGE(OFFSET($H$3,0,0,'Données projet'!$E$15+1,1))</f>
        <v>561.50881628354409</v>
      </c>
      <c r="EP171" s="59">
        <f t="shared" si="154"/>
        <v>468.67708352238458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58.484779333120592</v>
      </c>
      <c r="EW171" s="21">
        <f>EXP(-LN(2)/25)*EW170+(1-EXP(-LN(2)/25))/(LN(2)/25)*Calculateur!ER171*Calculateur!ET171*VLOOKUP('Données projet'!$B$15,Paramètres!$A$1:$I$89,3,0)*0.475*44/12</f>
        <v>5.2741614047098242</v>
      </c>
      <c r="EX171" s="21">
        <f>EXP(-LN(2)/2)*EX170+(1-EXP(-LN(2)/2))/(LN(2)/2)*ER171*EU171*VLOOKUP('Données projet'!$B$15,Paramètres!$A$1:$I$89,3,0)*0.475*44/12</f>
        <v>2.6302627137023124E-12</v>
      </c>
      <c r="EY171" s="22">
        <f t="shared" si="181"/>
        <v>63.758940737833043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5.1431925385259088E-14</v>
      </c>
      <c r="P172" s="13">
        <f t="shared" si="141"/>
        <v>8.3482866290946129E-13</v>
      </c>
      <c r="Q172" s="20">
        <f t="shared" si="162"/>
        <v>1.5435705246133045E-12</v>
      </c>
      <c r="R172" s="59">
        <f t="shared" si="109"/>
        <v>288.57137590097796</v>
      </c>
      <c r="S172" s="59">
        <f ca="1">AVERAGE(OFFSET($R$3,0,0,'Données projet'!$E$9+1,1))-AVERAGE(OFFSET($H$3,0,0,'Données projet'!$E$9+1,1))</f>
        <v>484.04602944257209</v>
      </c>
      <c r="T172" s="59">
        <f t="shared" si="142"/>
        <v>297.32483725004124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66.059674646078292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66.059674646078292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-5.1786628318950535E-13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493.74122500490859</v>
      </c>
      <c r="AO172" s="59">
        <f t="shared" si="144"/>
        <v>299.43985151679692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59.323036339432804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59.323036339432804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364.64276939439014</v>
      </c>
      <c r="BJ172" s="59">
        <f t="shared" si="146"/>
        <v>341.7578598026638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22.724732965795667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22.724732965795667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3.4106051316484809E-13</v>
      </c>
      <c r="BZ172" s="13">
        <f>BY172*VLOOKUP('Données projet'!$B$12,Paramètres!$A$1:$I$89,3,0)*VLOOKUP('Données projet'!$B$12,Paramètres!$A$1:$I$89,5,0)</f>
        <v>2.0395418687257919E-13</v>
      </c>
      <c r="CA172" s="13">
        <f t="shared" si="170"/>
        <v>2.8200388570161721E-12</v>
      </c>
      <c r="CB172" s="20">
        <f t="shared" si="171"/>
        <v>5.2667878847729083E-12</v>
      </c>
      <c r="CC172" s="59">
        <f t="shared" si="119"/>
        <v>288.57137590098171</v>
      </c>
      <c r="CD172" s="59">
        <f ca="1">AVERAGE(OFFSET($CC$3,0,0,'Données projet'!$E$12+1,1))-AVERAGE(OFFSET($H$3,0,0,'Données projet'!$E$12+1,1))</f>
        <v>435.81281313761326</v>
      </c>
      <c r="CE172" s="59">
        <f t="shared" si="148"/>
        <v>460.93390058676493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29.710693364788739</v>
      </c>
      <c r="CL172" s="21">
        <f>EXP(-LN(2)/25)*CL171+(1-EXP(-LN(2)/25))/(LN(2)/25)*Calculateur!CG172*Calculateur!CI172*VLOOKUP('Données projet'!$B$12,Paramètres!$A$1:$I$89,3,0)*0.475*44/12</f>
        <v>2.9048603239652384</v>
      </c>
      <c r="CM172" s="21">
        <f>EXP(-LN(2)/2)*CM171+(1-EXP(-LN(2)/2))/(LN(2)/2)*CG172*CJ172*VLOOKUP('Données projet'!$B$12,Paramètres!$A$1:$I$89,3,0)*0.475*44/12</f>
        <v>8.6668450307108435E-15</v>
      </c>
      <c r="CN172" s="22">
        <f t="shared" si="172"/>
        <v>32.615553688753984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379.16472924112111</v>
      </c>
      <c r="CZ172" s="59">
        <f t="shared" si="150"/>
        <v>273.18950868898253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41.006594847698373</v>
      </c>
      <c r="DG172" s="21">
        <f>EXP(-LN(2)/25)*DG171+(1-EXP(-LN(2)/25))/(LN(2)/25)*Calculateur!DB172*Calculateur!DD172*VLOOKUP('Données projet'!$B$13,Paramètres!$A$1:$I$89,3,0)*0.475*44/12</f>
        <v>3.9268381605533516</v>
      </c>
      <c r="DH172" s="21">
        <f>EXP(-LN(2)/2)*DH171+(1-EXP(-LN(2)/2))/(LN(2)/2)*DB172*DE172*VLOOKUP('Données projet'!$B$13,Paramètres!$A$1:$I$89,3,0)*0.475*44/12</f>
        <v>3.934522290150597E-11</v>
      </c>
      <c r="DI172" s="22">
        <f t="shared" si="175"/>
        <v>44.933433008291068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6.8212102632969618E-13</v>
      </c>
      <c r="DP172" s="17">
        <f>DO172*VLOOKUP('Données projet'!$B$14,Paramètres!$A$1:$I$89,3,0)*VLOOKUP('Données projet'!$B$14,Paramètres!$A$1:$I$89,5,0)</f>
        <v>2.7489477361086753E-13</v>
      </c>
      <c r="DQ172" s="13">
        <f t="shared" si="176"/>
        <v>3.6711283554998768E-12</v>
      </c>
      <c r="DR172" s="20">
        <f t="shared" si="177"/>
        <v>6.8726569498678791E-12</v>
      </c>
      <c r="DS172" s="59">
        <f t="shared" si="125"/>
        <v>288.5713759009833</v>
      </c>
      <c r="DT172" s="59">
        <f ca="1">AVERAGE(OFFSET($DS$3,0,0,'Données projet'!$E$14+1,1))-AVERAGE(OFFSET($H$3,0,0,'Données projet'!$E$14+1,1))</f>
        <v>419.35339339286082</v>
      </c>
      <c r="DU172" s="59">
        <f t="shared" si="152"/>
        <v>359.03308141414709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45.694367735214016</v>
      </c>
      <c r="EB172" s="21">
        <f>EXP(-LN(2)/25)*EB171+(1-EXP(-LN(2)/25))/(LN(2)/25)*Calculateur!DW172*Calculateur!DY172*VLOOKUP('Données projet'!$B$14,Paramètres!$A$1:$I$89,3,0)*0.475*44/12</f>
        <v>3.9542343655049086</v>
      </c>
      <c r="EC172" s="21">
        <f>EXP(-LN(2)/2)*EC171+(1-EXP(-LN(2)/2))/(LN(2)/2)*DW172*DZ172*VLOOKUP('Données projet'!$B$14,Paramètres!$A$1:$I$89,3,0)*0.475*44/12</f>
        <v>1.403415690180685E-12</v>
      </c>
      <c r="ED172" s="22">
        <f t="shared" si="178"/>
        <v>49.648602100720332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2.2737367544323206E-13</v>
      </c>
      <c r="EK172" s="17">
        <f>EJ172*VLOOKUP('Données projet'!$B$15,Paramètres!$A$1:$I$89,3,0)*VLOOKUP('Données projet'!$B$15,Paramètres!$A$1:$I$89,5,0)</f>
        <v>1.0049916454590858E-13</v>
      </c>
      <c r="EL172" s="13">
        <f t="shared" si="179"/>
        <v>1.5089081593838289E-12</v>
      </c>
      <c r="EM172" s="20">
        <f t="shared" si="180"/>
        <v>2.8030510891776262E-12</v>
      </c>
      <c r="EN172" s="59">
        <f t="shared" si="128"/>
        <v>288.57137590097921</v>
      </c>
      <c r="EO172" s="59">
        <f ca="1">AVERAGE(OFFSET($EN$3,0,0,'Données projet'!$E$15+1,1))-AVERAGE(OFFSET($H$3,0,0,'Données projet'!$E$15+1,1))</f>
        <v>561.50881628354409</v>
      </c>
      <c r="EP172" s="59">
        <f t="shared" si="154"/>
        <v>468.67708352238458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57.337928482591153</v>
      </c>
      <c r="EW172" s="21">
        <f>EXP(-LN(2)/25)*EW171+(1-EXP(-LN(2)/25))/(LN(2)/25)*Calculateur!ER172*Calculateur!ET172*VLOOKUP('Données projet'!$B$15,Paramètres!$A$1:$I$89,3,0)*0.475*44/12</f>
        <v>5.1299391837419401</v>
      </c>
      <c r="EX172" s="21">
        <f>EXP(-LN(2)/2)*EX171+(1-EXP(-LN(2)/2))/(LN(2)/2)*ER172*EU172*VLOOKUP('Données projet'!$B$15,Paramètres!$A$1:$I$89,3,0)*0.475*44/12</f>
        <v>1.8598766011610356E-12</v>
      </c>
      <c r="EY172" s="22">
        <f t="shared" si="181"/>
        <v>62.467867666334953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5.1431925385259088E-14</v>
      </c>
      <c r="P173" s="13">
        <f t="shared" si="141"/>
        <v>8.3482866290946129E-13</v>
      </c>
      <c r="Q173" s="20">
        <f t="shared" si="162"/>
        <v>1.5435705246133045E-12</v>
      </c>
      <c r="R173" s="59">
        <f t="shared" si="109"/>
        <v>288.65398521628742</v>
      </c>
      <c r="S173" s="59">
        <f ca="1">AVERAGE(OFFSET($R$3,0,0,'Données projet'!$E$9+1,1))-AVERAGE(OFFSET($H$3,0,0,'Données projet'!$E$9+1,1))</f>
        <v>484.04602944257209</v>
      </c>
      <c r="T173" s="59">
        <f t="shared" si="142"/>
        <v>297.32483725004124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64.764284718691684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64.764284718691684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-5.1786628318950535E-13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493.74122500490859</v>
      </c>
      <c r="AO173" s="59">
        <f t="shared" si="144"/>
        <v>299.43985151679692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58.159747780295874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58.159747780295874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364.64276939439014</v>
      </c>
      <c r="BJ173" s="59">
        <f t="shared" si="146"/>
        <v>341.7578598026638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22.279114813054889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22.279114813054889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3.4106051316484809E-13</v>
      </c>
      <c r="BZ173" s="13">
        <f>BY173*VLOOKUP('Données projet'!$B$12,Paramètres!$A$1:$I$89,3,0)*VLOOKUP('Données projet'!$B$12,Paramètres!$A$1:$I$89,5,0)</f>
        <v>2.0395418687257919E-13</v>
      </c>
      <c r="CA173" s="13">
        <f t="shared" si="170"/>
        <v>2.8200388570161721E-12</v>
      </c>
      <c r="CB173" s="20">
        <f t="shared" si="171"/>
        <v>5.2667878847729083E-12</v>
      </c>
      <c r="CC173" s="59">
        <f t="shared" si="119"/>
        <v>288.65398521629118</v>
      </c>
      <c r="CD173" s="59">
        <f ca="1">AVERAGE(OFFSET($CC$3,0,0,'Données projet'!$E$12+1,1))-AVERAGE(OFFSET($H$3,0,0,'Données projet'!$E$12+1,1))</f>
        <v>435.81281313761326</v>
      </c>
      <c r="CE173" s="59">
        <f t="shared" si="148"/>
        <v>460.93390058676493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29.128084789638812</v>
      </c>
      <c r="CL173" s="21">
        <f>EXP(-LN(2)/25)*CL172+(1-EXP(-LN(2)/25))/(LN(2)/25)*Calculateur!CG173*Calculateur!CI173*VLOOKUP('Données projet'!$B$12,Paramètres!$A$1:$I$89,3,0)*0.475*44/12</f>
        <v>2.8254267656464438</v>
      </c>
      <c r="CM173" s="21">
        <f>EXP(-LN(2)/2)*CM172+(1-EXP(-LN(2)/2))/(LN(2)/2)*CG173*CJ173*VLOOKUP('Données projet'!$B$12,Paramètres!$A$1:$I$89,3,0)*0.475*44/12</f>
        <v>6.1283848927085692E-15</v>
      </c>
      <c r="CN173" s="22">
        <f t="shared" si="172"/>
        <v>31.953511555285264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379.16472924112111</v>
      </c>
      <c r="CZ173" s="59">
        <f t="shared" si="150"/>
        <v>273.18950868898253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40.202480534288178</v>
      </c>
      <c r="DG173" s="21">
        <f>EXP(-LN(2)/25)*DG172+(1-EXP(-LN(2)/25))/(LN(2)/25)*Calculateur!DB173*Calculateur!DD173*VLOOKUP('Données projet'!$B$13,Paramètres!$A$1:$I$89,3,0)*0.475*44/12</f>
        <v>3.819458564549576</v>
      </c>
      <c r="DH173" s="21">
        <f>EXP(-LN(2)/2)*DH172+(1-EXP(-LN(2)/2))/(LN(2)/2)*DB173*DE173*VLOOKUP('Données projet'!$B$13,Paramètres!$A$1:$I$89,3,0)*0.475*44/12</f>
        <v>2.7821273920951121E-11</v>
      </c>
      <c r="DI173" s="22">
        <f t="shared" si="175"/>
        <v>44.021939098865573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6.8212102632969618E-13</v>
      </c>
      <c r="DP173" s="17">
        <f>DO173*VLOOKUP('Données projet'!$B$14,Paramètres!$A$1:$I$89,3,0)*VLOOKUP('Données projet'!$B$14,Paramètres!$A$1:$I$89,5,0)</f>
        <v>2.7489477361086753E-13</v>
      </c>
      <c r="DQ173" s="13">
        <f t="shared" si="176"/>
        <v>3.6711283554998768E-12</v>
      </c>
      <c r="DR173" s="20">
        <f t="shared" si="177"/>
        <v>6.8726569498678791E-12</v>
      </c>
      <c r="DS173" s="59">
        <f t="shared" si="125"/>
        <v>288.65398521629277</v>
      </c>
      <c r="DT173" s="59">
        <f ca="1">AVERAGE(OFFSET($DS$3,0,0,'Données projet'!$E$14+1,1))-AVERAGE(OFFSET($H$3,0,0,'Données projet'!$E$14+1,1))</f>
        <v>419.35339339286082</v>
      </c>
      <c r="DU173" s="59">
        <f t="shared" si="152"/>
        <v>359.03308141414709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44.798329054738772</v>
      </c>
      <c r="EB173" s="21">
        <f>EXP(-LN(2)/25)*EB172+(1-EXP(-LN(2)/25))/(LN(2)/25)*Calculateur!DW173*Calculateur!DY173*VLOOKUP('Données projet'!$B$14,Paramètres!$A$1:$I$89,3,0)*0.475*44/12</f>
        <v>3.8461056188360292</v>
      </c>
      <c r="EC173" s="21">
        <f>EXP(-LN(2)/2)*EC172+(1-EXP(-LN(2)/2))/(LN(2)/2)*DW173*DZ173*VLOOKUP('Données projet'!$B$14,Paramètres!$A$1:$I$89,3,0)*0.475*44/12</f>
        <v>9.9236475135036118E-13</v>
      </c>
      <c r="ED173" s="22">
        <f t="shared" si="178"/>
        <v>48.644434673575795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2.2737367544323206E-13</v>
      </c>
      <c r="EK173" s="17">
        <f>EJ173*VLOOKUP('Données projet'!$B$15,Paramètres!$A$1:$I$89,3,0)*VLOOKUP('Données projet'!$B$15,Paramètres!$A$1:$I$89,5,0)</f>
        <v>1.0049916454590858E-13</v>
      </c>
      <c r="EL173" s="13">
        <f t="shared" si="179"/>
        <v>1.5089081593838289E-12</v>
      </c>
      <c r="EM173" s="20">
        <f t="shared" si="180"/>
        <v>2.8030510891776262E-12</v>
      </c>
      <c r="EN173" s="59">
        <f t="shared" si="128"/>
        <v>288.65398521628867</v>
      </c>
      <c r="EO173" s="59">
        <f ca="1">AVERAGE(OFFSET($EN$3,0,0,'Données projet'!$E$15+1,1))-AVERAGE(OFFSET($H$3,0,0,'Données projet'!$E$15+1,1))</f>
        <v>561.50881628354409</v>
      </c>
      <c r="EP173" s="59">
        <f t="shared" si="154"/>
        <v>468.67708352238458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56.213566677730647</v>
      </c>
      <c r="EW173" s="21">
        <f>EXP(-LN(2)/25)*EW172+(1-EXP(-LN(2)/25))/(LN(2)/25)*Calculateur!ER173*Calculateur!ET173*VLOOKUP('Données projet'!$B$15,Paramètres!$A$1:$I$89,3,0)*0.475*44/12</f>
        <v>4.9896607269907394</v>
      </c>
      <c r="EX173" s="21">
        <f>EXP(-LN(2)/2)*EX172+(1-EXP(-LN(2)/2))/(LN(2)/2)*ER173*EU173*VLOOKUP('Données projet'!$B$15,Paramètres!$A$1:$I$89,3,0)*0.475*44/12</f>
        <v>1.3151313568511562E-12</v>
      </c>
      <c r="EY173" s="22">
        <f t="shared" si="181"/>
        <v>61.203227404722703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5.1431925385259088E-14</v>
      </c>
      <c r="P174" s="13">
        <f t="shared" si="141"/>
        <v>8.3482866290946129E-13</v>
      </c>
      <c r="Q174" s="20">
        <f t="shared" si="162"/>
        <v>1.5435705246133045E-12</v>
      </c>
      <c r="R174" s="59">
        <f t="shared" si="109"/>
        <v>288.73516144466305</v>
      </c>
      <c r="S174" s="59">
        <f ca="1">AVERAGE(OFFSET($R$3,0,0,'Données projet'!$E$9+1,1))-AVERAGE(OFFSET($H$3,0,0,'Données projet'!$E$9+1,1))</f>
        <v>484.04602944257209</v>
      </c>
      <c r="T174" s="59">
        <f t="shared" si="142"/>
        <v>297.32483725004124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63.494296597671287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63.494296597671287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-5.1786628318950535E-13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493.74122500490859</v>
      </c>
      <c r="AO174" s="59">
        <f t="shared" si="144"/>
        <v>299.43985151679692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57.019270600267653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57.019270600267653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364.64276939439014</v>
      </c>
      <c r="BJ174" s="59">
        <f t="shared" si="146"/>
        <v>341.7578598026638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21.842234960489126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21.842234960489126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3.4106051316484809E-13</v>
      </c>
      <c r="BZ174" s="13">
        <f>BY174*VLOOKUP('Données projet'!$B$12,Paramètres!$A$1:$I$89,3,0)*VLOOKUP('Données projet'!$B$12,Paramètres!$A$1:$I$89,5,0)</f>
        <v>2.0395418687257919E-13</v>
      </c>
      <c r="CA174" s="13">
        <f t="shared" si="170"/>
        <v>2.8200388570161721E-12</v>
      </c>
      <c r="CB174" s="20">
        <f t="shared" si="171"/>
        <v>5.2667878847729083E-12</v>
      </c>
      <c r="CC174" s="59">
        <f t="shared" si="119"/>
        <v>288.7351614446668</v>
      </c>
      <c r="CD174" s="59">
        <f ca="1">AVERAGE(OFFSET($CC$3,0,0,'Données projet'!$E$12+1,1))-AVERAGE(OFFSET($H$3,0,0,'Données projet'!$E$12+1,1))</f>
        <v>435.81281313761326</v>
      </c>
      <c r="CE174" s="59">
        <f t="shared" si="148"/>
        <v>460.93390058676493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28.556900813291431</v>
      </c>
      <c r="CL174" s="21">
        <f>EXP(-LN(2)/25)*CL173+(1-EXP(-LN(2)/25))/(LN(2)/25)*Calculateur!CG174*Calculateur!CI174*VLOOKUP('Données projet'!$B$12,Paramètres!$A$1:$I$89,3,0)*0.475*44/12</f>
        <v>2.7481653221571056</v>
      </c>
      <c r="CM174" s="21">
        <f>EXP(-LN(2)/2)*CM173+(1-EXP(-LN(2)/2))/(LN(2)/2)*CG174*CJ174*VLOOKUP('Données projet'!$B$12,Paramètres!$A$1:$I$89,3,0)*0.475*44/12</f>
        <v>4.3334225153554217E-15</v>
      </c>
      <c r="CN174" s="22">
        <f t="shared" si="172"/>
        <v>31.305066135448541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379.16472924112111</v>
      </c>
      <c r="CZ174" s="59">
        <f t="shared" si="150"/>
        <v>273.18950868898253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39.414134412102655</v>
      </c>
      <c r="DG174" s="21">
        <f>EXP(-LN(2)/25)*DG173+(1-EXP(-LN(2)/25))/(LN(2)/25)*Calculateur!DB174*Calculateur!DD174*VLOOKUP('Données projet'!$B$13,Paramètres!$A$1:$I$89,3,0)*0.475*44/12</f>
        <v>3.7150152692453715</v>
      </c>
      <c r="DH174" s="21">
        <f>EXP(-LN(2)/2)*DH173+(1-EXP(-LN(2)/2))/(LN(2)/2)*DB174*DE174*VLOOKUP('Données projet'!$B$13,Paramètres!$A$1:$I$89,3,0)*0.475*44/12</f>
        <v>1.9672611450752985E-11</v>
      </c>
      <c r="DI174" s="22">
        <f t="shared" si="175"/>
        <v>43.1291496813677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6.8212102632969618E-13</v>
      </c>
      <c r="DP174" s="17">
        <f>DO174*VLOOKUP('Données projet'!$B$14,Paramètres!$A$1:$I$89,3,0)*VLOOKUP('Données projet'!$B$14,Paramètres!$A$1:$I$89,5,0)</f>
        <v>2.7489477361086753E-13</v>
      </c>
      <c r="DQ174" s="13">
        <f t="shared" si="176"/>
        <v>3.6711283554998768E-12</v>
      </c>
      <c r="DR174" s="20">
        <f t="shared" si="177"/>
        <v>6.8726569498678791E-12</v>
      </c>
      <c r="DS174" s="59">
        <f t="shared" si="125"/>
        <v>288.73516144466839</v>
      </c>
      <c r="DT174" s="59">
        <f ca="1">AVERAGE(OFFSET($DS$3,0,0,'Données projet'!$E$14+1,1))-AVERAGE(OFFSET($H$3,0,0,'Données projet'!$E$14+1,1))</f>
        <v>419.35339339286082</v>
      </c>
      <c r="DU174" s="59">
        <f t="shared" si="152"/>
        <v>359.03308141414709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43.919861146258022</v>
      </c>
      <c r="EB174" s="21">
        <f>EXP(-LN(2)/25)*EB173+(1-EXP(-LN(2)/25))/(LN(2)/25)*Calculateur!DW174*Calculateur!DY174*VLOOKUP('Données projet'!$B$14,Paramètres!$A$1:$I$89,3,0)*0.475*44/12</f>
        <v>3.7409336584310537</v>
      </c>
      <c r="EC174" s="21">
        <f>EXP(-LN(2)/2)*EC173+(1-EXP(-LN(2)/2))/(LN(2)/2)*DW174*DZ174*VLOOKUP('Données projet'!$B$14,Paramètres!$A$1:$I$89,3,0)*0.475*44/12</f>
        <v>7.017078450903425E-13</v>
      </c>
      <c r="ED174" s="22">
        <f t="shared" si="178"/>
        <v>47.660794804689779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2.2737367544323206E-13</v>
      </c>
      <c r="EK174" s="17">
        <f>EJ174*VLOOKUP('Données projet'!$B$15,Paramètres!$A$1:$I$89,3,0)*VLOOKUP('Données projet'!$B$15,Paramètres!$A$1:$I$89,5,0)</f>
        <v>1.0049916454590858E-13</v>
      </c>
      <c r="EL174" s="13">
        <f t="shared" si="179"/>
        <v>1.5089081593838289E-12</v>
      </c>
      <c r="EM174" s="20">
        <f t="shared" si="180"/>
        <v>2.8030510891776262E-12</v>
      </c>
      <c r="EN174" s="59">
        <f t="shared" si="128"/>
        <v>288.7351614446643</v>
      </c>
      <c r="EO174" s="59">
        <f ca="1">AVERAGE(OFFSET($EN$3,0,0,'Données projet'!$E$15+1,1))-AVERAGE(OFFSET($H$3,0,0,'Données projet'!$E$15+1,1))</f>
        <v>561.50881628354409</v>
      </c>
      <c r="EP174" s="59">
        <f t="shared" si="154"/>
        <v>468.67708352238458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55.11125292207047</v>
      </c>
      <c r="EW174" s="21">
        <f>EXP(-LN(2)/25)*EW173+(1-EXP(-LN(2)/25))/(LN(2)/25)*Calculateur!ER174*Calculateur!ET174*VLOOKUP('Données projet'!$B$15,Paramètres!$A$1:$I$89,3,0)*0.475*44/12</f>
        <v>4.8532181920163238</v>
      </c>
      <c r="EX174" s="21">
        <f>EXP(-LN(2)/2)*EX173+(1-EXP(-LN(2)/2))/(LN(2)/2)*ER174*EU174*VLOOKUP('Données projet'!$B$15,Paramètres!$A$1:$I$89,3,0)*0.475*44/12</f>
        <v>9.2993830058051782E-13</v>
      </c>
      <c r="EY174" s="22">
        <f t="shared" si="181"/>
        <v>59.964471114087722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5.1431925385259088E-14</v>
      </c>
      <c r="P175" s="13">
        <f t="shared" si="141"/>
        <v>8.3482866290946129E-13</v>
      </c>
      <c r="Q175" s="20">
        <f t="shared" si="162"/>
        <v>1.5435705246133045E-12</v>
      </c>
      <c r="R175" s="59">
        <f t="shared" si="109"/>
        <v>288.81492944695918</v>
      </c>
      <c r="S175" s="59">
        <f ca="1">AVERAGE(OFFSET($R$3,0,0,'Données projet'!$E$9+1,1))-AVERAGE(OFFSET($H$3,0,0,'Données projet'!$E$9+1,1))</f>
        <v>484.04602944257209</v>
      </c>
      <c r="T175" s="59">
        <f t="shared" si="142"/>
        <v>297.32483725004124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62.249212169087834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62.249212169087834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-5.1786628318950535E-13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493.74122500490859</v>
      </c>
      <c r="AO175" s="59">
        <f t="shared" si="144"/>
        <v>299.43985151679692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55.901157482117398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55.901157482117398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364.64276939439014</v>
      </c>
      <c r="BJ175" s="59">
        <f t="shared" si="146"/>
        <v>341.7578598026638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21.413922055361777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21.413922055361777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3.4106051316484809E-13</v>
      </c>
      <c r="BZ175" s="13">
        <f>BY175*VLOOKUP('Données projet'!$B$12,Paramètres!$A$1:$I$89,3,0)*VLOOKUP('Données projet'!$B$12,Paramètres!$A$1:$I$89,5,0)</f>
        <v>2.0395418687257919E-13</v>
      </c>
      <c r="CA175" s="13">
        <f t="shared" si="170"/>
        <v>2.8200388570161721E-12</v>
      </c>
      <c r="CB175" s="20">
        <f t="shared" si="171"/>
        <v>5.2667878847729083E-12</v>
      </c>
      <c r="CC175" s="59">
        <f t="shared" si="119"/>
        <v>288.81492944696294</v>
      </c>
      <c r="CD175" s="59">
        <f ca="1">AVERAGE(OFFSET($CC$3,0,0,'Données projet'!$E$12+1,1))-AVERAGE(OFFSET($H$3,0,0,'Données projet'!$E$12+1,1))</f>
        <v>435.81281313761326</v>
      </c>
      <c r="CE175" s="59">
        <f t="shared" si="148"/>
        <v>460.93390058676493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27.9969174063324</v>
      </c>
      <c r="CL175" s="21">
        <f>EXP(-LN(2)/25)*CL174+(1-EXP(-LN(2)/25))/(LN(2)/25)*Calculateur!CG175*Calculateur!CI175*VLOOKUP('Données projet'!$B$12,Paramètres!$A$1:$I$89,3,0)*0.475*44/12</f>
        <v>2.6730165969029862</v>
      </c>
      <c r="CM175" s="21">
        <f>EXP(-LN(2)/2)*CM174+(1-EXP(-LN(2)/2))/(LN(2)/2)*CG175*CJ175*VLOOKUP('Données projet'!$B$12,Paramètres!$A$1:$I$89,3,0)*0.475*44/12</f>
        <v>3.0641924463542846E-15</v>
      </c>
      <c r="CN175" s="22">
        <f t="shared" si="172"/>
        <v>30.66993400323539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379.16472924112111</v>
      </c>
      <c r="CZ175" s="59">
        <f t="shared" si="150"/>
        <v>273.18950868898253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38.641247276529533</v>
      </c>
      <c r="DG175" s="21">
        <f>EXP(-LN(2)/25)*DG174+(1-EXP(-LN(2)/25))/(LN(2)/25)*Calculateur!DB175*Calculateur!DD175*VLOOKUP('Données projet'!$B$13,Paramètres!$A$1:$I$89,3,0)*0.475*44/12</f>
        <v>3.6134279813436945</v>
      </c>
      <c r="DH175" s="21">
        <f>EXP(-LN(2)/2)*DH174+(1-EXP(-LN(2)/2))/(LN(2)/2)*DB175*DE175*VLOOKUP('Données projet'!$B$13,Paramètres!$A$1:$I$89,3,0)*0.475*44/12</f>
        <v>1.391063696047556E-11</v>
      </c>
      <c r="DI175" s="22">
        <f t="shared" si="175"/>
        <v>42.254675257887143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6.8212102632969618E-13</v>
      </c>
      <c r="DP175" s="17">
        <f>DO175*VLOOKUP('Données projet'!$B$14,Paramètres!$A$1:$I$89,3,0)*VLOOKUP('Données projet'!$B$14,Paramètres!$A$1:$I$89,5,0)</f>
        <v>2.7489477361086753E-13</v>
      </c>
      <c r="DQ175" s="13">
        <f t="shared" si="176"/>
        <v>3.6711283554998768E-12</v>
      </c>
      <c r="DR175" s="20">
        <f t="shared" si="177"/>
        <v>6.8726569498678791E-12</v>
      </c>
      <c r="DS175" s="59">
        <f t="shared" si="125"/>
        <v>288.81492944696453</v>
      </c>
      <c r="DT175" s="59">
        <f ca="1">AVERAGE(OFFSET($DS$3,0,0,'Données projet'!$E$14+1,1))-AVERAGE(OFFSET($H$3,0,0,'Données projet'!$E$14+1,1))</f>
        <v>419.35339339286082</v>
      </c>
      <c r="DU175" s="59">
        <f t="shared" si="152"/>
        <v>359.03308141414709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43.05861945765006</v>
      </c>
      <c r="EB175" s="21">
        <f>EXP(-LN(2)/25)*EB174+(1-EXP(-LN(2)/25))/(LN(2)/25)*Calculateur!DW175*Calculateur!DY175*VLOOKUP('Données projet'!$B$14,Paramètres!$A$1:$I$89,3,0)*0.475*44/12</f>
        <v>3.6386376308141055</v>
      </c>
      <c r="EC175" s="21">
        <f>EXP(-LN(2)/2)*EC174+(1-EXP(-LN(2)/2))/(LN(2)/2)*DW175*DZ175*VLOOKUP('Données projet'!$B$14,Paramètres!$A$1:$I$89,3,0)*0.475*44/12</f>
        <v>4.9618237567518059E-13</v>
      </c>
      <c r="ED175" s="22">
        <f t="shared" si="178"/>
        <v>46.69725708846466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2.2737367544323206E-13</v>
      </c>
      <c r="EK175" s="17">
        <f>EJ175*VLOOKUP('Données projet'!$B$15,Paramètres!$A$1:$I$89,3,0)*VLOOKUP('Données projet'!$B$15,Paramètres!$A$1:$I$89,5,0)</f>
        <v>1.0049916454590858E-13</v>
      </c>
      <c r="EL175" s="13">
        <f t="shared" si="179"/>
        <v>1.5089081593838289E-12</v>
      </c>
      <c r="EM175" s="20">
        <f t="shared" si="180"/>
        <v>2.8030510891776262E-12</v>
      </c>
      <c r="EN175" s="59">
        <f t="shared" si="128"/>
        <v>288.81492944696043</v>
      </c>
      <c r="EO175" s="59">
        <f ca="1">AVERAGE(OFFSET($EN$3,0,0,'Données projet'!$E$15+1,1))-AVERAGE(OFFSET($H$3,0,0,'Données projet'!$E$15+1,1))</f>
        <v>561.50881628354409</v>
      </c>
      <c r="EP175" s="59">
        <f t="shared" si="154"/>
        <v>468.67708352238458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54.030554866813787</v>
      </c>
      <c r="EW175" s="21">
        <f>EXP(-LN(2)/25)*EW174+(1-EXP(-LN(2)/25))/(LN(2)/25)*Calculateur!ER175*Calculateur!ET175*VLOOKUP('Données projet'!$B$15,Paramètres!$A$1:$I$89,3,0)*0.475*44/12</f>
        <v>4.7205066853359847</v>
      </c>
      <c r="EX175" s="21">
        <f>EXP(-LN(2)/2)*EX174+(1-EXP(-LN(2)/2))/(LN(2)/2)*ER175*EU175*VLOOKUP('Données projet'!$B$15,Paramètres!$A$1:$I$89,3,0)*0.475*44/12</f>
        <v>6.5756567842557809E-13</v>
      </c>
      <c r="EY175" s="22">
        <f t="shared" si="181"/>
        <v>58.751061552150432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5.1431925385259088E-14</v>
      </c>
      <c r="P176" s="13">
        <f t="shared" si="141"/>
        <v>8.3482866290946129E-13</v>
      </c>
      <c r="Q176" s="20">
        <f t="shared" si="162"/>
        <v>1.5435705246133045E-12</v>
      </c>
      <c r="R176" s="59">
        <f t="shared" si="109"/>
        <v>288.89331365275001</v>
      </c>
      <c r="S176" s="59">
        <f ca="1">AVERAGE(OFFSET($R$3,0,0,'Données projet'!$E$9+1,1))-AVERAGE(OFFSET($H$3,0,0,'Données projet'!$E$9+1,1))</f>
        <v>484.04602944257209</v>
      </c>
      <c r="T176" s="59">
        <f t="shared" si="142"/>
        <v>297.32483725004124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61.028543086722387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61.028543086722387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-5.1786628318950535E-13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493.74122500490859</v>
      </c>
      <c r="AO176" s="59">
        <f t="shared" si="144"/>
        <v>299.43985151679692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54.804969880232406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54.804969880232406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364.64276939439014</v>
      </c>
      <c r="BJ176" s="59">
        <f t="shared" si="146"/>
        <v>341.7578598026638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20.994008105058899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20.994008105058899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3.4106051316484809E-13</v>
      </c>
      <c r="BZ176" s="13">
        <f>BY176*VLOOKUP('Données projet'!$B$12,Paramètres!$A$1:$I$89,3,0)*VLOOKUP('Données projet'!$B$12,Paramètres!$A$1:$I$89,5,0)</f>
        <v>2.0395418687257919E-13</v>
      </c>
      <c r="CA176" s="13">
        <f t="shared" si="170"/>
        <v>2.8200388570161721E-12</v>
      </c>
      <c r="CB176" s="20">
        <f t="shared" si="171"/>
        <v>5.2667878847729083E-12</v>
      </c>
      <c r="CC176" s="59">
        <f t="shared" si="119"/>
        <v>288.89331365275376</v>
      </c>
      <c r="CD176" s="59">
        <f ca="1">AVERAGE(OFFSET($CC$3,0,0,'Données projet'!$E$12+1,1))-AVERAGE(OFFSET($H$3,0,0,'Données projet'!$E$12+1,1))</f>
        <v>435.81281313761326</v>
      </c>
      <c r="CE176" s="59">
        <f t="shared" si="148"/>
        <v>460.93390058676493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27.447914932427683</v>
      </c>
      <c r="CL176" s="21">
        <f>EXP(-LN(2)/25)*CL175+(1-EXP(-LN(2)/25))/(LN(2)/25)*Calculateur!CG176*Calculateur!CI176*VLOOKUP('Données projet'!$B$12,Paramètres!$A$1:$I$89,3,0)*0.475*44/12</f>
        <v>2.5999228174928404</v>
      </c>
      <c r="CM176" s="21">
        <f>EXP(-LN(2)/2)*CM175+(1-EXP(-LN(2)/2))/(LN(2)/2)*CG176*CJ176*VLOOKUP('Données projet'!$B$12,Paramètres!$A$1:$I$89,3,0)*0.475*44/12</f>
        <v>2.1667112576777109E-15</v>
      </c>
      <c r="CN176" s="22">
        <f t="shared" si="172"/>
        <v>30.047837749920525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379.16472924112111</v>
      </c>
      <c r="CZ176" s="59">
        <f t="shared" si="150"/>
        <v>273.18950868898253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37.883515986270396</v>
      </c>
      <c r="DG176" s="21">
        <f>EXP(-LN(2)/25)*DG175+(1-EXP(-LN(2)/25))/(LN(2)/25)*Calculateur!DB176*Calculateur!DD176*VLOOKUP('Données projet'!$B$13,Paramètres!$A$1:$I$89,3,0)*0.475*44/12</f>
        <v>3.5146186031719324</v>
      </c>
      <c r="DH176" s="21">
        <f>EXP(-LN(2)/2)*DH175+(1-EXP(-LN(2)/2))/(LN(2)/2)*DB176*DE176*VLOOKUP('Données projet'!$B$13,Paramètres!$A$1:$I$89,3,0)*0.475*44/12</f>
        <v>9.8363057253764925E-12</v>
      </c>
      <c r="DI176" s="22">
        <f t="shared" si="175"/>
        <v>41.398134589452162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6.8212102632969618E-13</v>
      </c>
      <c r="DP176" s="17">
        <f>DO176*VLOOKUP('Données projet'!$B$14,Paramètres!$A$1:$I$89,3,0)*VLOOKUP('Données projet'!$B$14,Paramètres!$A$1:$I$89,5,0)</f>
        <v>2.7489477361086753E-13</v>
      </c>
      <c r="DQ176" s="13">
        <f t="shared" si="176"/>
        <v>3.6711283554998768E-12</v>
      </c>
      <c r="DR176" s="20">
        <f t="shared" si="177"/>
        <v>6.8726569498678791E-12</v>
      </c>
      <c r="DS176" s="59">
        <f t="shared" si="125"/>
        <v>288.89331365275535</v>
      </c>
      <c r="DT176" s="59">
        <f ca="1">AVERAGE(OFFSET($DS$3,0,0,'Données projet'!$E$14+1,1))-AVERAGE(OFFSET($H$3,0,0,'Données projet'!$E$14+1,1))</f>
        <v>419.35339339286082</v>
      </c>
      <c r="DU176" s="59">
        <f t="shared" si="152"/>
        <v>359.03308141414709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42.21426619325014</v>
      </c>
      <c r="EB176" s="21">
        <f>EXP(-LN(2)/25)*EB175+(1-EXP(-LN(2)/25))/(LN(2)/25)*Calculateur!DW176*Calculateur!DY176*VLOOKUP('Données projet'!$B$14,Paramètres!$A$1:$I$89,3,0)*0.475*44/12</f>
        <v>3.5391388934518568</v>
      </c>
      <c r="EC176" s="21">
        <f>EXP(-LN(2)/2)*EC175+(1-EXP(-LN(2)/2))/(LN(2)/2)*DW176*DZ176*VLOOKUP('Données projet'!$B$14,Paramètres!$A$1:$I$89,3,0)*0.475*44/12</f>
        <v>3.5085392254517125E-13</v>
      </c>
      <c r="ED176" s="22">
        <f t="shared" si="178"/>
        <v>45.753405086702344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2.2737367544323206E-13</v>
      </c>
      <c r="EK176" s="17">
        <f>EJ176*VLOOKUP('Données projet'!$B$15,Paramètres!$A$1:$I$89,3,0)*VLOOKUP('Données projet'!$B$15,Paramètres!$A$1:$I$89,5,0)</f>
        <v>1.0049916454590858E-13</v>
      </c>
      <c r="EL176" s="13">
        <f t="shared" si="179"/>
        <v>1.5089081593838289E-12</v>
      </c>
      <c r="EM176" s="20">
        <f t="shared" si="180"/>
        <v>2.8030510891776262E-12</v>
      </c>
      <c r="EN176" s="59">
        <f t="shared" si="128"/>
        <v>288.89331365275126</v>
      </c>
      <c r="EO176" s="59">
        <f ca="1">AVERAGE(OFFSET($EN$3,0,0,'Données projet'!$E$15+1,1))-AVERAGE(OFFSET($H$3,0,0,'Données projet'!$E$15+1,1))</f>
        <v>561.50881628354409</v>
      </c>
      <c r="EP176" s="59">
        <f t="shared" si="154"/>
        <v>468.67708352238458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52.971048641259962</v>
      </c>
      <c r="EW176" s="21">
        <f>EXP(-LN(2)/25)*EW175+(1-EXP(-LN(2)/25))/(LN(2)/25)*Calculateur!ER176*Calculateur!ET176*VLOOKUP('Données projet'!$B$15,Paramètres!$A$1:$I$89,3,0)*0.475*44/12</f>
        <v>4.5914241817848147</v>
      </c>
      <c r="EX176" s="21">
        <f>EXP(-LN(2)/2)*EX175+(1-EXP(-LN(2)/2))/(LN(2)/2)*ER176*EU176*VLOOKUP('Données projet'!$B$15,Paramètres!$A$1:$I$89,3,0)*0.475*44/12</f>
        <v>4.6496915029025891E-13</v>
      </c>
      <c r="EY176" s="22">
        <f t="shared" si="181"/>
        <v>57.56247282304524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5.1431925385259088E-14</v>
      </c>
      <c r="P177" s="13">
        <f t="shared" si="141"/>
        <v>8.3482866290946129E-13</v>
      </c>
      <c r="Q177" s="20">
        <f t="shared" si="162"/>
        <v>1.5435705246133045E-12</v>
      </c>
      <c r="R177" s="59">
        <f t="shared" si="109"/>
        <v>288.97033806781127</v>
      </c>
      <c r="S177" s="59">
        <f ca="1">AVERAGE(OFFSET($R$3,0,0,'Données projet'!$E$9+1,1))-AVERAGE(OFFSET($H$3,0,0,'Données projet'!$E$9+1,1))</f>
        <v>484.04602944257209</v>
      </c>
      <c r="T177" s="59">
        <f t="shared" si="142"/>
        <v>297.32483725004124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59.831810580527502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59.831810580527502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-5.1786628318950535E-13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493.74122500490859</v>
      </c>
      <c r="AO177" s="59">
        <f t="shared" si="144"/>
        <v>299.43985151679692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53.730277848611962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53.730277848611962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364.64276939439014</v>
      </c>
      <c r="BJ177" s="59">
        <f t="shared" si="146"/>
        <v>341.7578598026638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20.582328411199242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20.582328411199242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3.4106051316484809E-13</v>
      </c>
      <c r="BZ177" s="13">
        <f>BY177*VLOOKUP('Données projet'!$B$12,Paramètres!$A$1:$I$89,3,0)*VLOOKUP('Données projet'!$B$12,Paramètres!$A$1:$I$89,5,0)</f>
        <v>2.0395418687257919E-13</v>
      </c>
      <c r="CA177" s="13">
        <f t="shared" si="170"/>
        <v>2.8200388570161721E-12</v>
      </c>
      <c r="CB177" s="20">
        <f t="shared" si="171"/>
        <v>5.2667878847729083E-12</v>
      </c>
      <c r="CC177" s="59">
        <f t="shared" si="119"/>
        <v>288.97033806781502</v>
      </c>
      <c r="CD177" s="59">
        <f ca="1">AVERAGE(OFFSET($CC$3,0,0,'Données projet'!$E$12+1,1))-AVERAGE(OFFSET($H$3,0,0,'Données projet'!$E$12+1,1))</f>
        <v>435.81281313761326</v>
      </c>
      <c r="CE177" s="59">
        <f t="shared" si="148"/>
        <v>460.93390058676493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26.90967806217779</v>
      </c>
      <c r="CL177" s="21">
        <f>EXP(-LN(2)/25)*CL176+(1-EXP(-LN(2)/25))/(LN(2)/25)*Calculateur!CG177*Calculateur!CI177*VLOOKUP('Données projet'!$B$12,Paramètres!$A$1:$I$89,3,0)*0.475*44/12</f>
        <v>2.5288277913244999</v>
      </c>
      <c r="CM177" s="21">
        <f>EXP(-LN(2)/2)*CM176+(1-EXP(-LN(2)/2))/(LN(2)/2)*CG177*CJ177*VLOOKUP('Données projet'!$B$12,Paramètres!$A$1:$I$89,3,0)*0.475*44/12</f>
        <v>1.5320962231771423E-15</v>
      </c>
      <c r="CN177" s="22">
        <f t="shared" si="172"/>
        <v>29.438505853502289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379.16472924112111</v>
      </c>
      <c r="CZ177" s="59">
        <f t="shared" si="150"/>
        <v>273.18950868898253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37.140643344442793</v>
      </c>
      <c r="DG177" s="21">
        <f>EXP(-LN(2)/25)*DG176+(1-EXP(-LN(2)/25))/(LN(2)/25)*Calculateur!DB177*Calculateur!DD177*VLOOKUP('Données projet'!$B$13,Paramètres!$A$1:$I$89,3,0)*0.475*44/12</f>
        <v>3.4185111726424364</v>
      </c>
      <c r="DH177" s="21">
        <f>EXP(-LN(2)/2)*DH176+(1-EXP(-LN(2)/2))/(LN(2)/2)*DB177*DE177*VLOOKUP('Données projet'!$B$13,Paramètres!$A$1:$I$89,3,0)*0.475*44/12</f>
        <v>6.9553184802377802E-12</v>
      </c>
      <c r="DI177" s="22">
        <f t="shared" si="175"/>
        <v>40.559154517092189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6.8212102632969618E-13</v>
      </c>
      <c r="DP177" s="17">
        <f>DO177*VLOOKUP('Données projet'!$B$14,Paramètres!$A$1:$I$89,3,0)*VLOOKUP('Données projet'!$B$14,Paramètres!$A$1:$I$89,5,0)</f>
        <v>2.7489477361086753E-13</v>
      </c>
      <c r="DQ177" s="13">
        <f t="shared" si="176"/>
        <v>3.6711283554998768E-12</v>
      </c>
      <c r="DR177" s="20">
        <f t="shared" si="177"/>
        <v>6.8726569498678791E-12</v>
      </c>
      <c r="DS177" s="59">
        <f t="shared" si="125"/>
        <v>288.97033806781661</v>
      </c>
      <c r="DT177" s="59">
        <f ca="1">AVERAGE(OFFSET($DS$3,0,0,'Données projet'!$E$14+1,1))-AVERAGE(OFFSET($H$3,0,0,'Données projet'!$E$14+1,1))</f>
        <v>419.35339339286082</v>
      </c>
      <c r="DU177" s="59">
        <f t="shared" si="152"/>
        <v>359.03308141414709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41.386470181360465</v>
      </c>
      <c r="EB177" s="21">
        <f>EXP(-LN(2)/25)*EB176+(1-EXP(-LN(2)/25))/(LN(2)/25)*Calculateur!DW177*Calculateur!DY177*VLOOKUP('Données projet'!$B$14,Paramètres!$A$1:$I$89,3,0)*0.475*44/12</f>
        <v>3.4423609542951903</v>
      </c>
      <c r="EC177" s="21">
        <f>EXP(-LN(2)/2)*EC176+(1-EXP(-LN(2)/2))/(LN(2)/2)*DW177*DZ177*VLOOKUP('Données projet'!$B$14,Paramètres!$A$1:$I$89,3,0)*0.475*44/12</f>
        <v>2.480911878375903E-13</v>
      </c>
      <c r="ED177" s="22">
        <f t="shared" si="178"/>
        <v>44.828831135655903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2.2737367544323206E-13</v>
      </c>
      <c r="EK177" s="17">
        <f>EJ177*VLOOKUP('Données projet'!$B$15,Paramètres!$A$1:$I$89,3,0)*VLOOKUP('Données projet'!$B$15,Paramètres!$A$1:$I$89,5,0)</f>
        <v>1.0049916454590858E-13</v>
      </c>
      <c r="EL177" s="13">
        <f t="shared" si="179"/>
        <v>1.5089081593838289E-12</v>
      </c>
      <c r="EM177" s="20">
        <f t="shared" si="180"/>
        <v>2.8030510891776262E-12</v>
      </c>
      <c r="EN177" s="59">
        <f t="shared" si="128"/>
        <v>288.97033806781252</v>
      </c>
      <c r="EO177" s="59">
        <f ca="1">AVERAGE(OFFSET($EN$3,0,0,'Données projet'!$E$15+1,1))-AVERAGE(OFFSET($H$3,0,0,'Données projet'!$E$15+1,1))</f>
        <v>561.50881628354409</v>
      </c>
      <c r="EP177" s="59">
        <f t="shared" si="154"/>
        <v>468.67708352238458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51.932318686554261</v>
      </c>
      <c r="EW177" s="21">
        <f>EXP(-LN(2)/25)*EW176+(1-EXP(-LN(2)/25))/(LN(2)/25)*Calculateur!ER177*Calculateur!ET177*VLOOKUP('Données projet'!$B$15,Paramètres!$A$1:$I$89,3,0)*0.475*44/12</f>
        <v>4.4658714460814046</v>
      </c>
      <c r="EX177" s="21">
        <f>EXP(-LN(2)/2)*EX176+(1-EXP(-LN(2)/2))/(LN(2)/2)*ER177*EU177*VLOOKUP('Données projet'!$B$15,Paramètres!$A$1:$I$89,3,0)*0.475*44/12</f>
        <v>3.2878283921278905E-13</v>
      </c>
      <c r="EY177" s="22">
        <f t="shared" si="181"/>
        <v>56.398190132635989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5.1431925385259088E-14</v>
      </c>
      <c r="P178" s="13">
        <f t="shared" si="141"/>
        <v>8.3482866290946129E-13</v>
      </c>
      <c r="Q178" s="20">
        <f t="shared" si="162"/>
        <v>1.5435705246133045E-12</v>
      </c>
      <c r="R178" s="59">
        <f t="shared" si="109"/>
        <v>289.04602628147194</v>
      </c>
      <c r="S178" s="59">
        <f ca="1">AVERAGE(OFFSET($R$3,0,0,'Données projet'!$E$9+1,1))-AVERAGE(OFFSET($H$3,0,0,'Données projet'!$E$9+1,1))</f>
        <v>484.04602944257209</v>
      </c>
      <c r="T178" s="59">
        <f t="shared" si="142"/>
        <v>297.32483725004124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58.65854526884435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58.65854526884435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-5.1786628318950535E-13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493.74122500490859</v>
      </c>
      <c r="AO178" s="59">
        <f t="shared" si="144"/>
        <v>299.43985151679692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52.676659872234183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52.676659872234183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364.64276939439014</v>
      </c>
      <c r="BJ178" s="59">
        <f t="shared" si="146"/>
        <v>341.7578598026638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20.178721505036354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20.178721505036354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3.4106051316484809E-13</v>
      </c>
      <c r="BZ178" s="13">
        <f>BY178*VLOOKUP('Données projet'!$B$12,Paramètres!$A$1:$I$89,3,0)*VLOOKUP('Données projet'!$B$12,Paramètres!$A$1:$I$89,5,0)</f>
        <v>2.0395418687257919E-13</v>
      </c>
      <c r="CA178" s="13">
        <f t="shared" si="170"/>
        <v>2.8200388570161721E-12</v>
      </c>
      <c r="CB178" s="20">
        <f t="shared" si="171"/>
        <v>5.2667878847729083E-12</v>
      </c>
      <c r="CC178" s="59">
        <f t="shared" si="119"/>
        <v>289.04602628147569</v>
      </c>
      <c r="CD178" s="59">
        <f ca="1">AVERAGE(OFFSET($CC$3,0,0,'Données projet'!$E$12+1,1))-AVERAGE(OFFSET($H$3,0,0,'Données projet'!$E$12+1,1))</f>
        <v>435.81281313761326</v>
      </c>
      <c r="CE178" s="59">
        <f t="shared" si="148"/>
        <v>460.93390058676493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26.381995688661423</v>
      </c>
      <c r="CL178" s="21">
        <f>EXP(-LN(2)/25)*CL177+(1-EXP(-LN(2)/25))/(LN(2)/25)*Calculateur!CG178*Calculateur!CI178*VLOOKUP('Données projet'!$B$12,Paramètres!$A$1:$I$89,3,0)*0.475*44/12</f>
        <v>2.4596768623854577</v>
      </c>
      <c r="CM178" s="21">
        <f>EXP(-LN(2)/2)*CM177+(1-EXP(-LN(2)/2))/(LN(2)/2)*CG178*CJ178*VLOOKUP('Données projet'!$B$12,Paramètres!$A$1:$I$89,3,0)*0.475*44/12</f>
        <v>1.0833556288388554E-15</v>
      </c>
      <c r="CN178" s="22">
        <f t="shared" si="172"/>
        <v>28.84167255104688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379.16472924112111</v>
      </c>
      <c r="CZ178" s="59">
        <f t="shared" si="150"/>
        <v>273.18950868898253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36.41233798201386</v>
      </c>
      <c r="DG178" s="21">
        <f>EXP(-LN(2)/25)*DG177+(1-EXP(-LN(2)/25))/(LN(2)/25)*Calculateur!DB178*Calculateur!DD178*VLOOKUP('Données projet'!$B$13,Paramètres!$A$1:$I$89,3,0)*0.475*44/12</f>
        <v>3.3250318048548397</v>
      </c>
      <c r="DH178" s="21">
        <f>EXP(-LN(2)/2)*DH177+(1-EXP(-LN(2)/2))/(LN(2)/2)*DB178*DE178*VLOOKUP('Données projet'!$B$13,Paramètres!$A$1:$I$89,3,0)*0.475*44/12</f>
        <v>4.9181528626882462E-12</v>
      </c>
      <c r="DI178" s="22">
        <f t="shared" si="175"/>
        <v>39.737369786873614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6.8212102632969618E-13</v>
      </c>
      <c r="DP178" s="17">
        <f>DO178*VLOOKUP('Données projet'!$B$14,Paramètres!$A$1:$I$89,3,0)*VLOOKUP('Données projet'!$B$14,Paramètres!$A$1:$I$89,5,0)</f>
        <v>2.7489477361086753E-13</v>
      </c>
      <c r="DQ178" s="13">
        <f t="shared" si="176"/>
        <v>3.6711283554998768E-12</v>
      </c>
      <c r="DR178" s="20">
        <f t="shared" si="177"/>
        <v>6.8726569498678791E-12</v>
      </c>
      <c r="DS178" s="59">
        <f t="shared" si="125"/>
        <v>289.04602628147728</v>
      </c>
      <c r="DT178" s="59">
        <f ca="1">AVERAGE(OFFSET($DS$3,0,0,'Données projet'!$E$14+1,1))-AVERAGE(OFFSET($H$3,0,0,'Données projet'!$E$14+1,1))</f>
        <v>419.35339339286082</v>
      </c>
      <c r="DU178" s="59">
        <f t="shared" si="152"/>
        <v>359.03308141414709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40.574906744358231</v>
      </c>
      <c r="EB178" s="21">
        <f>EXP(-LN(2)/25)*EB177+(1-EXP(-LN(2)/25))/(LN(2)/25)*Calculateur!DW178*Calculateur!DY178*VLOOKUP('Données projet'!$B$14,Paramètres!$A$1:$I$89,3,0)*0.475*44/12</f>
        <v>3.3482294129740935</v>
      </c>
      <c r="EC178" s="21">
        <f>EXP(-LN(2)/2)*EC177+(1-EXP(-LN(2)/2))/(LN(2)/2)*DW178*DZ178*VLOOKUP('Données projet'!$B$14,Paramètres!$A$1:$I$89,3,0)*0.475*44/12</f>
        <v>1.7542696127258562E-13</v>
      </c>
      <c r="ED178" s="22">
        <f t="shared" si="178"/>
        <v>43.9231361573325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2.2737367544323206E-13</v>
      </c>
      <c r="EK178" s="17">
        <f>EJ178*VLOOKUP('Données projet'!$B$15,Paramètres!$A$1:$I$89,3,0)*VLOOKUP('Données projet'!$B$15,Paramètres!$A$1:$I$89,5,0)</f>
        <v>1.0049916454590858E-13</v>
      </c>
      <c r="EL178" s="13">
        <f t="shared" si="179"/>
        <v>1.5089081593838289E-12</v>
      </c>
      <c r="EM178" s="20">
        <f t="shared" si="180"/>
        <v>2.8030510891776262E-12</v>
      </c>
      <c r="EN178" s="59">
        <f t="shared" si="128"/>
        <v>289.04602628147319</v>
      </c>
      <c r="EO178" s="59">
        <f ca="1">AVERAGE(OFFSET($EN$3,0,0,'Données projet'!$E$15+1,1))-AVERAGE(OFFSET($H$3,0,0,'Données projet'!$E$15+1,1))</f>
        <v>561.50881628354409</v>
      </c>
      <c r="EP178" s="59">
        <f t="shared" si="154"/>
        <v>468.67708352238458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50.913957592697628</v>
      </c>
      <c r="EW178" s="21">
        <f>EXP(-LN(2)/25)*EW177+(1-EXP(-LN(2)/25))/(LN(2)/25)*Calculateur!ER178*Calculateur!ET178*VLOOKUP('Données projet'!$B$15,Paramètres!$A$1:$I$89,3,0)*0.475*44/12</f>
        <v>4.3437519565383358</v>
      </c>
      <c r="EX178" s="21">
        <f>EXP(-LN(2)/2)*EX177+(1-EXP(-LN(2)/2))/(LN(2)/2)*ER178*EU178*VLOOKUP('Données projet'!$B$15,Paramètres!$A$1:$I$89,3,0)*0.475*44/12</f>
        <v>2.3248457514512945E-13</v>
      </c>
      <c r="EY178" s="22">
        <f t="shared" si="181"/>
        <v>55.257709549236196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5.1431925385259088E-14</v>
      </c>
      <c r="P179" s="13">
        <f t="shared" si="141"/>
        <v>8.3482866290946129E-13</v>
      </c>
      <c r="Q179" s="20">
        <f t="shared" si="162"/>
        <v>1.5435705246133045E-12</v>
      </c>
      <c r="R179" s="59">
        <f t="shared" si="109"/>
        <v>289.12040147383914</v>
      </c>
      <c r="S179" s="59">
        <f ca="1">AVERAGE(OFFSET($R$3,0,0,'Données projet'!$E$9+1,1))-AVERAGE(OFFSET($H$3,0,0,'Données projet'!$E$9+1,1))</f>
        <v>484.04602944257209</v>
      </c>
      <c r="T179" s="59">
        <f t="shared" si="142"/>
        <v>297.32483725004124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57.508286974302123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57.508286974302123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-5.1786628318950535E-13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493.74122500490859</v>
      </c>
      <c r="AO179" s="59">
        <f t="shared" si="144"/>
        <v>299.43985151679692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51.643702701729659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51.643702701729659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364.64276939439014</v>
      </c>
      <c r="BJ179" s="59">
        <f t="shared" si="146"/>
        <v>341.7578598026638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19.783029084127413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19.783029084127413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3.4106051316484809E-13</v>
      </c>
      <c r="BZ179" s="13">
        <f>BY179*VLOOKUP('Données projet'!$B$12,Paramètres!$A$1:$I$89,3,0)*VLOOKUP('Données projet'!$B$12,Paramètres!$A$1:$I$89,5,0)</f>
        <v>2.0395418687257919E-13</v>
      </c>
      <c r="CA179" s="13">
        <f t="shared" si="170"/>
        <v>2.8200388570161721E-12</v>
      </c>
      <c r="CB179" s="20">
        <f t="shared" si="171"/>
        <v>5.2667878847729083E-12</v>
      </c>
      <c r="CC179" s="59">
        <f t="shared" si="119"/>
        <v>289.12040147384289</v>
      </c>
      <c r="CD179" s="59">
        <f ca="1">AVERAGE(OFFSET($CC$3,0,0,'Données projet'!$E$12+1,1))-AVERAGE(OFFSET($H$3,0,0,'Données projet'!$E$12+1,1))</f>
        <v>435.81281313761326</v>
      </c>
      <c r="CE179" s="59">
        <f t="shared" si="148"/>
        <v>460.93390058676493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25.864660844635246</v>
      </c>
      <c r="CL179" s="21">
        <f>EXP(-LN(2)/25)*CL178+(1-EXP(-LN(2)/25))/(LN(2)/25)*Calculateur!CG179*Calculateur!CI179*VLOOKUP('Données projet'!$B$12,Paramètres!$A$1:$I$89,3,0)*0.475*44/12</f>
        <v>2.3924168692347427</v>
      </c>
      <c r="CM179" s="21">
        <f>EXP(-LN(2)/2)*CM178+(1-EXP(-LN(2)/2))/(LN(2)/2)*CG179*CJ179*VLOOKUP('Données projet'!$B$12,Paramètres!$A$1:$I$89,3,0)*0.475*44/12</f>
        <v>7.6604811158857115E-16</v>
      </c>
      <c r="CN179" s="22">
        <f t="shared" si="172"/>
        <v>28.25707771386999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379.16472924112111</v>
      </c>
      <c r="CZ179" s="59">
        <f t="shared" si="150"/>
        <v>273.18950868898253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35.698314243519746</v>
      </c>
      <c r="DG179" s="21">
        <f>EXP(-LN(2)/25)*DG178+(1-EXP(-LN(2)/25))/(LN(2)/25)*Calculateur!DB179*Calculateur!DD179*VLOOKUP('Données projet'!$B$13,Paramètres!$A$1:$I$89,3,0)*0.475*44/12</f>
        <v>3.2341086352952608</v>
      </c>
      <c r="DH179" s="21">
        <f>EXP(-LN(2)/2)*DH178+(1-EXP(-LN(2)/2))/(LN(2)/2)*DB179*DE179*VLOOKUP('Données projet'!$B$13,Paramètres!$A$1:$I$89,3,0)*0.475*44/12</f>
        <v>3.4776592401188901E-12</v>
      </c>
      <c r="DI179" s="22">
        <f t="shared" si="175"/>
        <v>38.932422878818478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6.8212102632969618E-13</v>
      </c>
      <c r="DP179" s="17">
        <f>DO179*VLOOKUP('Données projet'!$B$14,Paramètres!$A$1:$I$89,3,0)*VLOOKUP('Données projet'!$B$14,Paramètres!$A$1:$I$89,5,0)</f>
        <v>2.7489477361086753E-13</v>
      </c>
      <c r="DQ179" s="13">
        <f t="shared" si="176"/>
        <v>3.6711283554998768E-12</v>
      </c>
      <c r="DR179" s="20">
        <f t="shared" si="177"/>
        <v>6.8726569498678791E-12</v>
      </c>
      <c r="DS179" s="59">
        <f t="shared" si="125"/>
        <v>289.12040147384448</v>
      </c>
      <c r="DT179" s="59">
        <f ca="1">AVERAGE(OFFSET($DS$3,0,0,'Données projet'!$E$14+1,1))-AVERAGE(OFFSET($H$3,0,0,'Données projet'!$E$14+1,1))</f>
        <v>419.35339339286082</v>
      </c>
      <c r="DU179" s="59">
        <f t="shared" si="152"/>
        <v>359.03308141414709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39.77925757135079</v>
      </c>
      <c r="EB179" s="21">
        <f>EXP(-LN(2)/25)*EB178+(1-EXP(-LN(2)/25))/(LN(2)/25)*Calculateur!DW179*Calculateur!DY179*VLOOKUP('Données projet'!$B$14,Paramètres!$A$1:$I$89,3,0)*0.475*44/12</f>
        <v>3.2566719036005845</v>
      </c>
      <c r="EC179" s="21">
        <f>EXP(-LN(2)/2)*EC178+(1-EXP(-LN(2)/2))/(LN(2)/2)*DW179*DZ179*VLOOKUP('Données projet'!$B$14,Paramètres!$A$1:$I$89,3,0)*0.475*44/12</f>
        <v>1.2404559391879515E-13</v>
      </c>
      <c r="ED179" s="22">
        <f t="shared" si="178"/>
        <v>43.035929474951494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2.2737367544323206E-13</v>
      </c>
      <c r="EK179" s="17">
        <f>EJ179*VLOOKUP('Données projet'!$B$15,Paramètres!$A$1:$I$89,3,0)*VLOOKUP('Données projet'!$B$15,Paramètres!$A$1:$I$89,5,0)</f>
        <v>1.0049916454590858E-13</v>
      </c>
      <c r="EL179" s="13">
        <f t="shared" si="179"/>
        <v>1.5089081593838289E-12</v>
      </c>
      <c r="EM179" s="20">
        <f t="shared" si="180"/>
        <v>2.8030510891776262E-12</v>
      </c>
      <c r="EN179" s="59">
        <f t="shared" si="128"/>
        <v>289.12040147384039</v>
      </c>
      <c r="EO179" s="59">
        <f ca="1">AVERAGE(OFFSET($EN$3,0,0,'Données projet'!$E$15+1,1))-AVERAGE(OFFSET($H$3,0,0,'Données projet'!$E$15+1,1))</f>
        <v>561.50881628354409</v>
      </c>
      <c r="EP179" s="59">
        <f t="shared" si="154"/>
        <v>468.67708352238458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49.915565938752586</v>
      </c>
      <c r="EW179" s="21">
        <f>EXP(-LN(2)/25)*EW178+(1-EXP(-LN(2)/25))/(LN(2)/25)*Calculateur!ER179*Calculateur!ET179*VLOOKUP('Données projet'!$B$15,Paramètres!$A$1:$I$89,3,0)*0.475*44/12</f>
        <v>4.2249718308588076</v>
      </c>
      <c r="EX179" s="21">
        <f>EXP(-LN(2)/2)*EX178+(1-EXP(-LN(2)/2))/(LN(2)/2)*ER179*EU179*VLOOKUP('Données projet'!$B$15,Paramètres!$A$1:$I$89,3,0)*0.475*44/12</f>
        <v>1.6439141960639452E-13</v>
      </c>
      <c r="EY179" s="22">
        <f t="shared" si="181"/>
        <v>54.140537769611555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5.1431925385259088E-14</v>
      </c>
      <c r="P180" s="13">
        <f t="shared" si="141"/>
        <v>8.3482866290946129E-13</v>
      </c>
      <c r="Q180" s="20">
        <f t="shared" si="162"/>
        <v>1.5435705246133045E-12</v>
      </c>
      <c r="R180" s="59">
        <f t="shared" si="109"/>
        <v>289.1934864228968</v>
      </c>
      <c r="S180" s="59">
        <f ca="1">AVERAGE(OFFSET($R$3,0,0,'Données projet'!$E$9+1,1))-AVERAGE(OFFSET($H$3,0,0,'Données projet'!$E$9+1,1))</f>
        <v>484.04602944257209</v>
      </c>
      <c r="T180" s="59">
        <f t="shared" si="142"/>
        <v>297.32483725004124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56.380584543327586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56.380584543327586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-5.1786628318950535E-13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493.74122500490859</v>
      </c>
      <c r="AO180" s="59">
        <f t="shared" si="144"/>
        <v>299.43985151679692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50.631001191297067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50.631001191297067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364.64276939439014</v>
      </c>
      <c r="BJ180" s="59">
        <f t="shared" si="146"/>
        <v>341.7578598026638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19.395095950243952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19.395095950243952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3.4106051316484809E-13</v>
      </c>
      <c r="BZ180" s="13">
        <f>BY180*VLOOKUP('Données projet'!$B$12,Paramètres!$A$1:$I$89,3,0)*VLOOKUP('Données projet'!$B$12,Paramètres!$A$1:$I$89,5,0)</f>
        <v>2.0395418687257919E-13</v>
      </c>
      <c r="CA180" s="13">
        <f t="shared" si="170"/>
        <v>2.8200388570161721E-12</v>
      </c>
      <c r="CB180" s="20">
        <f t="shared" si="171"/>
        <v>5.2667878847729083E-12</v>
      </c>
      <c r="CC180" s="59">
        <f t="shared" si="119"/>
        <v>289.19348642290055</v>
      </c>
      <c r="CD180" s="59">
        <f ca="1">AVERAGE(OFFSET($CC$3,0,0,'Données projet'!$E$12+1,1))-AVERAGE(OFFSET($H$3,0,0,'Données projet'!$E$12+1,1))</f>
        <v>435.81281313761326</v>
      </c>
      <c r="CE180" s="59">
        <f t="shared" si="148"/>
        <v>460.93390058676493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25.357470621357326</v>
      </c>
      <c r="CL180" s="21">
        <f>EXP(-LN(2)/25)*CL179+(1-EXP(-LN(2)/25))/(LN(2)/25)*Calculateur!CG180*Calculateur!CI180*VLOOKUP('Données projet'!$B$12,Paramètres!$A$1:$I$89,3,0)*0.475*44/12</f>
        <v>2.3269961041337837</v>
      </c>
      <c r="CM180" s="21">
        <f>EXP(-LN(2)/2)*CM179+(1-EXP(-LN(2)/2))/(LN(2)/2)*CG180*CJ180*VLOOKUP('Données projet'!$B$12,Paramètres!$A$1:$I$89,3,0)*0.475*44/12</f>
        <v>5.4167781441942772E-16</v>
      </c>
      <c r="CN180" s="22">
        <f t="shared" si="172"/>
        <v>27.684466725491109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379.16472924112111</v>
      </c>
      <c r="CZ180" s="59">
        <f t="shared" si="150"/>
        <v>273.18950868898253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34.998292075026029</v>
      </c>
      <c r="DG180" s="21">
        <f>EXP(-LN(2)/25)*DG179+(1-EXP(-LN(2)/25))/(LN(2)/25)*Calculateur!DB180*Calculateur!DD180*VLOOKUP('Données projet'!$B$13,Paramètres!$A$1:$I$89,3,0)*0.475*44/12</f>
        <v>3.1456717645887307</v>
      </c>
      <c r="DH180" s="21">
        <f>EXP(-LN(2)/2)*DH179+(1-EXP(-LN(2)/2))/(LN(2)/2)*DB180*DE180*VLOOKUP('Données projet'!$B$13,Paramètres!$A$1:$I$89,3,0)*0.475*44/12</f>
        <v>2.4590764313441231E-12</v>
      </c>
      <c r="DI180" s="22">
        <f t="shared" si="175"/>
        <v>38.143963839617221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6.8212102632969618E-13</v>
      </c>
      <c r="DP180" s="17">
        <f>DO180*VLOOKUP('Données projet'!$B$14,Paramètres!$A$1:$I$89,3,0)*VLOOKUP('Données projet'!$B$14,Paramètres!$A$1:$I$89,5,0)</f>
        <v>2.7489477361086753E-13</v>
      </c>
      <c r="DQ180" s="13">
        <f t="shared" si="176"/>
        <v>3.6711283554998768E-12</v>
      </c>
      <c r="DR180" s="20">
        <f t="shared" si="177"/>
        <v>6.8726569498678791E-12</v>
      </c>
      <c r="DS180" s="59">
        <f t="shared" si="125"/>
        <v>289.19348642290214</v>
      </c>
      <c r="DT180" s="59">
        <f ca="1">AVERAGE(OFFSET($DS$3,0,0,'Données projet'!$E$14+1,1))-AVERAGE(OFFSET($H$3,0,0,'Données projet'!$E$14+1,1))</f>
        <v>419.35339339286082</v>
      </c>
      <c r="DU180" s="59">
        <f t="shared" si="152"/>
        <v>359.03308141414709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38.999210593327952</v>
      </c>
      <c r="EB180" s="21">
        <f>EXP(-LN(2)/25)*EB179+(1-EXP(-LN(2)/25))/(LN(2)/25)*Calculateur!DW180*Calculateur!DY180*VLOOKUP('Données projet'!$B$14,Paramètres!$A$1:$I$89,3,0)*0.475*44/12</f>
        <v>3.1676180391356943</v>
      </c>
      <c r="EC180" s="21">
        <f>EXP(-LN(2)/2)*EC179+(1-EXP(-LN(2)/2))/(LN(2)/2)*DW180*DZ180*VLOOKUP('Données projet'!$B$14,Paramètres!$A$1:$I$89,3,0)*0.475*44/12</f>
        <v>8.7713480636292812E-14</v>
      </c>
      <c r="ED180" s="22">
        <f t="shared" si="178"/>
        <v>42.166828632463734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2.2737367544323206E-13</v>
      </c>
      <c r="EK180" s="17">
        <f>EJ180*VLOOKUP('Données projet'!$B$15,Paramètres!$A$1:$I$89,3,0)*VLOOKUP('Données projet'!$B$15,Paramètres!$A$1:$I$89,5,0)</f>
        <v>1.0049916454590858E-13</v>
      </c>
      <c r="EL180" s="13">
        <f t="shared" si="179"/>
        <v>1.5089081593838289E-12</v>
      </c>
      <c r="EM180" s="20">
        <f t="shared" si="180"/>
        <v>2.8030510891776262E-12</v>
      </c>
      <c r="EN180" s="59">
        <f t="shared" si="128"/>
        <v>289.19348642289805</v>
      </c>
      <c r="EO180" s="59">
        <f ca="1">AVERAGE(OFFSET($EN$3,0,0,'Données projet'!$E$15+1,1))-AVERAGE(OFFSET($H$3,0,0,'Données projet'!$E$15+1,1))</f>
        <v>561.50881628354409</v>
      </c>
      <c r="EP180" s="59">
        <f t="shared" si="154"/>
        <v>468.67708352238458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48.936752136182626</v>
      </c>
      <c r="EW180" s="21">
        <f>EXP(-LN(2)/25)*EW179+(1-EXP(-LN(2)/25))/(LN(2)/25)*Calculateur!ER180*Calculateur!ET180*VLOOKUP('Données projet'!$B$15,Paramètres!$A$1:$I$89,3,0)*0.475*44/12</f>
        <v>4.1094397539623611</v>
      </c>
      <c r="EX180" s="21">
        <f>EXP(-LN(2)/2)*EX179+(1-EXP(-LN(2)/2))/(LN(2)/2)*ER180*EU180*VLOOKUP('Données projet'!$B$15,Paramètres!$A$1:$I$89,3,0)*0.475*44/12</f>
        <v>1.1624228757256473E-13</v>
      </c>
      <c r="EY180" s="22">
        <f t="shared" si="181"/>
        <v>53.046191890145103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5.1431925385259088E-14</v>
      </c>
      <c r="P181" s="13">
        <f t="shared" si="141"/>
        <v>8.3482866290946129E-13</v>
      </c>
      <c r="Q181" s="20">
        <f t="shared" si="162"/>
        <v>1.5435705246133045E-12</v>
      </c>
      <c r="R181" s="59">
        <f t="shared" si="109"/>
        <v>289.2653035114817</v>
      </c>
      <c r="S181" s="59">
        <f ca="1">AVERAGE(OFFSET($R$3,0,0,'Données projet'!$E$9+1,1))-AVERAGE(OFFSET($H$3,0,0,'Données projet'!$E$9+1,1))</f>
        <v>484.04602944257209</v>
      </c>
      <c r="T181" s="59">
        <f t="shared" si="142"/>
        <v>297.32483725004124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55.274995669193899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55.274995669193899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-5.1786628318950535E-13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493.74122500490859</v>
      </c>
      <c r="AO181" s="59">
        <f t="shared" si="144"/>
        <v>299.43985151679692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49.638158139797127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49.638158139797127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364.64276939439014</v>
      </c>
      <c r="BJ181" s="59">
        <f t="shared" si="146"/>
        <v>341.7578598026638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19.014769948500099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19.014769948500099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3.4106051316484809E-13</v>
      </c>
      <c r="BZ181" s="13">
        <f>BY181*VLOOKUP('Données projet'!$B$12,Paramètres!$A$1:$I$89,3,0)*VLOOKUP('Données projet'!$B$12,Paramètres!$A$1:$I$89,5,0)</f>
        <v>2.0395418687257919E-13</v>
      </c>
      <c r="CA181" s="13">
        <f t="shared" si="170"/>
        <v>2.8200388570161721E-12</v>
      </c>
      <c r="CB181" s="20">
        <f t="shared" si="171"/>
        <v>5.2667878847729083E-12</v>
      </c>
      <c r="CC181" s="59">
        <f t="shared" si="119"/>
        <v>289.26530351148546</v>
      </c>
      <c r="CD181" s="59">
        <f ca="1">AVERAGE(OFFSET($CC$3,0,0,'Données projet'!$E$12+1,1))-AVERAGE(OFFSET($H$3,0,0,'Données projet'!$E$12+1,1))</f>
        <v>435.81281313761326</v>
      </c>
      <c r="CE181" s="59">
        <f t="shared" si="148"/>
        <v>460.93390058676493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24.860226089002396</v>
      </c>
      <c r="CL181" s="21">
        <f>EXP(-LN(2)/25)*CL180+(1-EXP(-LN(2)/25))/(LN(2)/25)*Calculateur!CG181*Calculateur!CI181*VLOOKUP('Données projet'!$B$12,Paramètres!$A$1:$I$89,3,0)*0.475*44/12</f>
        <v>2.2633642732948385</v>
      </c>
      <c r="CM181" s="21">
        <f>EXP(-LN(2)/2)*CM180+(1-EXP(-LN(2)/2))/(LN(2)/2)*CG181*CJ181*VLOOKUP('Données projet'!$B$12,Paramètres!$A$1:$I$89,3,0)*0.475*44/12</f>
        <v>3.8302405579428558E-16</v>
      </c>
      <c r="CN181" s="22">
        <f t="shared" si="172"/>
        <v>27.123590362297236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379.16472924112111</v>
      </c>
      <c r="CZ181" s="59">
        <f t="shared" si="150"/>
        <v>273.18950868898253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34.31199691428511</v>
      </c>
      <c r="DG181" s="21">
        <f>EXP(-LN(2)/25)*DG180+(1-EXP(-LN(2)/25))/(LN(2)/25)*Calculateur!DB181*Calculateur!DD181*VLOOKUP('Données projet'!$B$13,Paramètres!$A$1:$I$89,3,0)*0.475*44/12</f>
        <v>3.0596532047623635</v>
      </c>
      <c r="DH181" s="21">
        <f>EXP(-LN(2)/2)*DH180+(1-EXP(-LN(2)/2))/(LN(2)/2)*DB181*DE181*VLOOKUP('Données projet'!$B$13,Paramètres!$A$1:$I$89,3,0)*0.475*44/12</f>
        <v>1.738829620059445E-12</v>
      </c>
      <c r="DI181" s="22">
        <f t="shared" si="175"/>
        <v>37.371650119049214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6.8212102632969618E-13</v>
      </c>
      <c r="DP181" s="17">
        <f>DO181*VLOOKUP('Données projet'!$B$14,Paramètres!$A$1:$I$89,3,0)*VLOOKUP('Données projet'!$B$14,Paramètres!$A$1:$I$89,5,0)</f>
        <v>2.7489477361086753E-13</v>
      </c>
      <c r="DQ181" s="13">
        <f t="shared" si="176"/>
        <v>3.6711283554998768E-12</v>
      </c>
      <c r="DR181" s="20">
        <f t="shared" si="177"/>
        <v>6.8726569498678791E-12</v>
      </c>
      <c r="DS181" s="59">
        <f t="shared" si="125"/>
        <v>289.26530351148705</v>
      </c>
      <c r="DT181" s="59">
        <f ca="1">AVERAGE(OFFSET($DS$3,0,0,'Données projet'!$E$14+1,1))-AVERAGE(OFFSET($H$3,0,0,'Données projet'!$E$14+1,1))</f>
        <v>419.35339339286082</v>
      </c>
      <c r="DU181" s="59">
        <f t="shared" si="152"/>
        <v>359.03308141414709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38.234459860762463</v>
      </c>
      <c r="EB181" s="21">
        <f>EXP(-LN(2)/25)*EB180+(1-EXP(-LN(2)/25))/(LN(2)/25)*Calculateur!DW181*Calculateur!DY181*VLOOKUP('Données projet'!$B$14,Paramètres!$A$1:$I$89,3,0)*0.475*44/12</f>
        <v>3.0809993572777357</v>
      </c>
      <c r="EC181" s="21">
        <f>EXP(-LN(2)/2)*EC180+(1-EXP(-LN(2)/2))/(LN(2)/2)*DW181*DZ181*VLOOKUP('Données projet'!$B$14,Paramètres!$A$1:$I$89,3,0)*0.475*44/12</f>
        <v>6.2022796959397574E-14</v>
      </c>
      <c r="ED181" s="22">
        <f t="shared" si="178"/>
        <v>41.31545921804026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2.2737367544323206E-13</v>
      </c>
      <c r="EK181" s="17">
        <f>EJ181*VLOOKUP('Données projet'!$B$15,Paramètres!$A$1:$I$89,3,0)*VLOOKUP('Données projet'!$B$15,Paramètres!$A$1:$I$89,5,0)</f>
        <v>1.0049916454590858E-13</v>
      </c>
      <c r="EL181" s="13">
        <f t="shared" si="179"/>
        <v>1.5089081593838289E-12</v>
      </c>
      <c r="EM181" s="20">
        <f t="shared" si="180"/>
        <v>2.8030510891776262E-12</v>
      </c>
      <c r="EN181" s="59">
        <f t="shared" si="128"/>
        <v>289.26530351148295</v>
      </c>
      <c r="EO181" s="59">
        <f ca="1">AVERAGE(OFFSET($EN$3,0,0,'Données projet'!$E$15+1,1))-AVERAGE(OFFSET($H$3,0,0,'Données projet'!$E$15+1,1))</f>
        <v>561.50881628354409</v>
      </c>
      <c r="EP181" s="59">
        <f t="shared" si="154"/>
        <v>468.67708352238458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47.9771322752636</v>
      </c>
      <c r="EW181" s="21">
        <f>EXP(-LN(2)/25)*EW180+(1-EXP(-LN(2)/25))/(LN(2)/25)*Calculateur!ER181*Calculateur!ET181*VLOOKUP('Données projet'!$B$15,Paramètres!$A$1:$I$89,3,0)*0.475*44/12</f>
        <v>3.997066907784216</v>
      </c>
      <c r="EX181" s="21">
        <f>EXP(-LN(2)/2)*EX180+(1-EXP(-LN(2)/2))/(LN(2)/2)*ER181*EU181*VLOOKUP('Données projet'!$B$15,Paramètres!$A$1:$I$89,3,0)*0.475*44/12</f>
        <v>8.2195709803197261E-14</v>
      </c>
      <c r="EY181" s="22">
        <f t="shared" si="181"/>
        <v>51.974199183047901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5.1431925385259088E-14</v>
      </c>
      <c r="P182" s="13">
        <f t="shared" si="141"/>
        <v>8.3482866290946129E-13</v>
      </c>
      <c r="Q182" s="20">
        <f t="shared" si="162"/>
        <v>1.5435705246133045E-12</v>
      </c>
      <c r="R182" s="59">
        <f t="shared" si="109"/>
        <v>289.33587473413866</v>
      </c>
      <c r="S182" s="59">
        <f ca="1">AVERAGE(OFFSET($R$3,0,0,'Données projet'!$E$9+1,1))-AVERAGE(OFFSET($H$3,0,0,'Données projet'!$E$9+1,1))</f>
        <v>484.04602944257209</v>
      </c>
      <c r="T182" s="59">
        <f t="shared" si="142"/>
        <v>297.32483725004124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54.191086718539346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54.191086718539346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-5.1786628318950535E-13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493.74122500490859</v>
      </c>
      <c r="AO182" s="59">
        <f t="shared" si="144"/>
        <v>299.43985151679692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48.664784134962638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48.664784134962638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364.64276939439014</v>
      </c>
      <c r="BJ182" s="59">
        <f t="shared" si="146"/>
        <v>341.7578598026638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18.641901907674487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18.641901907674487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3.4106051316484809E-13</v>
      </c>
      <c r="BZ182" s="13">
        <f>BY182*VLOOKUP('Données projet'!$B$12,Paramètres!$A$1:$I$89,3,0)*VLOOKUP('Données projet'!$B$12,Paramètres!$A$1:$I$89,5,0)</f>
        <v>2.0395418687257919E-13</v>
      </c>
      <c r="CA182" s="13">
        <f t="shared" si="170"/>
        <v>2.8200388570161721E-12</v>
      </c>
      <c r="CB182" s="20">
        <f t="shared" si="171"/>
        <v>5.2667878847729083E-12</v>
      </c>
      <c r="CC182" s="59">
        <f t="shared" si="119"/>
        <v>289.33587473414241</v>
      </c>
      <c r="CD182" s="59">
        <f ca="1">AVERAGE(OFFSET($CC$3,0,0,'Données projet'!$E$12+1,1))-AVERAGE(OFFSET($H$3,0,0,'Données projet'!$E$12+1,1))</f>
        <v>435.81281313761326</v>
      </c>
      <c r="CE182" s="59">
        <f t="shared" si="148"/>
        <v>460.93390058676493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24.372732218637726</v>
      </c>
      <c r="CL182" s="21">
        <f>EXP(-LN(2)/25)*CL181+(1-EXP(-LN(2)/25))/(LN(2)/25)*Calculateur!CG182*Calculateur!CI182*VLOOKUP('Données projet'!$B$12,Paramètres!$A$1:$I$89,3,0)*0.475*44/12</f>
        <v>2.2014724582164371</v>
      </c>
      <c r="CM182" s="21">
        <f>EXP(-LN(2)/2)*CM181+(1-EXP(-LN(2)/2))/(LN(2)/2)*CG182*CJ182*VLOOKUP('Données projet'!$B$12,Paramètres!$A$1:$I$89,3,0)*0.475*44/12</f>
        <v>2.7083890720971386E-16</v>
      </c>
      <c r="CN182" s="22">
        <f t="shared" si="172"/>
        <v>26.574204676854162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379.16472924112111</v>
      </c>
      <c r="CZ182" s="59">
        <f t="shared" si="150"/>
        <v>273.18950868898253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33.639159583047601</v>
      </c>
      <c r="DG182" s="21">
        <f>EXP(-LN(2)/25)*DG181+(1-EXP(-LN(2)/25))/(LN(2)/25)*Calculateur!DB182*Calculateur!DD182*VLOOKUP('Données projet'!$B$13,Paramètres!$A$1:$I$89,3,0)*0.475*44/12</f>
        <v>2.9759868269779677</v>
      </c>
      <c r="DH182" s="21">
        <f>EXP(-LN(2)/2)*DH181+(1-EXP(-LN(2)/2))/(LN(2)/2)*DB182*DE182*VLOOKUP('Données projet'!$B$13,Paramètres!$A$1:$I$89,3,0)*0.475*44/12</f>
        <v>1.2295382156720616E-12</v>
      </c>
      <c r="DI182" s="22">
        <f t="shared" si="175"/>
        <v>36.615146410026796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6.8212102632969618E-13</v>
      </c>
      <c r="DP182" s="17">
        <f>DO182*VLOOKUP('Données projet'!$B$14,Paramètres!$A$1:$I$89,3,0)*VLOOKUP('Données projet'!$B$14,Paramètres!$A$1:$I$89,5,0)</f>
        <v>2.7489477361086753E-13</v>
      </c>
      <c r="DQ182" s="13">
        <f t="shared" si="176"/>
        <v>3.6711283554998768E-12</v>
      </c>
      <c r="DR182" s="20">
        <f t="shared" si="177"/>
        <v>6.8726569498678791E-12</v>
      </c>
      <c r="DS182" s="59">
        <f t="shared" si="125"/>
        <v>289.335874734144</v>
      </c>
      <c r="DT182" s="59">
        <f ca="1">AVERAGE(OFFSET($DS$3,0,0,'Données projet'!$E$14+1,1))-AVERAGE(OFFSET($H$3,0,0,'Données projet'!$E$14+1,1))</f>
        <v>419.35339339286082</v>
      </c>
      <c r="DU182" s="59">
        <f t="shared" si="152"/>
        <v>359.03308141414709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37.484705423610698</v>
      </c>
      <c r="EB182" s="21">
        <f>EXP(-LN(2)/25)*EB181+(1-EXP(-LN(2)/25))/(LN(2)/25)*Calculateur!DW182*Calculateur!DY182*VLOOKUP('Données projet'!$B$14,Paramètres!$A$1:$I$89,3,0)*0.475*44/12</f>
        <v>2.9967492678302614</v>
      </c>
      <c r="EC182" s="21">
        <f>EXP(-LN(2)/2)*EC181+(1-EXP(-LN(2)/2))/(LN(2)/2)*DW182*DZ182*VLOOKUP('Données projet'!$B$14,Paramètres!$A$1:$I$89,3,0)*0.475*44/12</f>
        <v>4.3856740318146406E-14</v>
      </c>
      <c r="ED182" s="22">
        <f t="shared" si="178"/>
        <v>40.481454691441002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2.2737367544323206E-13</v>
      </c>
      <c r="EK182" s="17">
        <f>EJ182*VLOOKUP('Données projet'!$B$15,Paramètres!$A$1:$I$89,3,0)*VLOOKUP('Données projet'!$B$15,Paramètres!$A$1:$I$89,5,0)</f>
        <v>1.0049916454590858E-13</v>
      </c>
      <c r="EL182" s="13">
        <f t="shared" si="179"/>
        <v>1.5089081593838289E-12</v>
      </c>
      <c r="EM182" s="20">
        <f t="shared" si="180"/>
        <v>2.8030510891776262E-12</v>
      </c>
      <c r="EN182" s="59">
        <f t="shared" si="128"/>
        <v>289.33587473413991</v>
      </c>
      <c r="EO182" s="59">
        <f ca="1">AVERAGE(OFFSET($EN$3,0,0,'Données projet'!$E$15+1,1))-AVERAGE(OFFSET($H$3,0,0,'Données projet'!$E$15+1,1))</f>
        <v>561.50881628354409</v>
      </c>
      <c r="EP182" s="59">
        <f t="shared" si="154"/>
        <v>468.67708352238458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47.03632997450687</v>
      </c>
      <c r="EW182" s="21">
        <f>EXP(-LN(2)/25)*EW181+(1-EXP(-LN(2)/25))/(LN(2)/25)*Calculateur!ER182*Calculateur!ET182*VLOOKUP('Données projet'!$B$15,Paramètres!$A$1:$I$89,3,0)*0.475*44/12</f>
        <v>3.8877669029942434</v>
      </c>
      <c r="EX182" s="21">
        <f>EXP(-LN(2)/2)*EX181+(1-EXP(-LN(2)/2))/(LN(2)/2)*ER182*EU182*VLOOKUP('Données projet'!$B$15,Paramètres!$A$1:$I$89,3,0)*0.475*44/12</f>
        <v>5.8121143786282364E-14</v>
      </c>
      <c r="EY182" s="22">
        <f t="shared" si="181"/>
        <v>50.924096877501171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5.1431925385259088E-14</v>
      </c>
      <c r="P183" s="13">
        <f t="shared" si="141"/>
        <v>8.3482866290946129E-13</v>
      </c>
      <c r="Q183" s="20">
        <f t="shared" si="162"/>
        <v>1.5435705246133045E-12</v>
      </c>
      <c r="R183" s="59">
        <f t="shared" si="109"/>
        <v>289.40522170385617</v>
      </c>
      <c r="S183" s="59">
        <f ca="1">AVERAGE(OFFSET($R$3,0,0,'Données projet'!$E$9+1,1))-AVERAGE(OFFSET($H$3,0,0,'Données projet'!$E$9+1,1))</f>
        <v>484.04602944257209</v>
      </c>
      <c r="T183" s="59">
        <f t="shared" si="142"/>
        <v>297.32483725004124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53.128432561287944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53.128432561287944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-5.1786628318950535E-13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493.74122500490859</v>
      </c>
      <c r="AO183" s="59">
        <f t="shared" si="144"/>
        <v>299.43985151679692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47.710497400663428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47.710497400663428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364.64276939439014</v>
      </c>
      <c r="BJ183" s="59">
        <f t="shared" si="146"/>
        <v>341.7578598026638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18.276345581702415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18.276345581702415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3.4106051316484809E-13</v>
      </c>
      <c r="BZ183" s="13">
        <f>BY183*VLOOKUP('Données projet'!$B$12,Paramètres!$A$1:$I$89,3,0)*VLOOKUP('Données projet'!$B$12,Paramètres!$A$1:$I$89,5,0)</f>
        <v>2.0395418687257919E-13</v>
      </c>
      <c r="CA183" s="13">
        <f t="shared" si="170"/>
        <v>2.8200388570161721E-12</v>
      </c>
      <c r="CB183" s="20">
        <f t="shared" si="171"/>
        <v>5.2667878847729083E-12</v>
      </c>
      <c r="CC183" s="59">
        <f t="shared" si="119"/>
        <v>289.40522170385992</v>
      </c>
      <c r="CD183" s="59">
        <f ca="1">AVERAGE(OFFSET($CC$3,0,0,'Données projet'!$E$12+1,1))-AVERAGE(OFFSET($H$3,0,0,'Données projet'!$E$12+1,1))</f>
        <v>435.81281313761326</v>
      </c>
      <c r="CE183" s="59">
        <f t="shared" si="148"/>
        <v>460.93390058676493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23.894797805729009</v>
      </c>
      <c r="CL183" s="21">
        <f>EXP(-LN(2)/25)*CL182+(1-EXP(-LN(2)/25))/(LN(2)/25)*Calculateur!CG183*Calculateur!CI183*VLOOKUP('Données projet'!$B$12,Paramètres!$A$1:$I$89,3,0)*0.475*44/12</f>
        <v>2.1412730780761038</v>
      </c>
      <c r="CM183" s="21">
        <f>EXP(-LN(2)/2)*CM182+(1-EXP(-LN(2)/2))/(LN(2)/2)*CG183*CJ183*VLOOKUP('Données projet'!$B$12,Paramètres!$A$1:$I$89,3,0)*0.475*44/12</f>
        <v>1.9151202789714279E-16</v>
      </c>
      <c r="CN183" s="22">
        <f t="shared" si="172"/>
        <v>26.036070883805113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379.16472924112111</v>
      </c>
      <c r="CZ183" s="59">
        <f t="shared" si="150"/>
        <v>273.18950868898253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32.979516181485415</v>
      </c>
      <c r="DG183" s="21">
        <f>EXP(-LN(2)/25)*DG182+(1-EXP(-LN(2)/25))/(LN(2)/25)*Calculateur!DB183*Calculateur!DD183*VLOOKUP('Données projet'!$B$13,Paramètres!$A$1:$I$89,3,0)*0.475*44/12</f>
        <v>2.8946083106939096</v>
      </c>
      <c r="DH183" s="21">
        <f>EXP(-LN(2)/2)*DH182+(1-EXP(-LN(2)/2))/(LN(2)/2)*DB183*DE183*VLOOKUP('Données projet'!$B$13,Paramètres!$A$1:$I$89,3,0)*0.475*44/12</f>
        <v>8.6941481002972252E-13</v>
      </c>
      <c r="DI183" s="22">
        <f t="shared" si="175"/>
        <v>35.874124492180194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6.8212102632969618E-13</v>
      </c>
      <c r="DP183" s="17">
        <f>DO183*VLOOKUP('Données projet'!$B$14,Paramètres!$A$1:$I$89,3,0)*VLOOKUP('Données projet'!$B$14,Paramètres!$A$1:$I$89,5,0)</f>
        <v>2.7489477361086753E-13</v>
      </c>
      <c r="DQ183" s="13">
        <f t="shared" si="176"/>
        <v>3.6711283554998768E-12</v>
      </c>
      <c r="DR183" s="20">
        <f t="shared" si="177"/>
        <v>6.8726569498678791E-12</v>
      </c>
      <c r="DS183" s="59">
        <f t="shared" si="125"/>
        <v>289.40522170386151</v>
      </c>
      <c r="DT183" s="59">
        <f ca="1">AVERAGE(OFFSET($DS$3,0,0,'Données projet'!$E$14+1,1))-AVERAGE(OFFSET($H$3,0,0,'Données projet'!$E$14+1,1))</f>
        <v>419.35339339286082</v>
      </c>
      <c r="DU183" s="59">
        <f t="shared" si="152"/>
        <v>359.03308141414709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36.749653213666427</v>
      </c>
      <c r="EB183" s="21">
        <f>EXP(-LN(2)/25)*EB182+(1-EXP(-LN(2)/25))/(LN(2)/25)*Calculateur!DW183*Calculateur!DY183*VLOOKUP('Données projet'!$B$14,Paramètres!$A$1:$I$89,3,0)*0.475*44/12</f>
        <v>2.9148030015092479</v>
      </c>
      <c r="EC183" s="21">
        <f>EXP(-LN(2)/2)*EC182+(1-EXP(-LN(2)/2))/(LN(2)/2)*DW183*DZ183*VLOOKUP('Données projet'!$B$14,Paramètres!$A$1:$I$89,3,0)*0.475*44/12</f>
        <v>3.1011398479698787E-14</v>
      </c>
      <c r="ED183" s="22">
        <f t="shared" si="178"/>
        <v>39.664456215175704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2.2737367544323206E-13</v>
      </c>
      <c r="EK183" s="17">
        <f>EJ183*VLOOKUP('Données projet'!$B$15,Paramètres!$A$1:$I$89,3,0)*VLOOKUP('Données projet'!$B$15,Paramètres!$A$1:$I$89,5,0)</f>
        <v>1.0049916454590858E-13</v>
      </c>
      <c r="EL183" s="13">
        <f t="shared" si="179"/>
        <v>1.5089081593838289E-12</v>
      </c>
      <c r="EM183" s="20">
        <f t="shared" si="180"/>
        <v>2.8030510891776262E-12</v>
      </c>
      <c r="EN183" s="59">
        <f t="shared" si="128"/>
        <v>289.40522170385742</v>
      </c>
      <c r="EO183" s="59">
        <f ca="1">AVERAGE(OFFSET($EN$3,0,0,'Données projet'!$E$15+1,1))-AVERAGE(OFFSET($H$3,0,0,'Données projet'!$E$15+1,1))</f>
        <v>561.50881628354409</v>
      </c>
      <c r="EP183" s="59">
        <f t="shared" si="154"/>
        <v>468.67708352238458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46.113976233035238</v>
      </c>
      <c r="EW183" s="21">
        <f>EXP(-LN(2)/25)*EW182+(1-EXP(-LN(2)/25))/(LN(2)/25)*Calculateur!ER183*Calculateur!ET183*VLOOKUP('Données projet'!$B$15,Paramètres!$A$1:$I$89,3,0)*0.475*44/12</f>
        <v>3.7814557125830901</v>
      </c>
      <c r="EX183" s="21">
        <f>EXP(-LN(2)/2)*EX182+(1-EXP(-LN(2)/2))/(LN(2)/2)*ER183*EU183*VLOOKUP('Données projet'!$B$15,Paramètres!$A$1:$I$89,3,0)*0.475*44/12</f>
        <v>4.1097854901598631E-14</v>
      </c>
      <c r="EY183" s="22">
        <f t="shared" si="181"/>
        <v>49.89543194561837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5.1431925385259088E-14</v>
      </c>
      <c r="P184" s="13">
        <f t="shared" si="141"/>
        <v>8.3482866290946129E-13</v>
      </c>
      <c r="Q184" s="20">
        <f t="shared" si="162"/>
        <v>1.5435705246133045E-12</v>
      </c>
      <c r="R184" s="59">
        <f t="shared" si="109"/>
        <v>289.47336565868562</v>
      </c>
      <c r="S184" s="59">
        <f ca="1">AVERAGE(OFFSET($R$3,0,0,'Données projet'!$E$9+1,1))-AVERAGE(OFFSET($H$3,0,0,'Données projet'!$E$9+1,1))</f>
        <v>484.04602944257209</v>
      </c>
      <c r="T184" s="59">
        <f t="shared" si="142"/>
        <v>297.32483725004124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52.086616403905211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52.086616403905211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-5.1786628318950535E-13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493.74122500490859</v>
      </c>
      <c r="AO184" s="59">
        <f t="shared" si="144"/>
        <v>299.43985151679692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46.774923647166396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46.774923647166396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364.64276939439014</v>
      </c>
      <c r="BJ184" s="59">
        <f t="shared" si="146"/>
        <v>341.7578598026638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17.917957592315314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17.917957592315314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3.4106051316484809E-13</v>
      </c>
      <c r="BZ184" s="13">
        <f>BY184*VLOOKUP('Données projet'!$B$12,Paramètres!$A$1:$I$89,3,0)*VLOOKUP('Données projet'!$B$12,Paramètres!$A$1:$I$89,5,0)</f>
        <v>2.0395418687257919E-13</v>
      </c>
      <c r="CA184" s="13">
        <f t="shared" si="170"/>
        <v>2.8200388570161721E-12</v>
      </c>
      <c r="CB184" s="20">
        <f t="shared" si="171"/>
        <v>5.2667878847729083E-12</v>
      </c>
      <c r="CC184" s="59">
        <f t="shared" si="119"/>
        <v>289.47336565868937</v>
      </c>
      <c r="CD184" s="59">
        <f ca="1">AVERAGE(OFFSET($CC$3,0,0,'Données projet'!$E$12+1,1))-AVERAGE(OFFSET($H$3,0,0,'Données projet'!$E$12+1,1))</f>
        <v>435.81281313761326</v>
      </c>
      <c r="CE184" s="59">
        <f t="shared" si="148"/>
        <v>460.93390058676493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23.426235395146225</v>
      </c>
      <c r="CL184" s="21">
        <f>EXP(-LN(2)/25)*CL183+(1-EXP(-LN(2)/25))/(LN(2)/25)*Calculateur!CG184*Calculateur!CI184*VLOOKUP('Données projet'!$B$12,Paramètres!$A$1:$I$89,3,0)*0.475*44/12</f>
        <v>2.0827198531514557</v>
      </c>
      <c r="CM184" s="21">
        <f>EXP(-LN(2)/2)*CM183+(1-EXP(-LN(2)/2))/(LN(2)/2)*CG184*CJ184*VLOOKUP('Données projet'!$B$12,Paramètres!$A$1:$I$89,3,0)*0.475*44/12</f>
        <v>1.3541945360485693E-16</v>
      </c>
      <c r="CN184" s="22">
        <f t="shared" si="172"/>
        <v>25.508955248297681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379.16472924112111</v>
      </c>
      <c r="CZ184" s="59">
        <f t="shared" si="150"/>
        <v>273.18950868898253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32.332807984685118</v>
      </c>
      <c r="DG184" s="21">
        <f>EXP(-LN(2)/25)*DG183+(1-EXP(-LN(2)/25))/(LN(2)/25)*Calculateur!DB184*Calculateur!DD184*VLOOKUP('Données projet'!$B$13,Paramètres!$A$1:$I$89,3,0)*0.475*44/12</f>
        <v>2.8154550942171492</v>
      </c>
      <c r="DH184" s="21">
        <f>EXP(-LN(2)/2)*DH183+(1-EXP(-LN(2)/2))/(LN(2)/2)*DB184*DE184*VLOOKUP('Données projet'!$B$13,Paramètres!$A$1:$I$89,3,0)*0.475*44/12</f>
        <v>6.1476910783603078E-13</v>
      </c>
      <c r="DI184" s="22">
        <f t="shared" si="175"/>
        <v>35.148263078902886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6.8212102632969618E-13</v>
      </c>
      <c r="DP184" s="17">
        <f>DO184*VLOOKUP('Données projet'!$B$14,Paramètres!$A$1:$I$89,3,0)*VLOOKUP('Données projet'!$B$14,Paramètres!$A$1:$I$89,5,0)</f>
        <v>2.7489477361086753E-13</v>
      </c>
      <c r="DQ184" s="13">
        <f t="shared" si="176"/>
        <v>3.6711283554998768E-12</v>
      </c>
      <c r="DR184" s="20">
        <f t="shared" si="177"/>
        <v>6.8726569498678791E-12</v>
      </c>
      <c r="DS184" s="59">
        <f t="shared" si="125"/>
        <v>289.47336565869097</v>
      </c>
      <c r="DT184" s="59">
        <f ca="1">AVERAGE(OFFSET($DS$3,0,0,'Données projet'!$E$14+1,1))-AVERAGE(OFFSET($H$3,0,0,'Données projet'!$E$14+1,1))</f>
        <v>419.35339339286082</v>
      </c>
      <c r="DU184" s="59">
        <f t="shared" si="152"/>
        <v>359.03308141414709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36.029014929221582</v>
      </c>
      <c r="EB184" s="21">
        <f>EXP(-LN(2)/25)*EB183+(1-EXP(-LN(2)/25))/(LN(2)/25)*Calculateur!DW184*Calculateur!DY184*VLOOKUP('Données projet'!$B$14,Paramètres!$A$1:$I$89,3,0)*0.475*44/12</f>
        <v>2.8350975601501496</v>
      </c>
      <c r="EC184" s="21">
        <f>EXP(-LN(2)/2)*EC183+(1-EXP(-LN(2)/2))/(LN(2)/2)*DW184*DZ184*VLOOKUP('Données projet'!$B$14,Paramètres!$A$1:$I$89,3,0)*0.475*44/12</f>
        <v>2.1928370159073203E-14</v>
      </c>
      <c r="ED184" s="22">
        <f t="shared" si="178"/>
        <v>38.864112489371756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2.2737367544323206E-13</v>
      </c>
      <c r="EK184" s="17">
        <f>EJ184*VLOOKUP('Données projet'!$B$15,Paramètres!$A$1:$I$89,3,0)*VLOOKUP('Données projet'!$B$15,Paramètres!$A$1:$I$89,5,0)</f>
        <v>1.0049916454590858E-13</v>
      </c>
      <c r="EL184" s="13">
        <f t="shared" si="179"/>
        <v>1.5089081593838289E-12</v>
      </c>
      <c r="EM184" s="20">
        <f t="shared" si="180"/>
        <v>2.8030510891776262E-12</v>
      </c>
      <c r="EN184" s="59">
        <f t="shared" si="128"/>
        <v>289.47336565868687</v>
      </c>
      <c r="EO184" s="59">
        <f ca="1">AVERAGE(OFFSET($EN$3,0,0,'Données projet'!$E$15+1,1))-AVERAGE(OFFSET($H$3,0,0,'Données projet'!$E$15+1,1))</f>
        <v>561.50881628354409</v>
      </c>
      <c r="EP184" s="59">
        <f t="shared" si="154"/>
        <v>468.67708352238458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45.209709285853634</v>
      </c>
      <c r="EW184" s="21">
        <f>EXP(-LN(2)/25)*EW183+(1-EXP(-LN(2)/25))/(LN(2)/25)*Calculateur!ER184*Calculateur!ET184*VLOOKUP('Données projet'!$B$15,Paramètres!$A$1:$I$89,3,0)*0.475*44/12</f>
        <v>3.6780516072643921</v>
      </c>
      <c r="EX184" s="21">
        <f>EXP(-LN(2)/2)*EX183+(1-EXP(-LN(2)/2))/(LN(2)/2)*ER184*EU184*VLOOKUP('Données projet'!$B$15,Paramètres!$A$1:$I$89,3,0)*0.475*44/12</f>
        <v>2.9060571893141182E-14</v>
      </c>
      <c r="EY184" s="22">
        <f t="shared" si="181"/>
        <v>48.887760893118056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5.1431925385259088E-14</v>
      </c>
      <c r="P185" s="13">
        <f t="shared" si="141"/>
        <v>8.3482866290946129E-13</v>
      </c>
      <c r="Q185" s="20">
        <f t="shared" si="162"/>
        <v>1.5435705246133045E-12</v>
      </c>
      <c r="R185" s="59">
        <f t="shared" si="109"/>
        <v>289.54032746824595</v>
      </c>
      <c r="S185" s="59">
        <f ca="1">AVERAGE(OFFSET($R$3,0,0,'Données projet'!$E$9+1,1))-AVERAGE(OFFSET($H$3,0,0,'Données projet'!$E$9+1,1))</f>
        <v>484.04602944257209</v>
      </c>
      <c r="T185" s="59">
        <f t="shared" si="142"/>
        <v>297.32483725004124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51.065229625923642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51.065229625923642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-5.1786628318950535E-13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493.74122500490859</v>
      </c>
      <c r="AO185" s="59">
        <f t="shared" si="144"/>
        <v>299.43985151679692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45.857695924331793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45.857695924331793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364.64276939439014</v>
      </c>
      <c r="BJ185" s="59">
        <f t="shared" si="146"/>
        <v>341.7578598026638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17.566597372805006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17.566597372805006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3.4106051316484809E-13</v>
      </c>
      <c r="BZ185" s="13">
        <f>BY185*VLOOKUP('Données projet'!$B$12,Paramètres!$A$1:$I$89,3,0)*VLOOKUP('Données projet'!$B$12,Paramètres!$A$1:$I$89,5,0)</f>
        <v>2.0395418687257919E-13</v>
      </c>
      <c r="CA185" s="13">
        <f t="shared" si="170"/>
        <v>2.8200388570161721E-12</v>
      </c>
      <c r="CB185" s="20">
        <f t="shared" si="171"/>
        <v>5.2667878847729083E-12</v>
      </c>
      <c r="CC185" s="59">
        <f t="shared" si="119"/>
        <v>289.5403274682497</v>
      </c>
      <c r="CD185" s="59">
        <f ca="1">AVERAGE(OFFSET($CC$3,0,0,'Données projet'!$E$12+1,1))-AVERAGE(OFFSET($H$3,0,0,'Données projet'!$E$12+1,1))</f>
        <v>435.81281313761326</v>
      </c>
      <c r="CE185" s="59">
        <f t="shared" si="148"/>
        <v>460.93390058676493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22.966861207640118</v>
      </c>
      <c r="CL185" s="21">
        <f>EXP(-LN(2)/25)*CL184+(1-EXP(-LN(2)/25))/(LN(2)/25)*Calculateur!CG185*Calculateur!CI185*VLOOKUP('Données projet'!$B$12,Paramètres!$A$1:$I$89,3,0)*0.475*44/12</f>
        <v>2.0257677692415523</v>
      </c>
      <c r="CM185" s="21">
        <f>EXP(-LN(2)/2)*CM184+(1-EXP(-LN(2)/2))/(LN(2)/2)*CG185*CJ185*VLOOKUP('Données projet'!$B$12,Paramètres!$A$1:$I$89,3,0)*0.475*44/12</f>
        <v>9.5756013948571394E-17</v>
      </c>
      <c r="CN185" s="22">
        <f t="shared" si="172"/>
        <v>24.992628976881669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379.16472924112111</v>
      </c>
      <c r="CZ185" s="59">
        <f t="shared" si="150"/>
        <v>273.18950868898253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31.698781341171021</v>
      </c>
      <c r="DG185" s="21">
        <f>EXP(-LN(2)/25)*DG184+(1-EXP(-LN(2)/25))/(LN(2)/25)*Calculateur!DB185*Calculateur!DD185*VLOOKUP('Données projet'!$B$13,Paramètres!$A$1:$I$89,3,0)*0.475*44/12</f>
        <v>2.7384663266074325</v>
      </c>
      <c r="DH185" s="21">
        <f>EXP(-LN(2)/2)*DH184+(1-EXP(-LN(2)/2))/(LN(2)/2)*DB185*DE185*VLOOKUP('Données projet'!$B$13,Paramètres!$A$1:$I$89,3,0)*0.475*44/12</f>
        <v>4.3470740501486126E-13</v>
      </c>
      <c r="DI185" s="22">
        <f t="shared" si="175"/>
        <v>34.437247667778884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6.8212102632969618E-13</v>
      </c>
      <c r="DP185" s="17">
        <f>DO185*VLOOKUP('Données projet'!$B$14,Paramètres!$A$1:$I$89,3,0)*VLOOKUP('Données projet'!$B$14,Paramètres!$A$1:$I$89,5,0)</f>
        <v>2.7489477361086753E-13</v>
      </c>
      <c r="DQ185" s="13">
        <f t="shared" si="176"/>
        <v>3.6711283554998768E-12</v>
      </c>
      <c r="DR185" s="20">
        <f t="shared" si="177"/>
        <v>6.8726569498678791E-12</v>
      </c>
      <c r="DS185" s="59">
        <f t="shared" si="125"/>
        <v>289.54032746825129</v>
      </c>
      <c r="DT185" s="59">
        <f ca="1">AVERAGE(OFFSET($DS$3,0,0,'Données projet'!$E$14+1,1))-AVERAGE(OFFSET($H$3,0,0,'Données projet'!$E$14+1,1))</f>
        <v>419.35339339286082</v>
      </c>
      <c r="DU185" s="59">
        <f t="shared" si="152"/>
        <v>359.03308141414709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35.322507921988752</v>
      </c>
      <c r="EB185" s="21">
        <f>EXP(-LN(2)/25)*EB184+(1-EXP(-LN(2)/25))/(LN(2)/25)*Calculateur!DW185*Calculateur!DY185*VLOOKUP('Données projet'!$B$14,Paramètres!$A$1:$I$89,3,0)*0.475*44/12</f>
        <v>2.7575716682765425</v>
      </c>
      <c r="EC185" s="21">
        <f>EXP(-LN(2)/2)*EC184+(1-EXP(-LN(2)/2))/(LN(2)/2)*DW185*DZ185*VLOOKUP('Données projet'!$B$14,Paramètres!$A$1:$I$89,3,0)*0.475*44/12</f>
        <v>1.5505699239849393E-14</v>
      </c>
      <c r="ED185" s="22">
        <f t="shared" si="178"/>
        <v>38.080079590265306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2.2737367544323206E-13</v>
      </c>
      <c r="EK185" s="17">
        <f>EJ185*VLOOKUP('Données projet'!$B$15,Paramètres!$A$1:$I$89,3,0)*VLOOKUP('Données projet'!$B$15,Paramètres!$A$1:$I$89,5,0)</f>
        <v>1.0049916454590858E-13</v>
      </c>
      <c r="EL185" s="13">
        <f t="shared" si="179"/>
        <v>1.5089081593838289E-12</v>
      </c>
      <c r="EM185" s="20">
        <f t="shared" si="180"/>
        <v>2.8030510891776262E-12</v>
      </c>
      <c r="EN185" s="59">
        <f t="shared" si="128"/>
        <v>289.5403274682472</v>
      </c>
      <c r="EO185" s="59">
        <f ca="1">AVERAGE(OFFSET($EN$3,0,0,'Données projet'!$E$15+1,1))-AVERAGE(OFFSET($H$3,0,0,'Données projet'!$E$15+1,1))</f>
        <v>561.50881628354409</v>
      </c>
      <c r="EP185" s="59">
        <f t="shared" si="154"/>
        <v>468.67708352238458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44.323174461957883</v>
      </c>
      <c r="EW185" s="21">
        <f>EXP(-LN(2)/25)*EW184+(1-EXP(-LN(2)/25))/(LN(2)/25)*Calculateur!ER185*Calculateur!ET185*VLOOKUP('Données projet'!$B$15,Paramètres!$A$1:$I$89,3,0)*0.475*44/12</f>
        <v>3.5774750926434193</v>
      </c>
      <c r="EX185" s="21">
        <f>EXP(-LN(2)/2)*EX184+(1-EXP(-LN(2)/2))/(LN(2)/2)*ER185*EU185*VLOOKUP('Données projet'!$B$15,Paramètres!$A$1:$I$89,3,0)*0.475*44/12</f>
        <v>2.0548927450799315E-14</v>
      </c>
      <c r="EY185" s="22">
        <f t="shared" si="181"/>
        <v>47.900649554601323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5.1431925385259088E-14</v>
      </c>
      <c r="P186" s="13">
        <f t="shared" si="141"/>
        <v>8.3482866290946129E-13</v>
      </c>
      <c r="Q186" s="20">
        <f t="shared" si="162"/>
        <v>1.5435705246133045E-12</v>
      </c>
      <c r="R186" s="59">
        <f t="shared" si="109"/>
        <v>289.60612764011449</v>
      </c>
      <c r="S186" s="59">
        <f ca="1">AVERAGE(OFFSET($R$3,0,0,'Données projet'!$E$9+1,1))-AVERAGE(OFFSET($H$3,0,0,'Données projet'!$E$9+1,1))</f>
        <v>484.04602944257209</v>
      </c>
      <c r="T186" s="59">
        <f t="shared" si="142"/>
        <v>297.32483725004124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50.063871619673868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50.063871619673868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-5.1786628318950535E-13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493.74122500490859</v>
      </c>
      <c r="AO186" s="59">
        <f t="shared" si="144"/>
        <v>299.43985151679692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44.958454477688306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44.958454477688306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364.64276939439014</v>
      </c>
      <c r="BJ186" s="59">
        <f t="shared" si="146"/>
        <v>341.7578598026638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17.222127112890721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17.222127112890721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3.4106051316484809E-13</v>
      </c>
      <c r="BZ186" s="13">
        <f>BY186*VLOOKUP('Données projet'!$B$12,Paramètres!$A$1:$I$89,3,0)*VLOOKUP('Données projet'!$B$12,Paramètres!$A$1:$I$89,5,0)</f>
        <v>2.0395418687257919E-13</v>
      </c>
      <c r="CA186" s="13">
        <f t="shared" si="170"/>
        <v>2.8200388570161721E-12</v>
      </c>
      <c r="CB186" s="20">
        <f t="shared" si="171"/>
        <v>5.2667878847729083E-12</v>
      </c>
      <c r="CC186" s="59">
        <f t="shared" si="119"/>
        <v>289.60612764011825</v>
      </c>
      <c r="CD186" s="59">
        <f ca="1">AVERAGE(OFFSET($CC$3,0,0,'Données projet'!$E$12+1,1))-AVERAGE(OFFSET($H$3,0,0,'Données projet'!$E$12+1,1))</f>
        <v>435.81281313761326</v>
      </c>
      <c r="CE186" s="59">
        <f t="shared" si="148"/>
        <v>460.93390058676493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22.516495067760417</v>
      </c>
      <c r="CL186" s="21">
        <f>EXP(-LN(2)/25)*CL185+(1-EXP(-LN(2)/25))/(LN(2)/25)*Calculateur!CG186*Calculateur!CI186*VLOOKUP('Données projet'!$B$12,Paramètres!$A$1:$I$89,3,0)*0.475*44/12</f>
        <v>1.970373043061145</v>
      </c>
      <c r="CM186" s="21">
        <f>EXP(-LN(2)/2)*CM185+(1-EXP(-LN(2)/2))/(LN(2)/2)*CG186*CJ186*VLOOKUP('Données projet'!$B$12,Paramètres!$A$1:$I$89,3,0)*0.475*44/12</f>
        <v>6.7709726802428465E-17</v>
      </c>
      <c r="CN186" s="22">
        <f t="shared" si="172"/>
        <v>24.486868110821561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379.16472924112111</v>
      </c>
      <c r="CZ186" s="59">
        <f t="shared" si="150"/>
        <v>273.18950868898253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31.077187573418168</v>
      </c>
      <c r="DG186" s="21">
        <f>EXP(-LN(2)/25)*DG185+(1-EXP(-LN(2)/25))/(LN(2)/25)*Calculateur!DB186*Calculateur!DD186*VLOOKUP('Données projet'!$B$13,Paramètres!$A$1:$I$89,3,0)*0.475*44/12</f>
        <v>2.663582820896667</v>
      </c>
      <c r="DH186" s="21">
        <f>EXP(-LN(2)/2)*DH185+(1-EXP(-LN(2)/2))/(LN(2)/2)*DB186*DE186*VLOOKUP('Données projet'!$B$13,Paramètres!$A$1:$I$89,3,0)*0.475*44/12</f>
        <v>3.0738455391801539E-13</v>
      </c>
      <c r="DI186" s="22">
        <f t="shared" si="175"/>
        <v>33.740770394315142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6.8212102632969618E-13</v>
      </c>
      <c r="DP186" s="17">
        <f>DO186*VLOOKUP('Données projet'!$B$14,Paramètres!$A$1:$I$89,3,0)*VLOOKUP('Données projet'!$B$14,Paramètres!$A$1:$I$89,5,0)</f>
        <v>2.7489477361086753E-13</v>
      </c>
      <c r="DQ186" s="13">
        <f t="shared" si="176"/>
        <v>3.6711283554998768E-12</v>
      </c>
      <c r="DR186" s="20">
        <f t="shared" si="177"/>
        <v>6.8726569498678791E-12</v>
      </c>
      <c r="DS186" s="59">
        <f t="shared" si="125"/>
        <v>289.60612764011984</v>
      </c>
      <c r="DT186" s="59">
        <f ca="1">AVERAGE(OFFSET($DS$3,0,0,'Données projet'!$E$14+1,1))-AVERAGE(OFFSET($H$3,0,0,'Données projet'!$E$14+1,1))</f>
        <v>419.35339339286082</v>
      </c>
      <c r="DU186" s="59">
        <f t="shared" si="152"/>
        <v>359.03308141414709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34.629855086241029</v>
      </c>
      <c r="EB186" s="21">
        <f>EXP(-LN(2)/25)*EB185+(1-EXP(-LN(2)/25))/(LN(2)/25)*Calculateur!DW186*Calculateur!DY186*VLOOKUP('Données projet'!$B$14,Paramètres!$A$1:$I$89,3,0)*0.475*44/12</f>
        <v>2.6821657259931291</v>
      </c>
      <c r="EC186" s="21">
        <f>EXP(-LN(2)/2)*EC185+(1-EXP(-LN(2)/2))/(LN(2)/2)*DW186*DZ186*VLOOKUP('Données projet'!$B$14,Paramètres!$A$1:$I$89,3,0)*0.475*44/12</f>
        <v>1.0964185079536601E-14</v>
      </c>
      <c r="ED186" s="22">
        <f t="shared" si="178"/>
        <v>37.312020812234174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2.2737367544323206E-13</v>
      </c>
      <c r="EK186" s="17">
        <f>EJ186*VLOOKUP('Données projet'!$B$15,Paramètres!$A$1:$I$89,3,0)*VLOOKUP('Données projet'!$B$15,Paramètres!$A$1:$I$89,5,0)</f>
        <v>1.0049916454590858E-13</v>
      </c>
      <c r="EL186" s="13">
        <f t="shared" si="179"/>
        <v>1.5089081593838289E-12</v>
      </c>
      <c r="EM186" s="20">
        <f t="shared" si="180"/>
        <v>2.8030510891776262E-12</v>
      </c>
      <c r="EN186" s="59">
        <f t="shared" si="128"/>
        <v>289.60612764011574</v>
      </c>
      <c r="EO186" s="59">
        <f ca="1">AVERAGE(OFFSET($EN$3,0,0,'Données projet'!$E$15+1,1))-AVERAGE(OFFSET($H$3,0,0,'Données projet'!$E$15+1,1))</f>
        <v>561.50881628354409</v>
      </c>
      <c r="EP186" s="59">
        <f t="shared" si="154"/>
        <v>468.67708352238458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43.454024045225879</v>
      </c>
      <c r="EW186" s="21">
        <f>EXP(-LN(2)/25)*EW185+(1-EXP(-LN(2)/25))/(LN(2)/25)*Calculateur!ER186*Calculateur!ET186*VLOOKUP('Données projet'!$B$15,Paramètres!$A$1:$I$89,3,0)*0.475*44/12</f>
        <v>3.4796488481038463</v>
      </c>
      <c r="EX186" s="21">
        <f>EXP(-LN(2)/2)*EX185+(1-EXP(-LN(2)/2))/(LN(2)/2)*ER186*EU186*VLOOKUP('Données projet'!$B$15,Paramètres!$A$1:$I$89,3,0)*0.475*44/12</f>
        <v>1.4530285946570591E-14</v>
      </c>
      <c r="EY186" s="22">
        <f t="shared" si="181"/>
        <v>46.933672893329742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5.1431925385259088E-14</v>
      </c>
      <c r="P187" s="13">
        <f t="shared" si="141"/>
        <v>8.3482866290946129E-13</v>
      </c>
      <c r="Q187" s="20">
        <f t="shared" si="162"/>
        <v>1.5435705246133045E-12</v>
      </c>
      <c r="R187" s="59">
        <f t="shared" si="109"/>
        <v>289.67078632610827</v>
      </c>
      <c r="S187" s="59">
        <f ca="1">AVERAGE(OFFSET($R$3,0,0,'Données projet'!$E$9+1,1))-AVERAGE(OFFSET($H$3,0,0,'Données projet'!$E$9+1,1))</f>
        <v>484.04602944257209</v>
      </c>
      <c r="T187" s="59">
        <f t="shared" si="142"/>
        <v>297.32483725004124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49.082149633158579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49.082149633158579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-5.1786628318950535E-13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493.74122500490859</v>
      </c>
      <c r="AO187" s="59">
        <f t="shared" si="144"/>
        <v>299.43985151679692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44.076846607330374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44.076846607330374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364.64276939439014</v>
      </c>
      <c r="BJ187" s="59">
        <f t="shared" si="146"/>
        <v>341.7578598026638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16.884411704667244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16.884411704667244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3.4106051316484809E-13</v>
      </c>
      <c r="BZ187" s="13">
        <f>BY187*VLOOKUP('Données projet'!$B$12,Paramètres!$A$1:$I$89,3,0)*VLOOKUP('Données projet'!$B$12,Paramètres!$A$1:$I$89,5,0)</f>
        <v>2.0395418687257919E-13</v>
      </c>
      <c r="CA187" s="13">
        <f t="shared" si="170"/>
        <v>2.8200388570161721E-12</v>
      </c>
      <c r="CB187" s="20">
        <f t="shared" si="171"/>
        <v>5.2667878847729083E-12</v>
      </c>
      <c r="CC187" s="59">
        <f t="shared" si="119"/>
        <v>289.67078632611202</v>
      </c>
      <c r="CD187" s="59">
        <f ca="1">AVERAGE(OFFSET($CC$3,0,0,'Données projet'!$E$12+1,1))-AVERAGE(OFFSET($H$3,0,0,'Données projet'!$E$12+1,1))</f>
        <v>435.81281313761326</v>
      </c>
      <c r="CE187" s="59">
        <f t="shared" si="148"/>
        <v>460.93390058676493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22.074960333187537</v>
      </c>
      <c r="CL187" s="21">
        <f>EXP(-LN(2)/25)*CL186+(1-EXP(-LN(2)/25))/(LN(2)/25)*Calculateur!CG187*Calculateur!CI187*VLOOKUP('Données projet'!$B$12,Paramètres!$A$1:$I$89,3,0)*0.475*44/12</f>
        <v>1.916493088581223</v>
      </c>
      <c r="CM187" s="21">
        <f>EXP(-LN(2)/2)*CM186+(1-EXP(-LN(2)/2))/(LN(2)/2)*CG187*CJ187*VLOOKUP('Données projet'!$B$12,Paramètres!$A$1:$I$89,3,0)*0.475*44/12</f>
        <v>4.7878006974285697E-17</v>
      </c>
      <c r="CN187" s="22">
        <f t="shared" si="172"/>
        <v>23.99145342176876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379.16472924112111</v>
      </c>
      <c r="CZ187" s="59">
        <f t="shared" si="150"/>
        <v>273.18950868898253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30.467782880316186</v>
      </c>
      <c r="DG187" s="21">
        <f>EXP(-LN(2)/25)*DG186+(1-EXP(-LN(2)/25))/(LN(2)/25)*Calculateur!DB187*Calculateur!DD187*VLOOKUP('Données projet'!$B$13,Paramètres!$A$1:$I$89,3,0)*0.475*44/12</f>
        <v>2.5907470085875146</v>
      </c>
      <c r="DH187" s="21">
        <f>EXP(-LN(2)/2)*DH186+(1-EXP(-LN(2)/2))/(LN(2)/2)*DB187*DE187*VLOOKUP('Données projet'!$B$13,Paramètres!$A$1:$I$89,3,0)*0.475*44/12</f>
        <v>2.1735370250743063E-13</v>
      </c>
      <c r="DI187" s="22">
        <f t="shared" si="175"/>
        <v>33.058529888903919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6.8212102632969618E-13</v>
      </c>
      <c r="DP187" s="17">
        <f>DO187*VLOOKUP('Données projet'!$B$14,Paramètres!$A$1:$I$89,3,0)*VLOOKUP('Données projet'!$B$14,Paramètres!$A$1:$I$89,5,0)</f>
        <v>2.7489477361086753E-13</v>
      </c>
      <c r="DQ187" s="13">
        <f t="shared" si="176"/>
        <v>3.6711283554998768E-12</v>
      </c>
      <c r="DR187" s="20">
        <f t="shared" si="177"/>
        <v>6.8726569498678791E-12</v>
      </c>
      <c r="DS187" s="59">
        <f t="shared" si="125"/>
        <v>289.67078632611361</v>
      </c>
      <c r="DT187" s="59">
        <f ca="1">AVERAGE(OFFSET($DS$3,0,0,'Données projet'!$E$14+1,1))-AVERAGE(OFFSET($H$3,0,0,'Données projet'!$E$14+1,1))</f>
        <v>419.35339339286082</v>
      </c>
      <c r="DU187" s="59">
        <f t="shared" si="152"/>
        <v>359.03308141414709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33.950784750125806</v>
      </c>
      <c r="EB187" s="21">
        <f>EXP(-LN(2)/25)*EB186+(1-EXP(-LN(2)/25))/(LN(2)/25)*Calculateur!DW187*Calculateur!DY187*VLOOKUP('Données projet'!$B$14,Paramètres!$A$1:$I$89,3,0)*0.475*44/12</f>
        <v>2.6088217631668815</v>
      </c>
      <c r="EC187" s="21">
        <f>EXP(-LN(2)/2)*EC186+(1-EXP(-LN(2)/2))/(LN(2)/2)*DW187*DZ187*VLOOKUP('Données projet'!$B$14,Paramètres!$A$1:$I$89,3,0)*0.475*44/12</f>
        <v>7.7528496199246967E-15</v>
      </c>
      <c r="ED187" s="22">
        <f t="shared" si="178"/>
        <v>36.559606513292692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2.2737367544323206E-13</v>
      </c>
      <c r="EK187" s="17">
        <f>EJ187*VLOOKUP('Données projet'!$B$15,Paramètres!$A$1:$I$89,3,0)*VLOOKUP('Données projet'!$B$15,Paramètres!$A$1:$I$89,5,0)</f>
        <v>1.0049916454590858E-13</v>
      </c>
      <c r="EL187" s="13">
        <f t="shared" si="179"/>
        <v>1.5089081593838289E-12</v>
      </c>
      <c r="EM187" s="20">
        <f t="shared" si="180"/>
        <v>2.8030510891776262E-12</v>
      </c>
      <c r="EN187" s="59">
        <f t="shared" si="128"/>
        <v>289.67078632610952</v>
      </c>
      <c r="EO187" s="59">
        <f ca="1">AVERAGE(OFFSET($EN$3,0,0,'Données projet'!$E$15+1,1))-AVERAGE(OFFSET($H$3,0,0,'Données projet'!$E$15+1,1))</f>
        <v>561.50881628354409</v>
      </c>
      <c r="EP187" s="59">
        <f t="shared" si="154"/>
        <v>468.67708352238458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42.601917138036583</v>
      </c>
      <c r="EW187" s="21">
        <f>EXP(-LN(2)/25)*EW186+(1-EXP(-LN(2)/25))/(LN(2)/25)*Calculateur!ER187*Calculateur!ET187*VLOOKUP('Données projet'!$B$15,Paramètres!$A$1:$I$89,3,0)*0.475*44/12</f>
        <v>3.3844976673656664</v>
      </c>
      <c r="EX187" s="21">
        <f>EXP(-LN(2)/2)*EX186+(1-EXP(-LN(2)/2))/(LN(2)/2)*ER187*EU187*VLOOKUP('Données projet'!$B$15,Paramètres!$A$1:$I$89,3,0)*0.475*44/12</f>
        <v>1.0274463725399658E-14</v>
      </c>
      <c r="EY187" s="22">
        <f t="shared" si="181"/>
        <v>45.986414805402255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5.1431925385259088E-14</v>
      </c>
      <c r="P188" s="13">
        <f t="shared" si="141"/>
        <v>8.3482866290946129E-13</v>
      </c>
      <c r="Q188" s="20">
        <f t="shared" si="162"/>
        <v>1.5435705246133045E-12</v>
      </c>
      <c r="R188" s="59">
        <f t="shared" si="109"/>
        <v>289.73432332845528</v>
      </c>
      <c r="S188" s="59">
        <f ca="1">AVERAGE(OFFSET($R$3,0,0,'Données projet'!$E$9+1,1))-AVERAGE(OFFSET($H$3,0,0,'Données projet'!$E$9+1,1))</f>
        <v>484.04602944257209</v>
      </c>
      <c r="T188" s="59">
        <f t="shared" si="142"/>
        <v>297.32483725004124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48.119678616007569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48.119678616007569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-5.1786628318950535E-13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493.74122500490859</v>
      </c>
      <c r="AO188" s="59">
        <f t="shared" si="144"/>
        <v>299.43985151679692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43.212526529582462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43.212526529582462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364.64276939439014</v>
      </c>
      <c r="BJ188" s="59">
        <f t="shared" si="146"/>
        <v>341.7578598026638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16.553318689612968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16.553318689612968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3.4106051316484809E-13</v>
      </c>
      <c r="BZ188" s="13">
        <f>BY188*VLOOKUP('Données projet'!$B$12,Paramètres!$A$1:$I$89,3,0)*VLOOKUP('Données projet'!$B$12,Paramètres!$A$1:$I$89,5,0)</f>
        <v>2.0395418687257919E-13</v>
      </c>
      <c r="CA188" s="13">
        <f t="shared" si="170"/>
        <v>2.8200388570161721E-12</v>
      </c>
      <c r="CB188" s="20">
        <f t="shared" si="171"/>
        <v>5.2667878847729083E-12</v>
      </c>
      <c r="CC188" s="59">
        <f t="shared" si="119"/>
        <v>289.73432332845903</v>
      </c>
      <c r="CD188" s="59">
        <f ca="1">AVERAGE(OFFSET($CC$3,0,0,'Données projet'!$E$12+1,1))-AVERAGE(OFFSET($H$3,0,0,'Données projet'!$E$12+1,1))</f>
        <v>435.81281313761326</v>
      </c>
      <c r="CE188" s="59">
        <f t="shared" si="148"/>
        <v>460.93390058676493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21.642083825450033</v>
      </c>
      <c r="CL188" s="21">
        <f>EXP(-LN(2)/25)*CL187+(1-EXP(-LN(2)/25))/(LN(2)/25)*Calculateur!CG188*Calculateur!CI188*VLOOKUP('Données projet'!$B$12,Paramètres!$A$1:$I$89,3,0)*0.475*44/12</f>
        <v>1.8640864842899783</v>
      </c>
      <c r="CM188" s="21">
        <f>EXP(-LN(2)/2)*CM187+(1-EXP(-LN(2)/2))/(LN(2)/2)*CG188*CJ188*VLOOKUP('Données projet'!$B$12,Paramètres!$A$1:$I$89,3,0)*0.475*44/12</f>
        <v>3.3854863401214232E-17</v>
      </c>
      <c r="CN188" s="22">
        <f t="shared" si="172"/>
        <v>23.506170309740011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379.16472924112111</v>
      </c>
      <c r="CZ188" s="59">
        <f t="shared" si="150"/>
        <v>273.18950868898253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29.870328241545774</v>
      </c>
      <c r="DG188" s="21">
        <f>EXP(-LN(2)/25)*DG187+(1-EXP(-LN(2)/25))/(LN(2)/25)*Calculateur!DB188*Calculateur!DD188*VLOOKUP('Données projet'!$B$13,Paramètres!$A$1:$I$89,3,0)*0.475*44/12</f>
        <v>2.5199028953962253</v>
      </c>
      <c r="DH188" s="21">
        <f>EXP(-LN(2)/2)*DH187+(1-EXP(-LN(2)/2))/(LN(2)/2)*DB188*DE188*VLOOKUP('Données projet'!$B$13,Paramètres!$A$1:$I$89,3,0)*0.475*44/12</f>
        <v>1.5369227695900769E-13</v>
      </c>
      <c r="DI188" s="22">
        <f t="shared" si="175"/>
        <v>32.390231136942155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6.8212102632969618E-13</v>
      </c>
      <c r="DP188" s="17">
        <f>DO188*VLOOKUP('Données projet'!$B$14,Paramètres!$A$1:$I$89,3,0)*VLOOKUP('Données projet'!$B$14,Paramètres!$A$1:$I$89,5,0)</f>
        <v>2.7489477361086753E-13</v>
      </c>
      <c r="DQ188" s="13">
        <f t="shared" si="176"/>
        <v>3.6711283554998768E-12</v>
      </c>
      <c r="DR188" s="20">
        <f t="shared" si="177"/>
        <v>6.8726569498678791E-12</v>
      </c>
      <c r="DS188" s="59">
        <f t="shared" si="125"/>
        <v>289.73432332846062</v>
      </c>
      <c r="DT188" s="59">
        <f ca="1">AVERAGE(OFFSET($DS$3,0,0,'Données projet'!$E$14+1,1))-AVERAGE(OFFSET($H$3,0,0,'Données projet'!$E$14+1,1))</f>
        <v>419.35339339286082</v>
      </c>
      <c r="DU188" s="59">
        <f t="shared" si="152"/>
        <v>359.03308141414709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33.2850305691098</v>
      </c>
      <c r="EB188" s="21">
        <f>EXP(-LN(2)/25)*EB187+(1-EXP(-LN(2)/25))/(LN(2)/25)*Calculateur!DW188*Calculateur!DY188*VLOOKUP('Données projet'!$B$14,Paramètres!$A$1:$I$89,3,0)*0.475*44/12</f>
        <v>2.5374833948611091</v>
      </c>
      <c r="EC188" s="21">
        <f>EXP(-LN(2)/2)*EC187+(1-EXP(-LN(2)/2))/(LN(2)/2)*DW188*DZ188*VLOOKUP('Données projet'!$B$14,Paramètres!$A$1:$I$89,3,0)*0.475*44/12</f>
        <v>5.4820925397683007E-15</v>
      </c>
      <c r="ED188" s="22">
        <f t="shared" si="178"/>
        <v>35.822513963970913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2.2737367544323206E-13</v>
      </c>
      <c r="EK188" s="17">
        <f>EJ188*VLOOKUP('Données projet'!$B$15,Paramètres!$A$1:$I$89,3,0)*VLOOKUP('Données projet'!$B$15,Paramètres!$A$1:$I$89,5,0)</f>
        <v>1.0049916454590858E-13</v>
      </c>
      <c r="EL188" s="13">
        <f t="shared" si="179"/>
        <v>1.5089081593838289E-12</v>
      </c>
      <c r="EM188" s="20">
        <f t="shared" si="180"/>
        <v>2.8030510891776262E-12</v>
      </c>
      <c r="EN188" s="59">
        <f t="shared" si="128"/>
        <v>289.73432332845653</v>
      </c>
      <c r="EO188" s="59">
        <f ca="1">AVERAGE(OFFSET($EN$3,0,0,'Données projet'!$E$15+1,1))-AVERAGE(OFFSET($H$3,0,0,'Données projet'!$E$15+1,1))</f>
        <v>561.50881628354409</v>
      </c>
      <c r="EP188" s="59">
        <f t="shared" si="154"/>
        <v>468.67708352238458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41.766519527563375</v>
      </c>
      <c r="EW188" s="21">
        <f>EXP(-LN(2)/25)*EW187+(1-EXP(-LN(2)/25))/(LN(2)/25)*Calculateur!ER188*Calculateur!ET188*VLOOKUP('Données projet'!$B$15,Paramètres!$A$1:$I$89,3,0)*0.475*44/12</f>
        <v>3.2919484006685553</v>
      </c>
      <c r="EX188" s="21">
        <f>EXP(-LN(2)/2)*EX187+(1-EXP(-LN(2)/2))/(LN(2)/2)*ER188*EU188*VLOOKUP('Données projet'!$B$15,Paramètres!$A$1:$I$89,3,0)*0.475*44/12</f>
        <v>7.2651429732852955E-15</v>
      </c>
      <c r="EY188" s="22">
        <f t="shared" si="181"/>
        <v>45.058467928231934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5.1431925385259088E-14</v>
      </c>
      <c r="P189" s="13">
        <f t="shared" si="141"/>
        <v>8.3482866290946129E-13</v>
      </c>
      <c r="Q189" s="20">
        <f t="shared" si="162"/>
        <v>1.5435705246133045E-12</v>
      </c>
      <c r="R189" s="59">
        <f t="shared" si="109"/>
        <v>289.79675810585894</v>
      </c>
      <c r="S189" s="59">
        <f ca="1">AVERAGE(OFFSET($R$3,0,0,'Données projet'!$E$9+1,1))-AVERAGE(OFFSET($H$3,0,0,'Données projet'!$E$9+1,1))</f>
        <v>484.04602944257209</v>
      </c>
      <c r="T189" s="59">
        <f t="shared" si="142"/>
        <v>297.32483725004124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47.176081068453534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47.176081068453534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-5.1786628318950535E-13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493.74122500490859</v>
      </c>
      <c r="AO189" s="59">
        <f t="shared" si="144"/>
        <v>299.43985151679692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42.365155241375994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42.365155241375994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364.64276939439014</v>
      </c>
      <c r="BJ189" s="59">
        <f t="shared" si="146"/>
        <v>341.7578598026638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16.228718206637108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16.228718206637108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3.4106051316484809E-13</v>
      </c>
      <c r="BZ189" s="13">
        <f>BY189*VLOOKUP('Données projet'!$B$12,Paramètres!$A$1:$I$89,3,0)*VLOOKUP('Données projet'!$B$12,Paramètres!$A$1:$I$89,5,0)</f>
        <v>2.0395418687257919E-13</v>
      </c>
      <c r="CA189" s="13">
        <f t="shared" si="170"/>
        <v>2.8200388570161721E-12</v>
      </c>
      <c r="CB189" s="20">
        <f t="shared" si="171"/>
        <v>5.2667878847729083E-12</v>
      </c>
      <c r="CC189" s="59">
        <f t="shared" si="119"/>
        <v>289.79675810586269</v>
      </c>
      <c r="CD189" s="59">
        <f ca="1">AVERAGE(OFFSET($CC$3,0,0,'Données projet'!$E$12+1,1))-AVERAGE(OFFSET($H$3,0,0,'Données projet'!$E$12+1,1))</f>
        <v>435.81281313761326</v>
      </c>
      <c r="CE189" s="59">
        <f t="shared" si="148"/>
        <v>460.93390058676493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21.217695762000663</v>
      </c>
      <c r="CL189" s="21">
        <f>EXP(-LN(2)/25)*CL188+(1-EXP(-LN(2)/25))/(LN(2)/25)*Calculateur!CG189*Calculateur!CI189*VLOOKUP('Données projet'!$B$12,Paramètres!$A$1:$I$89,3,0)*0.475*44/12</f>
        <v>1.813112941349021</v>
      </c>
      <c r="CM189" s="21">
        <f>EXP(-LN(2)/2)*CM188+(1-EXP(-LN(2)/2))/(LN(2)/2)*CG189*CJ189*VLOOKUP('Données projet'!$B$12,Paramètres!$A$1:$I$89,3,0)*0.475*44/12</f>
        <v>2.3939003487142848E-17</v>
      </c>
      <c r="CN189" s="22">
        <f t="shared" si="172"/>
        <v>23.030808703349685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379.16472924112111</v>
      </c>
      <c r="CZ189" s="59">
        <f t="shared" si="150"/>
        <v>273.18950868898253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29.284589323830303</v>
      </c>
      <c r="DG189" s="21">
        <f>EXP(-LN(2)/25)*DG188+(1-EXP(-LN(2)/25))/(LN(2)/25)*Calculateur!DB189*Calculateur!DD189*VLOOKUP('Données projet'!$B$13,Paramètres!$A$1:$I$89,3,0)*0.475*44/12</f>
        <v>2.4509960182056814</v>
      </c>
      <c r="DH189" s="21">
        <f>EXP(-LN(2)/2)*DH188+(1-EXP(-LN(2)/2))/(LN(2)/2)*DB189*DE189*VLOOKUP('Données projet'!$B$13,Paramètres!$A$1:$I$89,3,0)*0.475*44/12</f>
        <v>1.0867685125371531E-13</v>
      </c>
      <c r="DI189" s="22">
        <f t="shared" si="175"/>
        <v>31.735585342036096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6.8212102632969618E-13</v>
      </c>
      <c r="DP189" s="17">
        <f>DO189*VLOOKUP('Données projet'!$B$14,Paramètres!$A$1:$I$89,3,0)*VLOOKUP('Données projet'!$B$14,Paramètres!$A$1:$I$89,5,0)</f>
        <v>2.7489477361086753E-13</v>
      </c>
      <c r="DQ189" s="13">
        <f t="shared" si="176"/>
        <v>3.6711283554998768E-12</v>
      </c>
      <c r="DR189" s="20">
        <f t="shared" si="177"/>
        <v>6.8726569498678791E-12</v>
      </c>
      <c r="DS189" s="59">
        <f t="shared" si="125"/>
        <v>289.79675810586428</v>
      </c>
      <c r="DT189" s="59">
        <f ca="1">AVERAGE(OFFSET($DS$3,0,0,'Données projet'!$E$14+1,1))-AVERAGE(OFFSET($H$3,0,0,'Données projet'!$E$14+1,1))</f>
        <v>419.35339339286082</v>
      </c>
      <c r="DU189" s="59">
        <f t="shared" si="152"/>
        <v>359.03308141414709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32.632331421513562</v>
      </c>
      <c r="EB189" s="21">
        <f>EXP(-LN(2)/25)*EB188+(1-EXP(-LN(2)/25))/(LN(2)/25)*Calculateur!DW189*Calculateur!DY189*VLOOKUP('Données projet'!$B$14,Paramètres!$A$1:$I$89,3,0)*0.475*44/12</f>
        <v>2.46809577798818</v>
      </c>
      <c r="EC189" s="21">
        <f>EXP(-LN(2)/2)*EC188+(1-EXP(-LN(2)/2))/(LN(2)/2)*DW189*DZ189*VLOOKUP('Données projet'!$B$14,Paramètres!$A$1:$I$89,3,0)*0.475*44/12</f>
        <v>3.8764248099623484E-15</v>
      </c>
      <c r="ED189" s="22">
        <f t="shared" si="178"/>
        <v>35.100427199501752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2.2737367544323206E-13</v>
      </c>
      <c r="EK189" s="17">
        <f>EJ189*VLOOKUP('Données projet'!$B$15,Paramètres!$A$1:$I$89,3,0)*VLOOKUP('Données projet'!$B$15,Paramètres!$A$1:$I$89,5,0)</f>
        <v>1.0049916454590858E-13</v>
      </c>
      <c r="EL189" s="13">
        <f t="shared" si="179"/>
        <v>1.5089081593838289E-12</v>
      </c>
      <c r="EM189" s="20">
        <f t="shared" si="180"/>
        <v>2.8030510891776262E-12</v>
      </c>
      <c r="EN189" s="59">
        <f t="shared" si="128"/>
        <v>289.79675810586019</v>
      </c>
      <c r="EO189" s="59">
        <f ca="1">AVERAGE(OFFSET($EN$3,0,0,'Données projet'!$E$15+1,1))-AVERAGE(OFFSET($H$3,0,0,'Données projet'!$E$15+1,1))</f>
        <v>561.50881628354409</v>
      </c>
      <c r="EP189" s="59">
        <f t="shared" si="154"/>
        <v>468.67708352238458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40.947503554689312</v>
      </c>
      <c r="EW189" s="21">
        <f>EXP(-LN(2)/25)*EW188+(1-EXP(-LN(2)/25))/(LN(2)/25)*Calculateur!ER189*Calculateur!ET189*VLOOKUP('Données projet'!$B$15,Paramètres!$A$1:$I$89,3,0)*0.475*44/12</f>
        <v>3.201929898536231</v>
      </c>
      <c r="EX189" s="21">
        <f>EXP(-LN(2)/2)*EX188+(1-EXP(-LN(2)/2))/(LN(2)/2)*ER189*EU189*VLOOKUP('Données projet'!$B$15,Paramètres!$A$1:$I$89,3,0)*0.475*44/12</f>
        <v>5.1372318626998288E-15</v>
      </c>
      <c r="EY189" s="22">
        <f t="shared" si="181"/>
        <v>44.149433453225548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5.1431925385259088E-14</v>
      </c>
      <c r="P190" s="13">
        <f t="shared" si="141"/>
        <v>8.3482866290946129E-13</v>
      </c>
      <c r="Q190" s="20">
        <f t="shared" si="162"/>
        <v>1.5435705246133045E-12</v>
      </c>
      <c r="R190" s="59">
        <f t="shared" si="109"/>
        <v>289.85810977945795</v>
      </c>
      <c r="S190" s="59">
        <f ca="1">AVERAGE(OFFSET($R$3,0,0,'Données projet'!$E$9+1,1))-AVERAGE(OFFSET($H$3,0,0,'Données projet'!$E$9+1,1))</f>
        <v>484.04602944257209</v>
      </c>
      <c r="T190" s="59">
        <f t="shared" si="142"/>
        <v>297.32483725004124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46.250986893269356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46.250986893269356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-5.1786628318950535E-13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493.74122500490859</v>
      </c>
      <c r="AO190" s="59">
        <f t="shared" si="144"/>
        <v>299.43985151679692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41.5344003872858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41.5344003872858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364.64276939439014</v>
      </c>
      <c r="BJ190" s="59">
        <f t="shared" si="146"/>
        <v>341.7578598026638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15.910482941145661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15.910482941145661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3.4106051316484809E-13</v>
      </c>
      <c r="BZ190" s="13">
        <f>BY190*VLOOKUP('Données projet'!$B$12,Paramètres!$A$1:$I$89,3,0)*VLOOKUP('Données projet'!$B$12,Paramètres!$A$1:$I$89,5,0)</f>
        <v>2.0395418687257919E-13</v>
      </c>
      <c r="CA190" s="13">
        <f t="shared" si="170"/>
        <v>2.8200388570161721E-12</v>
      </c>
      <c r="CB190" s="20">
        <f t="shared" si="171"/>
        <v>5.2667878847729083E-12</v>
      </c>
      <c r="CC190" s="59">
        <f t="shared" si="119"/>
        <v>289.8581097794617</v>
      </c>
      <c r="CD190" s="59">
        <f ca="1">AVERAGE(OFFSET($CC$3,0,0,'Données projet'!$E$12+1,1))-AVERAGE(OFFSET($H$3,0,0,'Données projet'!$E$12+1,1))</f>
        <v>435.81281313761326</v>
      </c>
      <c r="CE190" s="59">
        <f t="shared" si="148"/>
        <v>460.93390058676493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20.801629689624377</v>
      </c>
      <c r="CL190" s="21">
        <f>EXP(-LN(2)/25)*CL189+(1-EXP(-LN(2)/25))/(LN(2)/25)*Calculateur!CG190*Calculateur!CI190*VLOOKUP('Données projet'!$B$12,Paramètres!$A$1:$I$89,3,0)*0.475*44/12</f>
        <v>1.7635332726203663</v>
      </c>
      <c r="CM190" s="21">
        <f>EXP(-LN(2)/2)*CM189+(1-EXP(-LN(2)/2))/(LN(2)/2)*CG190*CJ190*VLOOKUP('Données projet'!$B$12,Paramètres!$A$1:$I$89,3,0)*0.475*44/12</f>
        <v>1.6927431700607116E-17</v>
      </c>
      <c r="CN190" s="22">
        <f t="shared" si="172"/>
        <v>22.565162962244745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379.16472924112111</v>
      </c>
      <c r="CZ190" s="59">
        <f t="shared" si="150"/>
        <v>273.18950868898253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28.71033638902577</v>
      </c>
      <c r="DG190" s="21">
        <f>EXP(-LN(2)/25)*DG189+(1-EXP(-LN(2)/25))/(LN(2)/25)*Calculateur!DB190*Calculateur!DD190*VLOOKUP('Données projet'!$B$13,Paramètres!$A$1:$I$89,3,0)*0.475*44/12</f>
        <v>2.3839734031955682</v>
      </c>
      <c r="DH190" s="21">
        <f>EXP(-LN(2)/2)*DH189+(1-EXP(-LN(2)/2))/(LN(2)/2)*DB190*DE190*VLOOKUP('Données projet'!$B$13,Paramètres!$A$1:$I$89,3,0)*0.475*44/12</f>
        <v>7.6846138479503847E-14</v>
      </c>
      <c r="DI190" s="22">
        <f t="shared" si="175"/>
        <v>31.094309792221416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6.8212102632969618E-13</v>
      </c>
      <c r="DP190" s="17">
        <f>DO190*VLOOKUP('Données projet'!$B$14,Paramètres!$A$1:$I$89,3,0)*VLOOKUP('Données projet'!$B$14,Paramètres!$A$1:$I$89,5,0)</f>
        <v>2.7489477361086753E-13</v>
      </c>
      <c r="DQ190" s="13">
        <f t="shared" si="176"/>
        <v>3.6711283554998768E-12</v>
      </c>
      <c r="DR190" s="20">
        <f t="shared" si="177"/>
        <v>6.8726569498678791E-12</v>
      </c>
      <c r="DS190" s="59">
        <f t="shared" si="125"/>
        <v>289.85810977946329</v>
      </c>
      <c r="DT190" s="59">
        <f ca="1">AVERAGE(OFFSET($DS$3,0,0,'Données projet'!$E$14+1,1))-AVERAGE(OFFSET($H$3,0,0,'Données projet'!$E$14+1,1))</f>
        <v>419.35339339286082</v>
      </c>
      <c r="DU190" s="59">
        <f t="shared" si="152"/>
        <v>359.03308141414709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31.992431306094517</v>
      </c>
      <c r="EB190" s="21">
        <f>EXP(-LN(2)/25)*EB189+(1-EXP(-LN(2)/25))/(LN(2)/25)*Calculateur!DW190*Calculateur!DY190*VLOOKUP('Données projet'!$B$14,Paramètres!$A$1:$I$89,3,0)*0.475*44/12</f>
        <v>2.4006055691475772</v>
      </c>
      <c r="EC190" s="21">
        <f>EXP(-LN(2)/2)*EC189+(1-EXP(-LN(2)/2))/(LN(2)/2)*DW190*DZ190*VLOOKUP('Données projet'!$B$14,Paramètres!$A$1:$I$89,3,0)*0.475*44/12</f>
        <v>2.7410462698841504E-15</v>
      </c>
      <c r="ED190" s="22">
        <f t="shared" si="178"/>
        <v>34.393036875242096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2.2737367544323206E-13</v>
      </c>
      <c r="EK190" s="17">
        <f>EJ190*VLOOKUP('Données projet'!$B$15,Paramètres!$A$1:$I$89,3,0)*VLOOKUP('Données projet'!$B$15,Paramètres!$A$1:$I$89,5,0)</f>
        <v>1.0049916454590858E-13</v>
      </c>
      <c r="EL190" s="13">
        <f t="shared" si="179"/>
        <v>1.5089081593838289E-12</v>
      </c>
      <c r="EM190" s="20">
        <f t="shared" si="180"/>
        <v>2.8030510891776262E-12</v>
      </c>
      <c r="EN190" s="59">
        <f t="shared" si="128"/>
        <v>289.8581097794592</v>
      </c>
      <c r="EO190" s="59">
        <f ca="1">AVERAGE(OFFSET($EN$3,0,0,'Données projet'!$E$15+1,1))-AVERAGE(OFFSET($H$3,0,0,'Données projet'!$E$15+1,1))</f>
        <v>561.50881628354409</v>
      </c>
      <c r="EP190" s="59">
        <f t="shared" si="154"/>
        <v>468.67708352238458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40.144547985492899</v>
      </c>
      <c r="EW190" s="21">
        <f>EXP(-LN(2)/25)*EW189+(1-EXP(-LN(2)/25))/(LN(2)/25)*Calculateur!ER190*Calculateur!ET190*VLOOKUP('Données projet'!$B$15,Paramètres!$A$1:$I$89,3,0)*0.475*44/12</f>
        <v>3.1143729570785825</v>
      </c>
      <c r="EX190" s="21">
        <f>EXP(-LN(2)/2)*EX189+(1-EXP(-LN(2)/2))/(LN(2)/2)*ER190*EU190*VLOOKUP('Données projet'!$B$15,Paramètres!$A$1:$I$89,3,0)*0.475*44/12</f>
        <v>3.6325714866426477E-15</v>
      </c>
      <c r="EY190" s="22">
        <f t="shared" si="181"/>
        <v>43.258920942571486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5.1431925385259088E-14</v>
      </c>
      <c r="P191" s="13">
        <f t="shared" si="141"/>
        <v>8.3482866290946129E-13</v>
      </c>
      <c r="Q191" s="20">
        <f t="shared" si="162"/>
        <v>1.5435705246133045E-12</v>
      </c>
      <c r="R191" s="59">
        <f t="shared" si="109"/>
        <v>289.91839713868177</v>
      </c>
      <c r="S191" s="59">
        <f ca="1">AVERAGE(OFFSET($R$3,0,0,'Données projet'!$E$9+1,1))-AVERAGE(OFFSET($H$3,0,0,'Données projet'!$E$9+1,1))</f>
        <v>484.04602944257209</v>
      </c>
      <c r="T191" s="59">
        <f t="shared" si="142"/>
        <v>297.32483725004124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45.34403325060881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45.34403325060881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-5.1786628318950535E-13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493.74122500490859</v>
      </c>
      <c r="AO191" s="59">
        <f t="shared" si="144"/>
        <v>299.43985151679692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40.719936129173888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40.719936129173888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364.64276939439014</v>
      </c>
      <c r="BJ191" s="59">
        <f t="shared" si="146"/>
        <v>341.7578598026638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15.598488075106156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15.598488075106156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3.4106051316484809E-13</v>
      </c>
      <c r="BZ191" s="13">
        <f>BY191*VLOOKUP('Données projet'!$B$12,Paramètres!$A$1:$I$89,3,0)*VLOOKUP('Données projet'!$B$12,Paramètres!$A$1:$I$89,5,0)</f>
        <v>2.0395418687257919E-13</v>
      </c>
      <c r="CA191" s="13">
        <f t="shared" si="170"/>
        <v>2.8200388570161721E-12</v>
      </c>
      <c r="CB191" s="20">
        <f t="shared" si="171"/>
        <v>5.2667878847729083E-12</v>
      </c>
      <c r="CC191" s="59">
        <f t="shared" si="119"/>
        <v>289.91839713868552</v>
      </c>
      <c r="CD191" s="59">
        <f ca="1">AVERAGE(OFFSET($CC$3,0,0,'Données projet'!$E$12+1,1))-AVERAGE(OFFSET($H$3,0,0,'Données projet'!$E$12+1,1))</f>
        <v>435.81281313761326</v>
      </c>
      <c r="CE191" s="59">
        <f t="shared" si="148"/>
        <v>460.93390058676493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20.393722419152144</v>
      </c>
      <c r="CL191" s="21">
        <f>EXP(-LN(2)/25)*CL190+(1-EXP(-LN(2)/25))/(LN(2)/25)*Calculateur!CG191*Calculateur!CI191*VLOOKUP('Données projet'!$B$12,Paramètres!$A$1:$I$89,3,0)*0.475*44/12</f>
        <v>1.7153093625403781</v>
      </c>
      <c r="CM191" s="21">
        <f>EXP(-LN(2)/2)*CM190+(1-EXP(-LN(2)/2))/(LN(2)/2)*CG191*CJ191*VLOOKUP('Données projet'!$B$12,Paramètres!$A$1:$I$89,3,0)*0.475*44/12</f>
        <v>1.1969501743571424E-17</v>
      </c>
      <c r="CN191" s="22">
        <f t="shared" si="172"/>
        <v>22.109031781692522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379.16472924112111</v>
      </c>
      <c r="CZ191" s="59">
        <f t="shared" si="150"/>
        <v>273.18950868898253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28.147344204013049</v>
      </c>
      <c r="DG191" s="21">
        <f>EXP(-LN(2)/25)*DG190+(1-EXP(-LN(2)/25))/(LN(2)/25)*Calculateur!DB191*Calculateur!DD191*VLOOKUP('Données projet'!$B$13,Paramètres!$A$1:$I$89,3,0)*0.475*44/12</f>
        <v>2.3187835251174729</v>
      </c>
      <c r="DH191" s="21">
        <f>EXP(-LN(2)/2)*DH190+(1-EXP(-LN(2)/2))/(LN(2)/2)*DB191*DE191*VLOOKUP('Données projet'!$B$13,Paramètres!$A$1:$I$89,3,0)*0.475*44/12</f>
        <v>5.4338425626857657E-14</v>
      </c>
      <c r="DI191" s="22">
        <f t="shared" si="175"/>
        <v>30.466127729130573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6.8212102632969618E-13</v>
      </c>
      <c r="DP191" s="17">
        <f>DO191*VLOOKUP('Données projet'!$B$14,Paramètres!$A$1:$I$89,3,0)*VLOOKUP('Données projet'!$B$14,Paramètres!$A$1:$I$89,5,0)</f>
        <v>2.7489477361086753E-13</v>
      </c>
      <c r="DQ191" s="13">
        <f t="shared" si="176"/>
        <v>3.6711283554998768E-12</v>
      </c>
      <c r="DR191" s="20">
        <f t="shared" si="177"/>
        <v>6.8726569498678791E-12</v>
      </c>
      <c r="DS191" s="59">
        <f t="shared" si="125"/>
        <v>289.91839713868711</v>
      </c>
      <c r="DT191" s="59">
        <f ca="1">AVERAGE(OFFSET($DS$3,0,0,'Données projet'!$E$14+1,1))-AVERAGE(OFFSET($H$3,0,0,'Données projet'!$E$14+1,1))</f>
        <v>419.35339339286082</v>
      </c>
      <c r="DU191" s="59">
        <f t="shared" si="152"/>
        <v>359.03308141414709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31.365079241638306</v>
      </c>
      <c r="EB191" s="21">
        <f>EXP(-LN(2)/25)*EB190+(1-EXP(-LN(2)/25))/(LN(2)/25)*Calculateur!DW191*Calculateur!DY191*VLOOKUP('Données projet'!$B$14,Paramètres!$A$1:$I$89,3,0)*0.475*44/12</f>
        <v>2.3349608836168763</v>
      </c>
      <c r="EC191" s="21">
        <f>EXP(-LN(2)/2)*EC190+(1-EXP(-LN(2)/2))/(LN(2)/2)*DW191*DZ191*VLOOKUP('Données projet'!$B$14,Paramètres!$A$1:$I$89,3,0)*0.475*44/12</f>
        <v>1.9382124049811742E-15</v>
      </c>
      <c r="ED191" s="22">
        <f t="shared" si="178"/>
        <v>33.700040125255185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2.2737367544323206E-13</v>
      </c>
      <c r="EK191" s="17">
        <f>EJ191*VLOOKUP('Données projet'!$B$15,Paramètres!$A$1:$I$89,3,0)*VLOOKUP('Données projet'!$B$15,Paramètres!$A$1:$I$89,5,0)</f>
        <v>1.0049916454590858E-13</v>
      </c>
      <c r="EL191" s="13">
        <f t="shared" si="179"/>
        <v>1.5089081593838289E-12</v>
      </c>
      <c r="EM191" s="20">
        <f t="shared" si="180"/>
        <v>2.8030510891776262E-12</v>
      </c>
      <c r="EN191" s="59">
        <f t="shared" si="128"/>
        <v>289.91839713868302</v>
      </c>
      <c r="EO191" s="59">
        <f ca="1">AVERAGE(OFFSET($EN$3,0,0,'Données projet'!$E$15+1,1))-AVERAGE(OFFSET($H$3,0,0,'Données projet'!$E$15+1,1))</f>
        <v>561.50881628354409</v>
      </c>
      <c r="EP191" s="59">
        <f t="shared" si="154"/>
        <v>468.67708352238458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39.357337885253884</v>
      </c>
      <c r="EW191" s="21">
        <f>EXP(-LN(2)/25)*EW190+(1-EXP(-LN(2)/25))/(LN(2)/25)*Calculateur!ER191*Calculateur!ET191*VLOOKUP('Données projet'!$B$15,Paramètres!$A$1:$I$89,3,0)*0.475*44/12</f>
        <v>3.0292102647895129</v>
      </c>
      <c r="EX191" s="21">
        <f>EXP(-LN(2)/2)*EX190+(1-EXP(-LN(2)/2))/(LN(2)/2)*ER191*EU191*VLOOKUP('Données projet'!$B$15,Paramètres!$A$1:$I$89,3,0)*0.475*44/12</f>
        <v>2.5686159313499144E-15</v>
      </c>
      <c r="EY191" s="22">
        <f t="shared" si="181"/>
        <v>42.386548150043396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5.1431925385259088E-14</v>
      </c>
      <c r="P192" s="13">
        <f t="shared" si="141"/>
        <v>8.3482866290946129E-13</v>
      </c>
      <c r="Q192" s="20">
        <f t="shared" si="162"/>
        <v>1.5435705246133045E-12</v>
      </c>
      <c r="R192" s="59">
        <f t="shared" si="109"/>
        <v>289.97763864700539</v>
      </c>
      <c r="S192" s="59">
        <f ca="1">AVERAGE(OFFSET($R$3,0,0,'Données projet'!$E$9+1,1))-AVERAGE(OFFSET($H$3,0,0,'Données projet'!$E$9+1,1))</f>
        <v>484.04602944257209</v>
      </c>
      <c r="T192" s="59">
        <f t="shared" si="142"/>
        <v>297.32483725004124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44.454864415693741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44.454864415693741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-5.1786628318950535E-13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493.74122500490859</v>
      </c>
      <c r="AO192" s="59">
        <f t="shared" si="144"/>
        <v>299.43985151679692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39.921443018389404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39.921443018389404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364.64276939439014</v>
      </c>
      <c r="BJ192" s="59">
        <f t="shared" si="146"/>
        <v>341.7578598026638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15.292611238091606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15.292611238091606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3.4106051316484809E-13</v>
      </c>
      <c r="BZ192" s="13">
        <f>BY192*VLOOKUP('Données projet'!$B$12,Paramètres!$A$1:$I$89,3,0)*VLOOKUP('Données projet'!$B$12,Paramètres!$A$1:$I$89,5,0)</f>
        <v>2.0395418687257919E-13</v>
      </c>
      <c r="CA192" s="13">
        <f t="shared" si="170"/>
        <v>2.8200388570161721E-12</v>
      </c>
      <c r="CB192" s="20">
        <f t="shared" si="171"/>
        <v>5.2667878847729083E-12</v>
      </c>
      <c r="CC192" s="59">
        <f t="shared" si="119"/>
        <v>289.97763864700914</v>
      </c>
      <c r="CD192" s="59">
        <f ca="1">AVERAGE(OFFSET($CC$3,0,0,'Données projet'!$E$12+1,1))-AVERAGE(OFFSET($H$3,0,0,'Données projet'!$E$12+1,1))</f>
        <v>435.81281313761326</v>
      </c>
      <c r="CE192" s="59">
        <f t="shared" si="148"/>
        <v>460.93390058676493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19.993813961455004</v>
      </c>
      <c r="CL192" s="21">
        <f>EXP(-LN(2)/25)*CL191+(1-EXP(-LN(2)/25))/(LN(2)/25)*Calculateur!CG192*Calculateur!CI192*VLOOKUP('Données projet'!$B$12,Paramètres!$A$1:$I$89,3,0)*0.475*44/12</f>
        <v>1.6684041378175125</v>
      </c>
      <c r="CM192" s="21">
        <f>EXP(-LN(2)/2)*CM191+(1-EXP(-LN(2)/2))/(LN(2)/2)*CG192*CJ192*VLOOKUP('Données projet'!$B$12,Paramètres!$A$1:$I$89,3,0)*0.475*44/12</f>
        <v>8.4637158503035581E-18</v>
      </c>
      <c r="CN192" s="22">
        <f t="shared" si="172"/>
        <v>21.662218099272515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379.16472924112111</v>
      </c>
      <c r="CZ192" s="59">
        <f t="shared" si="150"/>
        <v>273.18950868898253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27.595391952357101</v>
      </c>
      <c r="DG192" s="21">
        <f>EXP(-LN(2)/25)*DG191+(1-EXP(-LN(2)/25))/(LN(2)/25)*Calculateur!DB192*Calculateur!DD192*VLOOKUP('Données projet'!$B$13,Paramètres!$A$1:$I$89,3,0)*0.475*44/12</f>
        <v>2.2553762676836095</v>
      </c>
      <c r="DH192" s="21">
        <f>EXP(-LN(2)/2)*DH191+(1-EXP(-LN(2)/2))/(LN(2)/2)*DB192*DE192*VLOOKUP('Données projet'!$B$13,Paramètres!$A$1:$I$89,3,0)*0.475*44/12</f>
        <v>3.8423069239751924E-14</v>
      </c>
      <c r="DI192" s="22">
        <f t="shared" si="175"/>
        <v>29.850768220040749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6.8212102632969618E-13</v>
      </c>
      <c r="DP192" s="17">
        <f>DO192*VLOOKUP('Données projet'!$B$14,Paramètres!$A$1:$I$89,3,0)*VLOOKUP('Données projet'!$B$14,Paramètres!$A$1:$I$89,5,0)</f>
        <v>2.7489477361086753E-13</v>
      </c>
      <c r="DQ192" s="13">
        <f t="shared" si="176"/>
        <v>3.6711283554998768E-12</v>
      </c>
      <c r="DR192" s="20">
        <f t="shared" si="177"/>
        <v>6.8726569498678791E-12</v>
      </c>
      <c r="DS192" s="59">
        <f t="shared" si="125"/>
        <v>289.97763864701074</v>
      </c>
      <c r="DT192" s="59">
        <f ca="1">AVERAGE(OFFSET($DS$3,0,0,'Données projet'!$E$14+1,1))-AVERAGE(OFFSET($H$3,0,0,'Données projet'!$E$14+1,1))</f>
        <v>419.35339339286082</v>
      </c>
      <c r="DU192" s="59">
        <f t="shared" si="152"/>
        <v>359.03308141414709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30.750029168519106</v>
      </c>
      <c r="EB192" s="21">
        <f>EXP(-LN(2)/25)*EB191+(1-EXP(-LN(2)/25))/(LN(2)/25)*Calculateur!DW192*Calculateur!DY192*VLOOKUP('Données projet'!$B$14,Paramètres!$A$1:$I$89,3,0)*0.475*44/12</f>
        <v>2.2711112554641164</v>
      </c>
      <c r="EC192" s="21">
        <f>EXP(-LN(2)/2)*EC191+(1-EXP(-LN(2)/2))/(LN(2)/2)*DW192*DZ192*VLOOKUP('Données projet'!$B$14,Paramètres!$A$1:$I$89,3,0)*0.475*44/12</f>
        <v>1.3705231349420752E-15</v>
      </c>
      <c r="ED192" s="22">
        <f t="shared" si="178"/>
        <v>33.021140423983219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2.2737367544323206E-13</v>
      </c>
      <c r="EK192" s="17">
        <f>EJ192*VLOOKUP('Données projet'!$B$15,Paramètres!$A$1:$I$89,3,0)*VLOOKUP('Données projet'!$B$15,Paramètres!$A$1:$I$89,5,0)</f>
        <v>1.0049916454590858E-13</v>
      </c>
      <c r="EL192" s="13">
        <f t="shared" si="179"/>
        <v>1.5089081593838289E-12</v>
      </c>
      <c r="EM192" s="20">
        <f t="shared" si="180"/>
        <v>2.8030510891776262E-12</v>
      </c>
      <c r="EN192" s="59">
        <f t="shared" si="128"/>
        <v>289.97763864700664</v>
      </c>
      <c r="EO192" s="59">
        <f ca="1">AVERAGE(OFFSET($EN$3,0,0,'Données projet'!$E$15+1,1))-AVERAGE(OFFSET($H$3,0,0,'Données projet'!$E$15+1,1))</f>
        <v>561.50881628354409</v>
      </c>
      <c r="EP192" s="59">
        <f t="shared" si="154"/>
        <v>468.67708352238458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38.585564494929805</v>
      </c>
      <c r="EW192" s="21">
        <f>EXP(-LN(2)/25)*EW191+(1-EXP(-LN(2)/25))/(LN(2)/25)*Calculateur!ER192*Calculateur!ET192*VLOOKUP('Données projet'!$B$15,Paramètres!$A$1:$I$89,3,0)*0.475*44/12</f>
        <v>2.946376350799599</v>
      </c>
      <c r="EX192" s="21">
        <f>EXP(-LN(2)/2)*EX191+(1-EXP(-LN(2)/2))/(LN(2)/2)*ER192*EU192*VLOOKUP('Données projet'!$B$15,Paramètres!$A$1:$I$89,3,0)*0.475*44/12</f>
        <v>1.8162857433213239E-15</v>
      </c>
      <c r="EY192" s="22">
        <f t="shared" si="181"/>
        <v>41.531940845729402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5.1431925385259088E-14</v>
      </c>
      <c r="P193" s="13">
        <f t="shared" si="141"/>
        <v>8.3482866290946129E-13</v>
      </c>
      <c r="Q193" s="20">
        <f t="shared" si="162"/>
        <v>1.5435705246133045E-12</v>
      </c>
      <c r="R193" s="59">
        <f t="shared" si="109"/>
        <v>290.03585244760382</v>
      </c>
      <c r="S193" s="59">
        <f ca="1">AVERAGE(OFFSET($R$3,0,0,'Données projet'!$E$9+1,1))-AVERAGE(OFFSET($H$3,0,0,'Données projet'!$E$9+1,1))</f>
        <v>484.04602944257209</v>
      </c>
      <c r="T193" s="59">
        <f t="shared" si="142"/>
        <v>297.32483725004124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43.583131639291921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43.583131639291921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-5.1786628318950535E-13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493.74122500490859</v>
      </c>
      <c r="AO193" s="59">
        <f t="shared" si="144"/>
        <v>299.43985151679692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39.138607870474701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39.138607870474701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364.64276939439014</v>
      </c>
      <c r="BJ193" s="59">
        <f t="shared" si="146"/>
        <v>341.7578598026638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14.992732459284463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14.992732459284463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3.4106051316484809E-13</v>
      </c>
      <c r="BZ193" s="13">
        <f>BY193*VLOOKUP('Données projet'!$B$12,Paramètres!$A$1:$I$89,3,0)*VLOOKUP('Données projet'!$B$12,Paramètres!$A$1:$I$89,5,0)</f>
        <v>2.0395418687257919E-13</v>
      </c>
      <c r="CA193" s="13">
        <f t="shared" si="170"/>
        <v>2.8200388570161721E-12</v>
      </c>
      <c r="CB193" s="20">
        <f t="shared" si="171"/>
        <v>5.2667878847729083E-12</v>
      </c>
      <c r="CC193" s="59">
        <f t="shared" si="119"/>
        <v>290.03585244760757</v>
      </c>
      <c r="CD193" s="59">
        <f ca="1">AVERAGE(OFFSET($CC$3,0,0,'Données projet'!$E$12+1,1))-AVERAGE(OFFSET($H$3,0,0,'Données projet'!$E$12+1,1))</f>
        <v>435.81281313761326</v>
      </c>
      <c r="CE193" s="59">
        <f t="shared" si="148"/>
        <v>460.93390058676493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19.601747464693229</v>
      </c>
      <c r="CL193" s="21">
        <f>EXP(-LN(2)/25)*CL192+(1-EXP(-LN(2)/25))/(LN(2)/25)*Calculateur!CG193*Calculateur!CI193*VLOOKUP('Données projet'!$B$12,Paramètres!$A$1:$I$89,3,0)*0.475*44/12</f>
        <v>1.6227815389313323</v>
      </c>
      <c r="CM193" s="21">
        <f>EXP(-LN(2)/2)*CM192+(1-EXP(-LN(2)/2))/(LN(2)/2)*CG193*CJ193*VLOOKUP('Données projet'!$B$12,Paramètres!$A$1:$I$89,3,0)*0.475*44/12</f>
        <v>5.9847508717857121E-18</v>
      </c>
      <c r="CN193" s="22">
        <f t="shared" si="172"/>
        <v>21.224529003624561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379.16472924112111</v>
      </c>
      <c r="CZ193" s="59">
        <f t="shared" si="150"/>
        <v>273.18950868898253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27.054263147698492</v>
      </c>
      <c r="DG193" s="21">
        <f>EXP(-LN(2)/25)*DG192+(1-EXP(-LN(2)/25))/(LN(2)/25)*Calculateur!DB193*Calculateur!DD193*VLOOKUP('Données projet'!$B$13,Paramètres!$A$1:$I$89,3,0)*0.475*44/12</f>
        <v>2.1937028850387179</v>
      </c>
      <c r="DH193" s="21">
        <f>EXP(-LN(2)/2)*DH192+(1-EXP(-LN(2)/2))/(LN(2)/2)*DB193*DE193*VLOOKUP('Données projet'!$B$13,Paramètres!$A$1:$I$89,3,0)*0.475*44/12</f>
        <v>2.7169212813428829E-14</v>
      </c>
      <c r="DI193" s="22">
        <f t="shared" si="175"/>
        <v>29.247966032737239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6.8212102632969618E-13</v>
      </c>
      <c r="DP193" s="17">
        <f>DO193*VLOOKUP('Données projet'!$B$14,Paramètres!$A$1:$I$89,3,0)*VLOOKUP('Données projet'!$B$14,Paramètres!$A$1:$I$89,5,0)</f>
        <v>2.7489477361086753E-13</v>
      </c>
      <c r="DQ193" s="13">
        <f t="shared" si="176"/>
        <v>3.6711283554998768E-12</v>
      </c>
      <c r="DR193" s="20">
        <f t="shared" si="177"/>
        <v>6.8726569498678791E-12</v>
      </c>
      <c r="DS193" s="59">
        <f t="shared" si="125"/>
        <v>290.03585244760916</v>
      </c>
      <c r="DT193" s="59">
        <f ca="1">AVERAGE(OFFSET($DS$3,0,0,'Données projet'!$E$14+1,1))-AVERAGE(OFFSET($H$3,0,0,'Données projet'!$E$14+1,1))</f>
        <v>419.35339339286082</v>
      </c>
      <c r="DU193" s="59">
        <f t="shared" si="152"/>
        <v>359.03308141414709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30.147039852190272</v>
      </c>
      <c r="EB193" s="21">
        <f>EXP(-LN(2)/25)*EB192+(1-EXP(-LN(2)/25))/(LN(2)/25)*Calculateur!DW193*Calculateur!DY193*VLOOKUP('Données projet'!$B$14,Paramètres!$A$1:$I$89,3,0)*0.475*44/12</f>
        <v>2.2090075987509001</v>
      </c>
      <c r="EC193" s="21">
        <f>EXP(-LN(2)/2)*EC192+(1-EXP(-LN(2)/2))/(LN(2)/2)*DW193*DZ193*VLOOKUP('Données projet'!$B$14,Paramètres!$A$1:$I$89,3,0)*0.475*44/12</f>
        <v>9.6910620249058709E-16</v>
      </c>
      <c r="ED193" s="22">
        <f t="shared" si="178"/>
        <v>32.356047450941169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2.2737367544323206E-13</v>
      </c>
      <c r="EK193" s="17">
        <f>EJ193*VLOOKUP('Données projet'!$B$15,Paramètres!$A$1:$I$89,3,0)*VLOOKUP('Données projet'!$B$15,Paramètres!$A$1:$I$89,5,0)</f>
        <v>1.0049916454590858E-13</v>
      </c>
      <c r="EL193" s="13">
        <f t="shared" si="179"/>
        <v>1.5089081593838289E-12</v>
      </c>
      <c r="EM193" s="20">
        <f t="shared" si="180"/>
        <v>2.8030510891776262E-12</v>
      </c>
      <c r="EN193" s="59">
        <f t="shared" si="128"/>
        <v>290.03585244760507</v>
      </c>
      <c r="EO193" s="59">
        <f ca="1">AVERAGE(OFFSET($EN$3,0,0,'Données projet'!$E$15+1,1))-AVERAGE(OFFSET($H$3,0,0,'Données projet'!$E$15+1,1))</f>
        <v>561.50881628354409</v>
      </c>
      <c r="EP193" s="59">
        <f t="shared" si="154"/>
        <v>468.67708352238458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37.828925110054698</v>
      </c>
      <c r="EW193" s="21">
        <f>EXP(-LN(2)/25)*EW192+(1-EXP(-LN(2)/25))/(LN(2)/25)*Calculateur!ER193*Calculateur!ET193*VLOOKUP('Données projet'!$B$15,Paramètres!$A$1:$I$89,3,0)*0.475*44/12</f>
        <v>2.8658075345437859</v>
      </c>
      <c r="EX193" s="21">
        <f>EXP(-LN(2)/2)*EX192+(1-EXP(-LN(2)/2))/(LN(2)/2)*ER193*EU193*VLOOKUP('Données projet'!$B$15,Paramètres!$A$1:$I$89,3,0)*0.475*44/12</f>
        <v>1.2843079656749572E-15</v>
      </c>
      <c r="EY193" s="22">
        <f t="shared" si="181"/>
        <v>40.694732644598481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5.1431925385259088E-14</v>
      </c>
      <c r="P194" s="13">
        <f t="shared" si="141"/>
        <v>8.3482866290946129E-13</v>
      </c>
      <c r="Q194" s="20">
        <f t="shared" si="162"/>
        <v>1.5435705246133045E-12</v>
      </c>
      <c r="R194" s="59">
        <f t="shared" si="109"/>
        <v>290.09305636890838</v>
      </c>
      <c r="S194" s="59">
        <f ca="1">AVERAGE(OFFSET($R$3,0,0,'Données projet'!$E$9+1,1))-AVERAGE(OFFSET($H$3,0,0,'Données projet'!$E$9+1,1))</f>
        <v>484.04602944257209</v>
      </c>
      <c r="T194" s="59">
        <f t="shared" si="142"/>
        <v>297.32483725004124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42.728493010930848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42.728493010930848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-5.1786628318950535E-13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493.74122500490859</v>
      </c>
      <c r="AO194" s="59">
        <f t="shared" si="144"/>
        <v>299.43985151679692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38.371123642328307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38.371123642328307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364.64276939439014</v>
      </c>
      <c r="BJ194" s="59">
        <f t="shared" si="146"/>
        <v>341.7578598026638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14.698734120421735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14.698734120421735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3.4106051316484809E-13</v>
      </c>
      <c r="BZ194" s="13">
        <f>BY194*VLOOKUP('Données projet'!$B$12,Paramètres!$A$1:$I$89,3,0)*VLOOKUP('Données projet'!$B$12,Paramètres!$A$1:$I$89,5,0)</f>
        <v>2.0395418687257919E-13</v>
      </c>
      <c r="CA194" s="13">
        <f t="shared" si="170"/>
        <v>2.8200388570161721E-12</v>
      </c>
      <c r="CB194" s="20">
        <f t="shared" si="171"/>
        <v>5.2667878847729083E-12</v>
      </c>
      <c r="CC194" s="59">
        <f t="shared" si="119"/>
        <v>290.09305636891213</v>
      </c>
      <c r="CD194" s="59">
        <f ca="1">AVERAGE(OFFSET($CC$3,0,0,'Données projet'!$E$12+1,1))-AVERAGE(OFFSET($H$3,0,0,'Données projet'!$E$12+1,1))</f>
        <v>435.81281313761326</v>
      </c>
      <c r="CE194" s="59">
        <f t="shared" si="148"/>
        <v>460.93390058676493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19.217369152796003</v>
      </c>
      <c r="CL194" s="21">
        <f>EXP(-LN(2)/25)*CL193+(1-EXP(-LN(2)/25))/(LN(2)/25)*Calculateur!CG194*Calculateur!CI194*VLOOKUP('Données projet'!$B$12,Paramètres!$A$1:$I$89,3,0)*0.475*44/12</f>
        <v>1.5784064924108827</v>
      </c>
      <c r="CM194" s="21">
        <f>EXP(-LN(2)/2)*CM193+(1-EXP(-LN(2)/2))/(LN(2)/2)*CG194*CJ194*VLOOKUP('Données projet'!$B$12,Paramètres!$A$1:$I$89,3,0)*0.475*44/12</f>
        <v>4.231857925151779E-18</v>
      </c>
      <c r="CN194" s="22">
        <f t="shared" si="172"/>
        <v>20.795775645206884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379.16472924112111</v>
      </c>
      <c r="CZ194" s="59">
        <f t="shared" si="150"/>
        <v>273.18950868898253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26.523745548843259</v>
      </c>
      <c r="DG194" s="21">
        <f>EXP(-LN(2)/25)*DG193+(1-EXP(-LN(2)/25))/(LN(2)/25)*Calculateur!DB194*Calculateur!DD194*VLOOKUP('Données projet'!$B$13,Paramètres!$A$1:$I$89,3,0)*0.475*44/12</f>
        <v>2.1337159642855132</v>
      </c>
      <c r="DH194" s="21">
        <f>EXP(-LN(2)/2)*DH193+(1-EXP(-LN(2)/2))/(LN(2)/2)*DB194*DE194*VLOOKUP('Données projet'!$B$13,Paramètres!$A$1:$I$89,3,0)*0.475*44/12</f>
        <v>1.9211534619875962E-14</v>
      </c>
      <c r="DI194" s="22">
        <f t="shared" si="175"/>
        <v>28.657461513128791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6.8212102632969618E-13</v>
      </c>
      <c r="DP194" s="17">
        <f>DO194*VLOOKUP('Données projet'!$B$14,Paramètres!$A$1:$I$89,3,0)*VLOOKUP('Données projet'!$B$14,Paramètres!$A$1:$I$89,5,0)</f>
        <v>2.7489477361086753E-13</v>
      </c>
      <c r="DQ194" s="13">
        <f t="shared" si="176"/>
        <v>3.6711283554998768E-12</v>
      </c>
      <c r="DR194" s="20">
        <f t="shared" si="177"/>
        <v>6.8726569498678791E-12</v>
      </c>
      <c r="DS194" s="59">
        <f t="shared" si="125"/>
        <v>290.09305636891372</v>
      </c>
      <c r="DT194" s="59">
        <f ca="1">AVERAGE(OFFSET($DS$3,0,0,'Données projet'!$E$14+1,1))-AVERAGE(OFFSET($H$3,0,0,'Données projet'!$E$14+1,1))</f>
        <v>419.35339339286082</v>
      </c>
      <c r="DU194" s="59">
        <f t="shared" si="152"/>
        <v>359.03308141414709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29.555874788567479</v>
      </c>
      <c r="EB194" s="21">
        <f>EXP(-LN(2)/25)*EB193+(1-EXP(-LN(2)/25))/(LN(2)/25)*Calculateur!DW194*Calculateur!DY194*VLOOKUP('Données projet'!$B$14,Paramètres!$A$1:$I$89,3,0)*0.475*44/12</f>
        <v>2.148602169796396</v>
      </c>
      <c r="EC194" s="21">
        <f>EXP(-LN(2)/2)*EC193+(1-EXP(-LN(2)/2))/(LN(2)/2)*DW194*DZ194*VLOOKUP('Données projet'!$B$14,Paramètres!$A$1:$I$89,3,0)*0.475*44/12</f>
        <v>6.8526156747103759E-16</v>
      </c>
      <c r="ED194" s="22">
        <f t="shared" si="178"/>
        <v>31.704476958363877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2.2737367544323206E-13</v>
      </c>
      <c r="EK194" s="17">
        <f>EJ194*VLOOKUP('Données projet'!$B$15,Paramètres!$A$1:$I$89,3,0)*VLOOKUP('Données projet'!$B$15,Paramètres!$A$1:$I$89,5,0)</f>
        <v>1.0049916454590858E-13</v>
      </c>
      <c r="EL194" s="13">
        <f t="shared" si="179"/>
        <v>1.5089081593838289E-12</v>
      </c>
      <c r="EM194" s="20">
        <f t="shared" si="180"/>
        <v>2.8030510891776262E-12</v>
      </c>
      <c r="EN194" s="59">
        <f t="shared" si="128"/>
        <v>290.09305636890963</v>
      </c>
      <c r="EO194" s="59">
        <f ca="1">AVERAGE(OFFSET($EN$3,0,0,'Données projet'!$E$15+1,1))-AVERAGE(OFFSET($H$3,0,0,'Données projet'!$E$15+1,1))</f>
        <v>561.50881628354409</v>
      </c>
      <c r="EP194" s="59">
        <f t="shared" si="154"/>
        <v>468.67708352238458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37.087122962012536</v>
      </c>
      <c r="EW194" s="21">
        <f>EXP(-LN(2)/25)*EW193+(1-EXP(-LN(2)/25))/(LN(2)/25)*Calculateur!ER194*Calculateur!ET194*VLOOKUP('Données projet'!$B$15,Paramètres!$A$1:$I$89,3,0)*0.475*44/12</f>
        <v>2.7874418768054179</v>
      </c>
      <c r="EX194" s="21">
        <f>EXP(-LN(2)/2)*EX193+(1-EXP(-LN(2)/2))/(LN(2)/2)*ER194*EU194*VLOOKUP('Données projet'!$B$15,Paramètres!$A$1:$I$89,3,0)*0.475*44/12</f>
        <v>9.0814287166066193E-16</v>
      </c>
      <c r="EY194" s="22">
        <f t="shared" si="181"/>
        <v>39.874564838817953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5.1431925385259088E-14</v>
      </c>
      <c r="P195" s="13">
        <f t="shared" si="141"/>
        <v>8.3482866290946129E-13</v>
      </c>
      <c r="Q195" s="20">
        <f t="shared" si="162"/>
        <v>1.5435705246133045E-12</v>
      </c>
      <c r="R195" s="59">
        <f t="shared" ref="R195:R203" si="191">Q195+(I195+J195)*44/12</f>
        <v>290.1492679300672</v>
      </c>
      <c r="S195" s="59">
        <f ca="1">AVERAGE(OFFSET($R$3,0,0,'Données projet'!$E$9+1,1))-AVERAGE(OFFSET($H$3,0,0,'Données projet'!$E$9+1,1))</f>
        <v>484.04602944257209</v>
      </c>
      <c r="T195" s="59">
        <f t="shared" si="142"/>
        <v>297.32483725004124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41.89061332479384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41.89061332479384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-5.1786628318950535E-13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493.74122500490859</v>
      </c>
      <c r="AO195" s="59">
        <f t="shared" si="144"/>
        <v>299.43985151679692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37.618689311776713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37.618689311776713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364.64276939439014</v>
      </c>
      <c r="BJ195" s="59">
        <f t="shared" si="146"/>
        <v>341.7578598026638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14.410500909662824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14.410500909662824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3.4106051316484809E-13</v>
      </c>
      <c r="BZ195" s="13">
        <f>BY195*VLOOKUP('Données projet'!$B$12,Paramètres!$A$1:$I$89,3,0)*VLOOKUP('Données projet'!$B$12,Paramètres!$A$1:$I$89,5,0)</f>
        <v>2.0395418687257919E-13</v>
      </c>
      <c r="CA195" s="13">
        <f t="shared" si="170"/>
        <v>2.8200388570161721E-12</v>
      </c>
      <c r="CB195" s="20">
        <f t="shared" si="171"/>
        <v>5.2667878847729083E-12</v>
      </c>
      <c r="CC195" s="59">
        <f t="shared" si="119"/>
        <v>290.14926793007095</v>
      </c>
      <c r="CD195" s="59">
        <f ca="1">AVERAGE(OFFSET($CC$3,0,0,'Données projet'!$E$12+1,1))-AVERAGE(OFFSET($H$3,0,0,'Données projet'!$E$12+1,1))</f>
        <v>435.81281313761326</v>
      </c>
      <c r="CE195" s="59">
        <f t="shared" si="148"/>
        <v>460.93390058676493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18.840528265147462</v>
      </c>
      <c r="CL195" s="21">
        <f>EXP(-LN(2)/25)*CL194+(1-EXP(-LN(2)/25))/(LN(2)/25)*Calculateur!CG195*Calculateur!CI195*VLOOKUP('Données projet'!$B$12,Paramètres!$A$1:$I$89,3,0)*0.475*44/12</f>
        <v>1.5352448838711172</v>
      </c>
      <c r="CM195" s="21">
        <f>EXP(-LN(2)/2)*CM194+(1-EXP(-LN(2)/2))/(LN(2)/2)*CG195*CJ195*VLOOKUP('Données projet'!$B$12,Paramètres!$A$1:$I$89,3,0)*0.475*44/12</f>
        <v>2.9923754358928561E-18</v>
      </c>
      <c r="CN195" s="22">
        <f t="shared" si="172"/>
        <v>20.375773149018578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379.16472924112111</v>
      </c>
      <c r="CZ195" s="59">
        <f t="shared" si="150"/>
        <v>273.18950868898253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26.003631076517795</v>
      </c>
      <c r="DG195" s="21">
        <f>EXP(-LN(2)/25)*DG194+(1-EXP(-LN(2)/25))/(LN(2)/25)*Calculateur!DB195*Calculateur!DD195*VLOOKUP('Données projet'!$B$13,Paramètres!$A$1:$I$89,3,0)*0.475*44/12</f>
        <v>2.0753693890348801</v>
      </c>
      <c r="DH195" s="21">
        <f>EXP(-LN(2)/2)*DH194+(1-EXP(-LN(2)/2))/(LN(2)/2)*DB195*DE195*VLOOKUP('Données projet'!$B$13,Paramètres!$A$1:$I$89,3,0)*0.475*44/12</f>
        <v>1.3584606406714414E-14</v>
      </c>
      <c r="DI195" s="22">
        <f t="shared" si="175"/>
        <v>28.079000465552689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6.8212102632969618E-13</v>
      </c>
      <c r="DP195" s="17">
        <f>DO195*VLOOKUP('Données projet'!$B$14,Paramètres!$A$1:$I$89,3,0)*VLOOKUP('Données projet'!$B$14,Paramètres!$A$1:$I$89,5,0)</f>
        <v>2.7489477361086753E-13</v>
      </c>
      <c r="DQ195" s="13">
        <f t="shared" si="176"/>
        <v>3.6711283554998768E-12</v>
      </c>
      <c r="DR195" s="20">
        <f t="shared" si="177"/>
        <v>6.8726569498678791E-12</v>
      </c>
      <c r="DS195" s="59">
        <f t="shared" si="125"/>
        <v>290.14926793007254</v>
      </c>
      <c r="DT195" s="59">
        <f ca="1">AVERAGE(OFFSET($DS$3,0,0,'Données projet'!$E$14+1,1))-AVERAGE(OFFSET($H$3,0,0,'Données projet'!$E$14+1,1))</f>
        <v>419.35339339286082</v>
      </c>
      <c r="DU195" s="59">
        <f t="shared" si="152"/>
        <v>359.03308141414709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28.976302111267245</v>
      </c>
      <c r="EB195" s="21">
        <f>EXP(-LN(2)/25)*EB194+(1-EXP(-LN(2)/25))/(LN(2)/25)*Calculateur!DW195*Calculateur!DY195*VLOOKUP('Données projet'!$B$14,Paramètres!$A$1:$I$89,3,0)*0.475*44/12</f>
        <v>2.0898485304732359</v>
      </c>
      <c r="EC195" s="21">
        <f>EXP(-LN(2)/2)*EC194+(1-EXP(-LN(2)/2))/(LN(2)/2)*DW195*DZ195*VLOOKUP('Données projet'!$B$14,Paramètres!$A$1:$I$89,3,0)*0.475*44/12</f>
        <v>4.8455310124529355E-16</v>
      </c>
      <c r="ED195" s="22">
        <f t="shared" si="178"/>
        <v>31.066150641740482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2.2737367544323206E-13</v>
      </c>
      <c r="EK195" s="17">
        <f>EJ195*VLOOKUP('Données projet'!$B$15,Paramètres!$A$1:$I$89,3,0)*VLOOKUP('Données projet'!$B$15,Paramètres!$A$1:$I$89,5,0)</f>
        <v>1.0049916454590858E-13</v>
      </c>
      <c r="EL195" s="13">
        <f t="shared" si="179"/>
        <v>1.5089081593838289E-12</v>
      </c>
      <c r="EM195" s="20">
        <f t="shared" si="180"/>
        <v>2.8030510891776262E-12</v>
      </c>
      <c r="EN195" s="59">
        <f t="shared" si="128"/>
        <v>290.14926793006845</v>
      </c>
      <c r="EO195" s="59">
        <f ca="1">AVERAGE(OFFSET($EN$3,0,0,'Données projet'!$E$15+1,1))-AVERAGE(OFFSET($H$3,0,0,'Données projet'!$E$15+1,1))</f>
        <v>561.50881628354409</v>
      </c>
      <c r="EP195" s="59">
        <f t="shared" si="154"/>
        <v>468.67708352238458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36.359867101638848</v>
      </c>
      <c r="EW195" s="21">
        <f>EXP(-LN(2)/25)*EW194+(1-EXP(-LN(2)/25))/(LN(2)/25)*Calculateur!ER195*Calculateur!ET195*VLOOKUP('Données projet'!$B$15,Paramètres!$A$1:$I$89,3,0)*0.475*44/12</f>
        <v>2.711219132098976</v>
      </c>
      <c r="EX195" s="21">
        <f>EXP(-LN(2)/2)*EX194+(1-EXP(-LN(2)/2))/(LN(2)/2)*ER195*EU195*VLOOKUP('Données projet'!$B$15,Paramètres!$A$1:$I$89,3,0)*0.475*44/12</f>
        <v>6.421539828374786E-16</v>
      </c>
      <c r="EY195" s="22">
        <f t="shared" si="181"/>
        <v>39.071086233737823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5.1431925385259088E-14</v>
      </c>
      <c r="P196" s="13">
        <f t="shared" si="141"/>
        <v>8.3482866290946129E-13</v>
      </c>
      <c r="Q196" s="20">
        <f t="shared" si="162"/>
        <v>1.5435705246133045E-12</v>
      </c>
      <c r="R196" s="59">
        <f t="shared" si="191"/>
        <v>290.20450434631005</v>
      </c>
      <c r="S196" s="59">
        <f ca="1">AVERAGE(OFFSET($R$3,0,0,'Données projet'!$E$9+1,1))-AVERAGE(OFFSET($H$3,0,0,'Données projet'!$E$9+1,1))</f>
        <v>484.04602944257209</v>
      </c>
      <c r="T196" s="59">
        <f t="shared" si="142"/>
        <v>297.32483725004124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41.069163948245837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41.069163948245837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-5.1786628318950535E-13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493.74122500490859</v>
      </c>
      <c r="AO196" s="59">
        <f t="shared" si="144"/>
        <v>299.43985151679692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36.881009759507606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36.881009759507606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364.64276939439014</v>
      </c>
      <c r="BJ196" s="59">
        <f t="shared" si="146"/>
        <v>341.7578598026638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14.127919776361995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14.127919776361995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3.4106051316484809E-13</v>
      </c>
      <c r="BZ196" s="13">
        <f>BY196*VLOOKUP('Données projet'!$B$12,Paramètres!$A$1:$I$89,3,0)*VLOOKUP('Données projet'!$B$12,Paramètres!$A$1:$I$89,5,0)</f>
        <v>2.0395418687257919E-13</v>
      </c>
      <c r="CA196" s="13">
        <f t="shared" si="170"/>
        <v>2.8200388570161721E-12</v>
      </c>
      <c r="CB196" s="20">
        <f t="shared" si="171"/>
        <v>5.2667878847729083E-12</v>
      </c>
      <c r="CC196" s="59">
        <f t="shared" ref="CC196:CC203" si="195">CB196+(BT196+BU196)*44/12</f>
        <v>290.2045043463138</v>
      </c>
      <c r="CD196" s="59">
        <f ca="1">AVERAGE(OFFSET($CC$3,0,0,'Données projet'!$E$12+1,1))-AVERAGE(OFFSET($H$3,0,0,'Données projet'!$E$12+1,1))</f>
        <v>435.81281313761326</v>
      </c>
      <c r="CE196" s="59">
        <f t="shared" si="148"/>
        <v>460.93390058676493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18.471076997455462</v>
      </c>
      <c r="CL196" s="21">
        <f>EXP(-LN(2)/25)*CL195+(1-EXP(-LN(2)/25))/(LN(2)/25)*Calculateur!CG196*Calculateur!CI196*VLOOKUP('Données projet'!$B$12,Paramètres!$A$1:$I$89,3,0)*0.475*44/12</f>
        <v>1.4932635317866418</v>
      </c>
      <c r="CM196" s="21">
        <f>EXP(-LN(2)/2)*CM195+(1-EXP(-LN(2)/2))/(LN(2)/2)*CG196*CJ196*VLOOKUP('Données projet'!$B$12,Paramètres!$A$1:$I$89,3,0)*0.475*44/12</f>
        <v>2.1159289625758895E-18</v>
      </c>
      <c r="CN196" s="22">
        <f t="shared" si="172"/>
        <v>19.964340529242104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379.16472924112111</v>
      </c>
      <c r="CZ196" s="59">
        <f t="shared" si="150"/>
        <v>273.18950868898253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25.493715731756129</v>
      </c>
      <c r="DG196" s="21">
        <f>EXP(-LN(2)/25)*DG195+(1-EXP(-LN(2)/25))/(LN(2)/25)*Calculateur!DB196*Calculateur!DD196*VLOOKUP('Données projet'!$B$13,Paramètres!$A$1:$I$89,3,0)*0.475*44/12</f>
        <v>2.0186183039527883</v>
      </c>
      <c r="DH196" s="21">
        <f>EXP(-LN(2)/2)*DH195+(1-EXP(-LN(2)/2))/(LN(2)/2)*DB196*DE196*VLOOKUP('Données projet'!$B$13,Paramètres!$A$1:$I$89,3,0)*0.475*44/12</f>
        <v>9.6057673099379809E-15</v>
      </c>
      <c r="DI196" s="22">
        <f t="shared" si="175"/>
        <v>27.512334035708928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6.8212102632969618E-13</v>
      </c>
      <c r="DP196" s="17">
        <f>DO196*VLOOKUP('Données projet'!$B$14,Paramètres!$A$1:$I$89,3,0)*VLOOKUP('Données projet'!$B$14,Paramètres!$A$1:$I$89,5,0)</f>
        <v>2.7489477361086753E-13</v>
      </c>
      <c r="DQ196" s="13">
        <f t="shared" si="176"/>
        <v>3.6711283554998768E-12</v>
      </c>
      <c r="DR196" s="20">
        <f t="shared" si="177"/>
        <v>6.8726569498678791E-12</v>
      </c>
      <c r="DS196" s="59">
        <f t="shared" ref="DS196:DS203" si="197">DR196+(DJ196+DK196)*44/12</f>
        <v>290.20450434631539</v>
      </c>
      <c r="DT196" s="59">
        <f ca="1">AVERAGE(OFFSET($DS$3,0,0,'Données projet'!$E$14+1,1))-AVERAGE(OFFSET($H$3,0,0,'Données projet'!$E$14+1,1))</f>
        <v>419.35339339286082</v>
      </c>
      <c r="DU196" s="59">
        <f t="shared" si="152"/>
        <v>359.03308141414709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28.40809450066444</v>
      </c>
      <c r="EB196" s="21">
        <f>EXP(-LN(2)/25)*EB195+(1-EXP(-LN(2)/25))/(LN(2)/25)*Calculateur!DW196*Calculateur!DY196*VLOOKUP('Données projet'!$B$14,Paramètres!$A$1:$I$89,3,0)*0.475*44/12</f>
        <v>2.0327015125070873</v>
      </c>
      <c r="EC196" s="21">
        <f>EXP(-LN(2)/2)*EC195+(1-EXP(-LN(2)/2))/(LN(2)/2)*DW196*DZ196*VLOOKUP('Données projet'!$B$14,Paramètres!$A$1:$I$89,3,0)*0.475*44/12</f>
        <v>3.426307837355188E-16</v>
      </c>
      <c r="ED196" s="22">
        <f t="shared" si="178"/>
        <v>30.440796013171529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2.2737367544323206E-13</v>
      </c>
      <c r="EK196" s="17">
        <f>EJ196*VLOOKUP('Données projet'!$B$15,Paramètres!$A$1:$I$89,3,0)*VLOOKUP('Données projet'!$B$15,Paramètres!$A$1:$I$89,5,0)</f>
        <v>1.0049916454590858E-13</v>
      </c>
      <c r="EL196" s="13">
        <f t="shared" si="179"/>
        <v>1.5089081593838289E-12</v>
      </c>
      <c r="EM196" s="20">
        <f t="shared" si="180"/>
        <v>2.8030510891776262E-12</v>
      </c>
      <c r="EN196" s="59">
        <f t="shared" ref="EN196:EN203" si="198">EM196+(EE196+EF196)*44/12</f>
        <v>290.2045043463113</v>
      </c>
      <c r="EO196" s="59">
        <f ca="1">AVERAGE(OFFSET($EN$3,0,0,'Données projet'!$E$15+1,1))-AVERAGE(OFFSET($H$3,0,0,'Données projet'!$E$15+1,1))</f>
        <v>561.50881628354409</v>
      </c>
      <c r="EP196" s="59">
        <f t="shared" si="154"/>
        <v>468.67708352238458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35.646872285104813</v>
      </c>
      <c r="EW196" s="21">
        <f>EXP(-LN(2)/25)*EW195+(1-EXP(-LN(2)/25))/(LN(2)/25)*Calculateur!ER196*Calculateur!ET196*VLOOKUP('Données projet'!$B$15,Paramètres!$A$1:$I$89,3,0)*0.475*44/12</f>
        <v>2.6370807023549121</v>
      </c>
      <c r="EX196" s="21">
        <f>EXP(-LN(2)/2)*EX195+(1-EXP(-LN(2)/2))/(LN(2)/2)*ER196*EU196*VLOOKUP('Données projet'!$B$15,Paramètres!$A$1:$I$89,3,0)*0.475*44/12</f>
        <v>4.5407143583033097E-16</v>
      </c>
      <c r="EY196" s="22">
        <f t="shared" si="181"/>
        <v>38.283952987459728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5.1431925385259088E-14</v>
      </c>
      <c r="P197" s="13">
        <f t="shared" ref="P197:P203" si="203">EXP(-1.0587+0.8836*LN(O197)+0.284)</f>
        <v>8.3482866290946129E-13</v>
      </c>
      <c r="Q197" s="20">
        <f t="shared" si="162"/>
        <v>1.5435705246133045E-12</v>
      </c>
      <c r="R197" s="59">
        <f t="shared" si="191"/>
        <v>290.25878253422127</v>
      </c>
      <c r="S197" s="59">
        <f ca="1">AVERAGE(OFFSET($R$3,0,0,'Données projet'!$E$9+1,1))-AVERAGE(OFFSET($H$3,0,0,'Données projet'!$E$9+1,1))</f>
        <v>484.04602944257209</v>
      </c>
      <c r="T197" s="59">
        <f t="shared" ref="T197:T203" si="204">$T$3</f>
        <v>297.32483725004124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40.263822692937289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40.263822692937289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-5.1786628318950535E-13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493.74122500490859</v>
      </c>
      <c r="AO197" s="59">
        <f t="shared" ref="AO197:AO203" si="205">$AO$3</f>
        <v>299.43985151679692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36.157795653318402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36.157795653318402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364.64276939439014</v>
      </c>
      <c r="BJ197" s="59">
        <f t="shared" ref="BJ197:BJ203" si="206">$BJ$3</f>
        <v>341.7578598026638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13.850879886727725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13.850879886727725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3.4106051316484809E-13</v>
      </c>
      <c r="BZ197" s="13">
        <f>BY197*VLOOKUP('Données projet'!$B$12,Paramètres!$A$1:$I$89,3,0)*VLOOKUP('Données projet'!$B$12,Paramètres!$A$1:$I$89,5,0)</f>
        <v>2.0395418687257919E-13</v>
      </c>
      <c r="CA197" s="13">
        <f t="shared" si="170"/>
        <v>2.8200388570161721E-12</v>
      </c>
      <c r="CB197" s="20">
        <f t="shared" si="171"/>
        <v>5.2667878847729083E-12</v>
      </c>
      <c r="CC197" s="59">
        <f t="shared" si="195"/>
        <v>290.25878253422502</v>
      </c>
      <c r="CD197" s="59">
        <f ca="1">AVERAGE(OFFSET($CC$3,0,0,'Données projet'!$E$12+1,1))-AVERAGE(OFFSET($H$3,0,0,'Données projet'!$E$12+1,1))</f>
        <v>435.81281313761326</v>
      </c>
      <c r="CE197" s="59">
        <f t="shared" ref="CE197:CE203" si="207">$CE$3</f>
        <v>460.93390058676493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18.108870443779878</v>
      </c>
      <c r="CL197" s="21">
        <f>EXP(-LN(2)/25)*CL196+(1-EXP(-LN(2)/25))/(LN(2)/25)*Calculateur!CG197*Calculateur!CI197*VLOOKUP('Données projet'!$B$12,Paramètres!$A$1:$I$89,3,0)*0.475*44/12</f>
        <v>1.4524301619826199</v>
      </c>
      <c r="CM197" s="21">
        <f>EXP(-LN(2)/2)*CM196+(1-EXP(-LN(2)/2))/(LN(2)/2)*CG197*CJ197*VLOOKUP('Données projet'!$B$12,Paramètres!$A$1:$I$89,3,0)*0.475*44/12</f>
        <v>1.496187717946428E-18</v>
      </c>
      <c r="CN197" s="22">
        <f t="shared" si="172"/>
        <v>19.561300605762497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379.16472924112111</v>
      </c>
      <c r="CZ197" s="59">
        <f t="shared" ref="CZ197:CZ203" si="208">$CZ$3</f>
        <v>273.18950868898253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24.993799515887588</v>
      </c>
      <c r="DG197" s="21">
        <f>EXP(-LN(2)/25)*DG196+(1-EXP(-LN(2)/25))/(LN(2)/25)*Calculateur!DB197*Calculateur!DD197*VLOOKUP('Données projet'!$B$13,Paramètres!$A$1:$I$89,3,0)*0.475*44/12</f>
        <v>1.9634190802766762</v>
      </c>
      <c r="DH197" s="21">
        <f>EXP(-LN(2)/2)*DH196+(1-EXP(-LN(2)/2))/(LN(2)/2)*DB197*DE197*VLOOKUP('Données projet'!$B$13,Paramètres!$A$1:$I$89,3,0)*0.475*44/12</f>
        <v>6.7923032033572072E-15</v>
      </c>
      <c r="DI197" s="22">
        <f t="shared" si="175"/>
        <v>26.957218596164271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6.8212102632969618E-13</v>
      </c>
      <c r="DP197" s="17">
        <f>DO197*VLOOKUP('Données projet'!$B$14,Paramètres!$A$1:$I$89,3,0)*VLOOKUP('Données projet'!$B$14,Paramètres!$A$1:$I$89,5,0)</f>
        <v>2.7489477361086753E-13</v>
      </c>
      <c r="DQ197" s="13">
        <f t="shared" si="176"/>
        <v>3.6711283554998768E-12</v>
      </c>
      <c r="DR197" s="20">
        <f t="shared" si="177"/>
        <v>6.8726569498678791E-12</v>
      </c>
      <c r="DS197" s="59">
        <f t="shared" si="197"/>
        <v>290.25878253422661</v>
      </c>
      <c r="DT197" s="59">
        <f ca="1">AVERAGE(OFFSET($DS$3,0,0,'Données projet'!$E$14+1,1))-AVERAGE(OFFSET($H$3,0,0,'Données projet'!$E$14+1,1))</f>
        <v>419.35339339286082</v>
      </c>
      <c r="DU197" s="59">
        <f t="shared" ref="DU197:DU203" si="209">$DU$3</f>
        <v>359.03308141414709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27.851029094733136</v>
      </c>
      <c r="EB197" s="21">
        <f>EXP(-LN(2)/25)*EB196+(1-EXP(-LN(2)/25))/(LN(2)/25)*Calculateur!DW197*Calculateur!DY197*VLOOKUP('Données projet'!$B$14,Paramètres!$A$1:$I$89,3,0)*0.475*44/12</f>
        <v>1.9771171827524543</v>
      </c>
      <c r="EC197" s="21">
        <f>EXP(-LN(2)/2)*EC196+(1-EXP(-LN(2)/2))/(LN(2)/2)*DW197*DZ197*VLOOKUP('Données projet'!$B$14,Paramètres!$A$1:$I$89,3,0)*0.475*44/12</f>
        <v>2.4227655062264677E-16</v>
      </c>
      <c r="ED197" s="22">
        <f t="shared" si="178"/>
        <v>29.82814627748559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2.2737367544323206E-13</v>
      </c>
      <c r="EK197" s="17">
        <f>EJ197*VLOOKUP('Données projet'!$B$15,Paramètres!$A$1:$I$89,3,0)*VLOOKUP('Données projet'!$B$15,Paramètres!$A$1:$I$89,5,0)</f>
        <v>1.0049916454590858E-13</v>
      </c>
      <c r="EL197" s="13">
        <f t="shared" si="179"/>
        <v>1.5089081593838289E-12</v>
      </c>
      <c r="EM197" s="20">
        <f t="shared" si="180"/>
        <v>2.8030510891776262E-12</v>
      </c>
      <c r="EN197" s="59">
        <f t="shared" si="198"/>
        <v>290.25878253422252</v>
      </c>
      <c r="EO197" s="59">
        <f ca="1">AVERAGE(OFFSET($EN$3,0,0,'Données projet'!$E$15+1,1))-AVERAGE(OFFSET($H$3,0,0,'Données projet'!$E$15+1,1))</f>
        <v>561.50881628354409</v>
      </c>
      <c r="EP197" s="59">
        <f t="shared" ref="EP197:EP203" si="210">$EP$3</f>
        <v>468.67708352238458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34.947858862039112</v>
      </c>
      <c r="EW197" s="21">
        <f>EXP(-LN(2)/25)*EW196+(1-EXP(-LN(2)/25))/(LN(2)/25)*Calculateur!ER197*Calculateur!ET197*VLOOKUP('Données projet'!$B$15,Paramètres!$A$1:$I$89,3,0)*0.475*44/12</f>
        <v>2.5649695918709701</v>
      </c>
      <c r="EX197" s="21">
        <f>EXP(-LN(2)/2)*EX196+(1-EXP(-LN(2)/2))/(LN(2)/2)*ER197*EU197*VLOOKUP('Données projet'!$B$15,Paramètres!$A$1:$I$89,3,0)*0.475*44/12</f>
        <v>3.210769914187393E-16</v>
      </c>
      <c r="EY197" s="22">
        <f t="shared" si="181"/>
        <v>37.512828453910082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5.1431925385259088E-14</v>
      </c>
      <c r="P198" s="13">
        <f t="shared" si="203"/>
        <v>8.3482866290946129E-13</v>
      </c>
      <c r="Q198" s="20">
        <f t="shared" si="162"/>
        <v>1.5435705246133045E-12</v>
      </c>
      <c r="R198" s="59">
        <f t="shared" si="191"/>
        <v>290.31211911692003</v>
      </c>
      <c r="S198" s="59">
        <f ca="1">AVERAGE(OFFSET($R$3,0,0,'Données projet'!$E$9+1,1))-AVERAGE(OFFSET($H$3,0,0,'Données projet'!$E$9+1,1))</f>
        <v>484.04602944257209</v>
      </c>
      <c r="T198" s="59">
        <f t="shared" si="204"/>
        <v>297.32483725004124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39.47427368843568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39.47427368843568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-5.1786628318950535E-13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493.74122500490859</v>
      </c>
      <c r="AO198" s="59">
        <f t="shared" si="205"/>
        <v>299.43985151679692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35.448763334634521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35.448763334634521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364.64276939439014</v>
      </c>
      <c r="BJ198" s="59">
        <f t="shared" si="206"/>
        <v>341.7578598026638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13.579272580351535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13.579272580351535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3.4106051316484809E-13</v>
      </c>
      <c r="BZ198" s="13">
        <f>BY198*VLOOKUP('Données projet'!$B$12,Paramètres!$A$1:$I$89,3,0)*VLOOKUP('Données projet'!$B$12,Paramètres!$A$1:$I$89,5,0)</f>
        <v>2.0395418687257919E-13</v>
      </c>
      <c r="CA198" s="13">
        <f t="shared" si="170"/>
        <v>2.8200388570161721E-12</v>
      </c>
      <c r="CB198" s="20">
        <f t="shared" si="171"/>
        <v>5.2667878847729083E-12</v>
      </c>
      <c r="CC198" s="59">
        <f t="shared" si="195"/>
        <v>290.31211911692378</v>
      </c>
      <c r="CD198" s="59">
        <f ca="1">AVERAGE(OFFSET($CC$3,0,0,'Données projet'!$E$12+1,1))-AVERAGE(OFFSET($H$3,0,0,'Données projet'!$E$12+1,1))</f>
        <v>435.81281313761326</v>
      </c>
      <c r="CE198" s="59">
        <f t="shared" si="207"/>
        <v>460.93390058676493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17.75376653969769</v>
      </c>
      <c r="CL198" s="21">
        <f>EXP(-LN(2)/25)*CL197+(1-EXP(-LN(2)/25))/(LN(2)/25)*Calculateur!CG198*Calculateur!CI198*VLOOKUP('Données projet'!$B$12,Paramètres!$A$1:$I$89,3,0)*0.475*44/12</f>
        <v>1.4127133828232226</v>
      </c>
      <c r="CM198" s="21">
        <f>EXP(-LN(2)/2)*CM197+(1-EXP(-LN(2)/2))/(LN(2)/2)*CG198*CJ198*VLOOKUP('Données projet'!$B$12,Paramètres!$A$1:$I$89,3,0)*0.475*44/12</f>
        <v>1.0579644812879448E-18</v>
      </c>
      <c r="CN198" s="22">
        <f t="shared" si="172"/>
        <v>19.166479922520914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379.16472924112111</v>
      </c>
      <c r="CZ198" s="59">
        <f t="shared" si="208"/>
        <v>273.18950868898253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24.503686352093446</v>
      </c>
      <c r="DG198" s="21">
        <f>EXP(-LN(2)/25)*DG197+(1-EXP(-LN(2)/25))/(LN(2)/25)*Calculateur!DB198*Calculateur!DD198*VLOOKUP('Données projet'!$B$13,Paramètres!$A$1:$I$89,3,0)*0.475*44/12</f>
        <v>1.9097292822747884</v>
      </c>
      <c r="DH198" s="21">
        <f>EXP(-LN(2)/2)*DH197+(1-EXP(-LN(2)/2))/(LN(2)/2)*DB198*DE198*VLOOKUP('Données projet'!$B$13,Paramètres!$A$1:$I$89,3,0)*0.475*44/12</f>
        <v>4.8028836549689905E-15</v>
      </c>
      <c r="DI198" s="22">
        <f t="shared" si="175"/>
        <v>26.413415634368238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6.8212102632969618E-13</v>
      </c>
      <c r="DP198" s="17">
        <f>DO198*VLOOKUP('Données projet'!$B$14,Paramètres!$A$1:$I$89,3,0)*VLOOKUP('Données projet'!$B$14,Paramètres!$A$1:$I$89,5,0)</f>
        <v>2.7489477361086753E-13</v>
      </c>
      <c r="DQ198" s="13">
        <f t="shared" si="176"/>
        <v>3.6711283554998768E-12</v>
      </c>
      <c r="DR198" s="20">
        <f t="shared" si="177"/>
        <v>6.8726569498678791E-12</v>
      </c>
      <c r="DS198" s="59">
        <f t="shared" si="197"/>
        <v>290.31211911692537</v>
      </c>
      <c r="DT198" s="59">
        <f ca="1">AVERAGE(OFFSET($DS$3,0,0,'Données projet'!$E$14+1,1))-AVERAGE(OFFSET($H$3,0,0,'Données projet'!$E$14+1,1))</f>
        <v>419.35339339286082</v>
      </c>
      <c r="DU198" s="59">
        <f t="shared" si="209"/>
        <v>359.03308141414709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27.304887401635796</v>
      </c>
      <c r="EB198" s="21">
        <f>EXP(-LN(2)/25)*EB197+(1-EXP(-LN(2)/25))/(LN(2)/25)*Calculateur!DW198*Calculateur!DY198*VLOOKUP('Données projet'!$B$14,Paramètres!$A$1:$I$89,3,0)*0.475*44/12</f>
        <v>1.9230528094180146</v>
      </c>
      <c r="EC198" s="21">
        <f>EXP(-LN(2)/2)*EC197+(1-EXP(-LN(2)/2))/(LN(2)/2)*DW198*DZ198*VLOOKUP('Données projet'!$B$14,Paramètres!$A$1:$I$89,3,0)*0.475*44/12</f>
        <v>1.713153918677594E-16</v>
      </c>
      <c r="ED198" s="22">
        <f t="shared" si="178"/>
        <v>29.227940211053809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2.2737367544323206E-13</v>
      </c>
      <c r="EK198" s="17">
        <f>EJ198*VLOOKUP('Données projet'!$B$15,Paramètres!$A$1:$I$89,3,0)*VLOOKUP('Données projet'!$B$15,Paramètres!$A$1:$I$89,5,0)</f>
        <v>1.0049916454590858E-13</v>
      </c>
      <c r="EL198" s="13">
        <f t="shared" si="179"/>
        <v>1.5089081593838289E-12</v>
      </c>
      <c r="EM198" s="20">
        <f t="shared" si="180"/>
        <v>2.8030510891776262E-12</v>
      </c>
      <c r="EN198" s="59">
        <f t="shared" si="198"/>
        <v>290.31211911692128</v>
      </c>
      <c r="EO198" s="59">
        <f ca="1">AVERAGE(OFFSET($EN$3,0,0,'Données projet'!$E$15+1,1))-AVERAGE(OFFSET($H$3,0,0,'Données projet'!$E$15+1,1))</f>
        <v>561.50881628354409</v>
      </c>
      <c r="EP198" s="59">
        <f t="shared" si="210"/>
        <v>468.67708352238458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34.262552665843643</v>
      </c>
      <c r="EW198" s="21">
        <f>EXP(-LN(2)/25)*EW197+(1-EXP(-LN(2)/25))/(LN(2)/25)*Calculateur!ER198*Calculateur!ET198*VLOOKUP('Données projet'!$B$15,Paramètres!$A$1:$I$89,3,0)*0.475*44/12</f>
        <v>2.4948303634953697</v>
      </c>
      <c r="EX198" s="21">
        <f>EXP(-LN(2)/2)*EX197+(1-EXP(-LN(2)/2))/(LN(2)/2)*ER198*EU198*VLOOKUP('Données projet'!$B$15,Paramètres!$A$1:$I$89,3,0)*0.475*44/12</f>
        <v>2.2703571791516548E-16</v>
      </c>
      <c r="EY198" s="22">
        <f t="shared" si="181"/>
        <v>36.75738302933901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5.1431925385259088E-14</v>
      </c>
      <c r="P199" s="13">
        <f t="shared" si="203"/>
        <v>8.3482866290946129E-13</v>
      </c>
      <c r="Q199" s="20">
        <f t="shared" si="162"/>
        <v>1.5435705246133045E-12</v>
      </c>
      <c r="R199" s="59">
        <f t="shared" si="191"/>
        <v>290.36453042915173</v>
      </c>
      <c r="S199" s="59">
        <f ca="1">AVERAGE(OFFSET($R$3,0,0,'Données projet'!$E$9+1,1))-AVERAGE(OFFSET($H$3,0,0,'Données projet'!$E$9+1,1))</f>
        <v>484.04602944257209</v>
      </c>
      <c r="T199" s="59">
        <f t="shared" si="204"/>
        <v>297.32483725004124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38.700207258335006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38.700207258335006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-5.1786628318950535E-13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493.74122500490859</v>
      </c>
      <c r="AO199" s="59">
        <f t="shared" si="205"/>
        <v>299.43985151679692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34.753634707253013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34.753634707253013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364.64276939439014</v>
      </c>
      <c r="BJ199" s="59">
        <f t="shared" si="206"/>
        <v>341.7578598026638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13.312991327589282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13.312991327589282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3.4106051316484809E-13</v>
      </c>
      <c r="BZ199" s="13">
        <f>BY199*VLOOKUP('Données projet'!$B$12,Paramètres!$A$1:$I$89,3,0)*VLOOKUP('Données projet'!$B$12,Paramètres!$A$1:$I$89,5,0)</f>
        <v>2.0395418687257919E-13</v>
      </c>
      <c r="CA199" s="13">
        <f t="shared" si="170"/>
        <v>2.8200388570161721E-12</v>
      </c>
      <c r="CB199" s="20">
        <f t="shared" si="171"/>
        <v>5.2667878847729083E-12</v>
      </c>
      <c r="CC199" s="59">
        <f t="shared" si="195"/>
        <v>290.36453042915548</v>
      </c>
      <c r="CD199" s="59">
        <f ca="1">AVERAGE(OFFSET($CC$3,0,0,'Données projet'!$E$12+1,1))-AVERAGE(OFFSET($H$3,0,0,'Données projet'!$E$12+1,1))</f>
        <v>435.81281313761326</v>
      </c>
      <c r="CE199" s="59">
        <f t="shared" si="207"/>
        <v>460.93390058676493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17.405626006582558</v>
      </c>
      <c r="CL199" s="21">
        <f>EXP(-LN(2)/25)*CL198+(1-EXP(-LN(2)/25))/(LN(2)/25)*Calculateur!CG199*Calculateur!CI199*VLOOKUP('Données projet'!$B$12,Paramètres!$A$1:$I$89,3,0)*0.475*44/12</f>
        <v>1.3740826610785535</v>
      </c>
      <c r="CM199" s="21">
        <f>EXP(-LN(2)/2)*CM198+(1-EXP(-LN(2)/2))/(LN(2)/2)*CG199*CJ199*VLOOKUP('Données projet'!$B$12,Paramètres!$A$1:$I$89,3,0)*0.475*44/12</f>
        <v>7.4809385897321401E-19</v>
      </c>
      <c r="CN199" s="22">
        <f t="shared" si="172"/>
        <v>18.779708667661112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379.16472924112111</v>
      </c>
      <c r="CZ199" s="59">
        <f t="shared" si="208"/>
        <v>273.18950868898253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24.023184008501797</v>
      </c>
      <c r="DG199" s="21">
        <f>EXP(-LN(2)/25)*DG198+(1-EXP(-LN(2)/25))/(LN(2)/25)*Calculateur!DB199*Calculateur!DD199*VLOOKUP('Données projet'!$B$13,Paramètres!$A$1:$I$89,3,0)*0.475*44/12</f>
        <v>1.8575076346226862</v>
      </c>
      <c r="DH199" s="21">
        <f>EXP(-LN(2)/2)*DH198+(1-EXP(-LN(2)/2))/(LN(2)/2)*DB199*DE199*VLOOKUP('Données projet'!$B$13,Paramètres!$A$1:$I$89,3,0)*0.475*44/12</f>
        <v>3.3961516016786036E-15</v>
      </c>
      <c r="DI199" s="22">
        <f t="shared" si="175"/>
        <v>25.880691643124486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6.8212102632969618E-13</v>
      </c>
      <c r="DP199" s="17">
        <f>DO199*VLOOKUP('Données projet'!$B$14,Paramètres!$A$1:$I$89,3,0)*VLOOKUP('Données projet'!$B$14,Paramètres!$A$1:$I$89,5,0)</f>
        <v>2.7489477361086753E-13</v>
      </c>
      <c r="DQ199" s="13">
        <f t="shared" si="176"/>
        <v>3.6711283554998768E-12</v>
      </c>
      <c r="DR199" s="20">
        <f t="shared" si="177"/>
        <v>6.8726569498678791E-12</v>
      </c>
      <c r="DS199" s="59">
        <f t="shared" si="197"/>
        <v>290.36453042915707</v>
      </c>
      <c r="DT199" s="59">
        <f ca="1">AVERAGE(OFFSET($DS$3,0,0,'Données projet'!$E$14+1,1))-AVERAGE(OFFSET($H$3,0,0,'Données projet'!$E$14+1,1))</f>
        <v>419.35339339286082</v>
      </c>
      <c r="DU199" s="59">
        <f t="shared" si="209"/>
        <v>359.03308141414709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26.769455214026554</v>
      </c>
      <c r="EB199" s="21">
        <f>EXP(-LN(2)/25)*EB198+(1-EXP(-LN(2)/25))/(LN(2)/25)*Calculateur!DW199*Calculateur!DY199*VLOOKUP('Données projet'!$B$14,Paramètres!$A$1:$I$89,3,0)*0.475*44/12</f>
        <v>1.8704668292155269</v>
      </c>
      <c r="EC199" s="21">
        <f>EXP(-LN(2)/2)*EC198+(1-EXP(-LN(2)/2))/(LN(2)/2)*DW199*DZ199*VLOOKUP('Données projet'!$B$14,Paramètres!$A$1:$I$89,3,0)*0.475*44/12</f>
        <v>1.2113827531132339E-16</v>
      </c>
      <c r="ED199" s="22">
        <f t="shared" si="178"/>
        <v>28.63992204324208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2.2737367544323206E-13</v>
      </c>
      <c r="EK199" s="17">
        <f>EJ199*VLOOKUP('Données projet'!$B$15,Paramètres!$A$1:$I$89,3,0)*VLOOKUP('Données projet'!$B$15,Paramètres!$A$1:$I$89,5,0)</f>
        <v>1.0049916454590858E-13</v>
      </c>
      <c r="EL199" s="13">
        <f t="shared" si="179"/>
        <v>1.5089081593838289E-12</v>
      </c>
      <c r="EM199" s="20">
        <f t="shared" si="180"/>
        <v>2.8030510891776262E-12</v>
      </c>
      <c r="EN199" s="59">
        <f t="shared" si="198"/>
        <v>290.36453042915298</v>
      </c>
      <c r="EO199" s="59">
        <f ca="1">AVERAGE(OFFSET($EN$3,0,0,'Données projet'!$E$15+1,1))-AVERAGE(OFFSET($H$3,0,0,'Données projet'!$E$15+1,1))</f>
        <v>561.50881628354409</v>
      </c>
      <c r="EP199" s="59">
        <f t="shared" si="210"/>
        <v>468.67708352238458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33.590684906160057</v>
      </c>
      <c r="EW199" s="21">
        <f>EXP(-LN(2)/25)*EW198+(1-EXP(-LN(2)/25))/(LN(2)/25)*Calculateur!ER199*Calculateur!ET199*VLOOKUP('Données projet'!$B$15,Paramètres!$A$1:$I$89,3,0)*0.475*44/12</f>
        <v>2.4266090960081619</v>
      </c>
      <c r="EX199" s="21">
        <f>EXP(-LN(2)/2)*EX198+(1-EXP(-LN(2)/2))/(LN(2)/2)*ER199*EU199*VLOOKUP('Données projet'!$B$15,Paramètres!$A$1:$I$89,3,0)*0.475*44/12</f>
        <v>1.6053849570936965E-16</v>
      </c>
      <c r="EY199" s="22">
        <f t="shared" si="181"/>
        <v>36.017294002168221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5.1431925385259088E-14</v>
      </c>
      <c r="P200" s="13">
        <f t="shared" si="203"/>
        <v>8.3482866290946129E-13</v>
      </c>
      <c r="Q200" s="20">
        <f t="shared" si="162"/>
        <v>1.5435705246133045E-12</v>
      </c>
      <c r="R200" s="59">
        <f t="shared" si="191"/>
        <v>290.41603252229032</v>
      </c>
      <c r="S200" s="59">
        <f ca="1">AVERAGE(OFFSET($R$3,0,0,'Données projet'!$E$9+1,1))-AVERAGE(OFFSET($H$3,0,0,'Données projet'!$E$9+1,1))</f>
        <v>484.04602944257209</v>
      </c>
      <c r="T200" s="59">
        <f t="shared" si="204"/>
        <v>297.32483725004124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37.941319798794702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37.941319798794702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-5.1786628318950535E-13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493.74122500490859</v>
      </c>
      <c r="AO200" s="59">
        <f t="shared" si="205"/>
        <v>299.43985151679692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34.072137128267862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34.072137128267862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364.64276939439014</v>
      </c>
      <c r="BJ200" s="59">
        <f t="shared" si="206"/>
        <v>341.7578598026638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13.05193168777817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13.05193168777817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3.4106051316484809E-13</v>
      </c>
      <c r="BZ200" s="13">
        <f>BY200*VLOOKUP('Données projet'!$B$12,Paramètres!$A$1:$I$89,3,0)*VLOOKUP('Données projet'!$B$12,Paramètres!$A$1:$I$89,5,0)</f>
        <v>2.0395418687257919E-13</v>
      </c>
      <c r="CA200" s="13">
        <f t="shared" si="170"/>
        <v>2.8200388570161721E-12</v>
      </c>
      <c r="CB200" s="20">
        <f t="shared" si="171"/>
        <v>5.2667878847729083E-12</v>
      </c>
      <c r="CC200" s="59">
        <f t="shared" si="195"/>
        <v>290.41603252229407</v>
      </c>
      <c r="CD200" s="59">
        <f ca="1">AVERAGE(OFFSET($CC$3,0,0,'Données projet'!$E$12+1,1))-AVERAGE(OFFSET($H$3,0,0,'Données projet'!$E$12+1,1))</f>
        <v>435.81281313761326</v>
      </c>
      <c r="CE200" s="59">
        <f t="shared" si="207"/>
        <v>460.93390058676493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17.064312296977057</v>
      </c>
      <c r="CL200" s="21">
        <f>EXP(-LN(2)/25)*CL199+(1-EXP(-LN(2)/25))/(LN(2)/25)*Calculateur!CG200*Calculateur!CI200*VLOOKUP('Données projet'!$B$12,Paramètres!$A$1:$I$89,3,0)*0.475*44/12</f>
        <v>1.3365082984514938</v>
      </c>
      <c r="CM200" s="21">
        <f>EXP(-LN(2)/2)*CM199+(1-EXP(-LN(2)/2))/(LN(2)/2)*CG200*CJ200*VLOOKUP('Données projet'!$B$12,Paramètres!$A$1:$I$89,3,0)*0.475*44/12</f>
        <v>5.2898224064397238E-19</v>
      </c>
      <c r="CN200" s="22">
        <f t="shared" si="172"/>
        <v>18.400820595428552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379.16472924112111</v>
      </c>
      <c r="CZ200" s="59">
        <f t="shared" si="208"/>
        <v>273.18950868898253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23.552104022790488</v>
      </c>
      <c r="DG200" s="21">
        <f>EXP(-LN(2)/25)*DG199+(1-EXP(-LN(2)/25))/(LN(2)/25)*Calculateur!DB200*Calculateur!DD200*VLOOKUP('Données projet'!$B$13,Paramètres!$A$1:$I$89,3,0)*0.475*44/12</f>
        <v>1.8067139906718477</v>
      </c>
      <c r="DH200" s="21">
        <f>EXP(-LN(2)/2)*DH199+(1-EXP(-LN(2)/2))/(LN(2)/2)*DB200*DE200*VLOOKUP('Données projet'!$B$13,Paramètres!$A$1:$I$89,3,0)*0.475*44/12</f>
        <v>2.4014418274844952E-15</v>
      </c>
      <c r="DI200" s="22">
        <f t="shared" si="175"/>
        <v>25.35881801346234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6.8212102632969618E-13</v>
      </c>
      <c r="DP200" s="17">
        <f>DO200*VLOOKUP('Données projet'!$B$14,Paramètres!$A$1:$I$89,3,0)*VLOOKUP('Données projet'!$B$14,Paramètres!$A$1:$I$89,5,0)</f>
        <v>2.7489477361086753E-13</v>
      </c>
      <c r="DQ200" s="13">
        <f t="shared" si="176"/>
        <v>3.6711283554998768E-12</v>
      </c>
      <c r="DR200" s="20">
        <f t="shared" si="177"/>
        <v>6.8726569498678791E-12</v>
      </c>
      <c r="DS200" s="59">
        <f t="shared" si="197"/>
        <v>290.41603252229567</v>
      </c>
      <c r="DT200" s="59">
        <f ca="1">AVERAGE(OFFSET($DS$3,0,0,'Données projet'!$E$14+1,1))-AVERAGE(OFFSET($H$3,0,0,'Données projet'!$E$14+1,1))</f>
        <v>419.35339339286082</v>
      </c>
      <c r="DU200" s="59">
        <f t="shared" si="209"/>
        <v>359.03308141414709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26.244522525034942</v>
      </c>
      <c r="EB200" s="21">
        <f>EXP(-LN(2)/25)*EB199+(1-EXP(-LN(2)/25))/(LN(2)/25)*Calculateur!DW200*Calculateur!DY200*VLOOKUP('Données projet'!$B$14,Paramètres!$A$1:$I$89,3,0)*0.475*44/12</f>
        <v>1.8193188154070528</v>
      </c>
      <c r="EC200" s="21">
        <f>EXP(-LN(2)/2)*EC199+(1-EXP(-LN(2)/2))/(LN(2)/2)*DW200*DZ200*VLOOKUP('Données projet'!$B$14,Paramètres!$A$1:$I$89,3,0)*0.475*44/12</f>
        <v>8.5657695933879699E-17</v>
      </c>
      <c r="ED200" s="22">
        <f t="shared" si="178"/>
        <v>28.063841340441993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2.2737367544323206E-13</v>
      </c>
      <c r="EK200" s="17">
        <f>EJ200*VLOOKUP('Données projet'!$B$15,Paramètres!$A$1:$I$89,3,0)*VLOOKUP('Données projet'!$B$15,Paramètres!$A$1:$I$89,5,0)</f>
        <v>1.0049916454590858E-13</v>
      </c>
      <c r="EL200" s="13">
        <f t="shared" si="179"/>
        <v>1.5089081593838289E-12</v>
      </c>
      <c r="EM200" s="20">
        <f t="shared" si="180"/>
        <v>2.8030510891776262E-12</v>
      </c>
      <c r="EN200" s="59">
        <f t="shared" si="198"/>
        <v>290.41603252229157</v>
      </c>
      <c r="EO200" s="59">
        <f ca="1">AVERAGE(OFFSET($EN$3,0,0,'Données projet'!$E$15+1,1))-AVERAGE(OFFSET($H$3,0,0,'Données projet'!$E$15+1,1))</f>
        <v>561.50881628354409</v>
      </c>
      <c r="EP200" s="59">
        <f t="shared" si="210"/>
        <v>468.67708352238458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32.931992063445001</v>
      </c>
      <c r="EW200" s="21">
        <f>EXP(-LN(2)/25)*EW199+(1-EXP(-LN(2)/25))/(LN(2)/25)*Calculateur!ER200*Calculateur!ET200*VLOOKUP('Données projet'!$B$15,Paramètres!$A$1:$I$89,3,0)*0.475*44/12</f>
        <v>2.3602533426679924</v>
      </c>
      <c r="EX200" s="21">
        <f>EXP(-LN(2)/2)*EX199+(1-EXP(-LN(2)/2))/(LN(2)/2)*ER200*EU200*VLOOKUP('Données projet'!$B$15,Paramètres!$A$1:$I$89,3,0)*0.475*44/12</f>
        <v>1.1351785895758274E-16</v>
      </c>
      <c r="EY200" s="22">
        <f t="shared" si="181"/>
        <v>35.292245406112997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5.1431925385259088E-14</v>
      </c>
      <c r="P201" s="13">
        <f t="shared" si="203"/>
        <v>8.3482866290946129E-13</v>
      </c>
      <c r="Q201" s="20">
        <f t="shared" si="162"/>
        <v>1.5435705246133045E-12</v>
      </c>
      <c r="R201" s="59">
        <f t="shared" si="191"/>
        <v>290.46664116925444</v>
      </c>
      <c r="S201" s="59">
        <f ca="1">AVERAGE(OFFSET($R$3,0,0,'Données projet'!$E$9+1,1))-AVERAGE(OFFSET($H$3,0,0,'Données projet'!$E$9+1,1))</f>
        <v>484.04602944257209</v>
      </c>
      <c r="T201" s="59">
        <f t="shared" si="204"/>
        <v>297.32483725004124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37.197313659460342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37.197313659460342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-5.1786628318950535E-13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493.74122500490859</v>
      </c>
      <c r="AO201" s="59">
        <f t="shared" si="205"/>
        <v>299.43985151679692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33.404003301134132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33.404003301134132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364.64276939439014</v>
      </c>
      <c r="BJ201" s="59">
        <f t="shared" si="206"/>
        <v>341.7578598026638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12.795991268273097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12.795991268273097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3.4106051316484809E-13</v>
      </c>
      <c r="BZ201" s="13">
        <f>BY201*VLOOKUP('Données projet'!$B$12,Paramètres!$A$1:$I$89,3,0)*VLOOKUP('Données projet'!$B$12,Paramètres!$A$1:$I$89,5,0)</f>
        <v>2.0395418687257919E-13</v>
      </c>
      <c r="CA201" s="13">
        <f t="shared" si="170"/>
        <v>2.8200388570161721E-12</v>
      </c>
      <c r="CB201" s="20">
        <f t="shared" si="171"/>
        <v>5.2667878847729083E-12</v>
      </c>
      <c r="CC201" s="59">
        <f t="shared" si="195"/>
        <v>290.4666411692582</v>
      </c>
      <c r="CD201" s="59">
        <f ca="1">AVERAGE(OFFSET($CC$3,0,0,'Données projet'!$E$12+1,1))-AVERAGE(OFFSET($H$3,0,0,'Données projet'!$E$12+1,1))</f>
        <v>435.81281313761326</v>
      </c>
      <c r="CE201" s="59">
        <f t="shared" si="207"/>
        <v>460.93390058676493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16.729691541036114</v>
      </c>
      <c r="CL201" s="21">
        <f>EXP(-LN(2)/25)*CL200+(1-EXP(-LN(2)/25))/(LN(2)/25)*Calculateur!CG201*Calculateur!CI201*VLOOKUP('Données projet'!$B$12,Paramètres!$A$1:$I$89,3,0)*0.475*44/12</f>
        <v>1.2999614087464209</v>
      </c>
      <c r="CM201" s="21">
        <f>EXP(-LN(2)/2)*CM200+(1-EXP(-LN(2)/2))/(LN(2)/2)*CG201*CJ201*VLOOKUP('Données projet'!$B$12,Paramètres!$A$1:$I$89,3,0)*0.475*44/12</f>
        <v>3.7404692948660701E-19</v>
      </c>
      <c r="CN201" s="22">
        <f t="shared" si="172"/>
        <v>18.029652949782534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379.16472924112111</v>
      </c>
      <c r="CZ201" s="59">
        <f t="shared" si="208"/>
        <v>273.18950868898253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23.090261628268557</v>
      </c>
      <c r="DG201" s="21">
        <f>EXP(-LN(2)/25)*DG200+(1-EXP(-LN(2)/25))/(LN(2)/25)*Calculateur!DB201*Calculateur!DD201*VLOOKUP('Données projet'!$B$13,Paramètres!$A$1:$I$89,3,0)*0.475*44/12</f>
        <v>1.7573093015859664</v>
      </c>
      <c r="DH201" s="21">
        <f>EXP(-LN(2)/2)*DH200+(1-EXP(-LN(2)/2))/(LN(2)/2)*DB201*DE201*VLOOKUP('Données projet'!$B$13,Paramètres!$A$1:$I$89,3,0)*0.475*44/12</f>
        <v>1.6980758008393018E-15</v>
      </c>
      <c r="DI201" s="22">
        <f t="shared" si="175"/>
        <v>24.847570929854523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6.8212102632969618E-13</v>
      </c>
      <c r="DP201" s="17">
        <f>DO201*VLOOKUP('Données projet'!$B$14,Paramètres!$A$1:$I$89,3,0)*VLOOKUP('Données projet'!$B$14,Paramètres!$A$1:$I$89,5,0)</f>
        <v>2.7489477361086753E-13</v>
      </c>
      <c r="DQ201" s="13">
        <f t="shared" si="176"/>
        <v>3.6711283554998768E-12</v>
      </c>
      <c r="DR201" s="20">
        <f t="shared" si="177"/>
        <v>6.8726569498678791E-12</v>
      </c>
      <c r="DS201" s="59">
        <f t="shared" si="197"/>
        <v>290.46664116925979</v>
      </c>
      <c r="DT201" s="59">
        <f ca="1">AVERAGE(OFFSET($DS$3,0,0,'Données projet'!$E$14+1,1))-AVERAGE(OFFSET($H$3,0,0,'Données projet'!$E$14+1,1))</f>
        <v>419.35339339286082</v>
      </c>
      <c r="DU201" s="59">
        <f t="shared" si="209"/>
        <v>359.03308141414709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25.72988344589713</v>
      </c>
      <c r="EB201" s="21">
        <f>EXP(-LN(2)/25)*EB200+(1-EXP(-LN(2)/25))/(LN(2)/25)*Calculateur!DW201*Calculateur!DY201*VLOOKUP('Données projet'!$B$14,Paramètres!$A$1:$I$89,3,0)*0.475*44/12</f>
        <v>1.7695694467259284</v>
      </c>
      <c r="EC201" s="21">
        <f>EXP(-LN(2)/2)*EC200+(1-EXP(-LN(2)/2))/(LN(2)/2)*DW201*DZ201*VLOOKUP('Données projet'!$B$14,Paramètres!$A$1:$I$89,3,0)*0.475*44/12</f>
        <v>6.0569137655661693E-17</v>
      </c>
      <c r="ED201" s="22">
        <f t="shared" si="178"/>
        <v>27.499452892623058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2.2737367544323206E-13</v>
      </c>
      <c r="EK201" s="17">
        <f>EJ201*VLOOKUP('Données projet'!$B$15,Paramètres!$A$1:$I$89,3,0)*VLOOKUP('Données projet'!$B$15,Paramètres!$A$1:$I$89,5,0)</f>
        <v>1.0049916454590858E-13</v>
      </c>
      <c r="EL201" s="13">
        <f t="shared" si="179"/>
        <v>1.5089081593838289E-12</v>
      </c>
      <c r="EM201" s="20">
        <f t="shared" si="180"/>
        <v>2.8030510891776262E-12</v>
      </c>
      <c r="EN201" s="59">
        <f t="shared" si="198"/>
        <v>290.46664116925569</v>
      </c>
      <c r="EO201" s="59">
        <f ca="1">AVERAGE(OFFSET($EN$3,0,0,'Données projet'!$E$15+1,1))-AVERAGE(OFFSET($H$3,0,0,'Données projet'!$E$15+1,1))</f>
        <v>561.50881628354409</v>
      </c>
      <c r="EP201" s="59">
        <f t="shared" si="210"/>
        <v>468.67708352238458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32.286215785612626</v>
      </c>
      <c r="EW201" s="21">
        <f>EXP(-LN(2)/25)*EW200+(1-EXP(-LN(2)/25))/(LN(2)/25)*Calculateur!ER201*Calculateur!ET201*VLOOKUP('Données projet'!$B$15,Paramètres!$A$1:$I$89,3,0)*0.475*44/12</f>
        <v>2.2957120908924074</v>
      </c>
      <c r="EX201" s="21">
        <f>EXP(-LN(2)/2)*EX200+(1-EXP(-LN(2)/2))/(LN(2)/2)*ER201*EU201*VLOOKUP('Données projet'!$B$15,Paramètres!$A$1:$I$89,3,0)*0.475*44/12</f>
        <v>8.0269247854684826E-17</v>
      </c>
      <c r="EY201" s="22">
        <f t="shared" si="181"/>
        <v>34.581927876505034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5.1431925385259088E-14</v>
      </c>
      <c r="P202" s="13">
        <f t="shared" si="203"/>
        <v>8.3482866290946129E-13</v>
      </c>
      <c r="Q202" s="20">
        <f t="shared" si="162"/>
        <v>1.5435705246133045E-12</v>
      </c>
      <c r="R202" s="59">
        <f t="shared" si="191"/>
        <v>290.51637186933766</v>
      </c>
      <c r="S202" s="59">
        <f ca="1">AVERAGE(OFFSET($R$3,0,0,'Données projet'!$E$9+1,1))-AVERAGE(OFFSET($H$3,0,0,'Données projet'!$E$9+1,1))</f>
        <v>484.04602944257209</v>
      </c>
      <c r="T202" s="59">
        <f t="shared" si="204"/>
        <v>297.32483725004124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36.467897026719392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36.467897026719392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-5.1786628318950535E-13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493.74122500490859</v>
      </c>
      <c r="AO202" s="59">
        <f t="shared" si="205"/>
        <v>299.43985151679692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32.748971170829101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32.748971170829101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364.64276939439014</v>
      </c>
      <c r="BJ202" s="59">
        <f t="shared" si="206"/>
        <v>341.7578598026638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12.545069684286277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12.545069684286277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3.4106051316484809E-13</v>
      </c>
      <c r="BZ202" s="13">
        <f>BY202*VLOOKUP('Données projet'!$B$12,Paramètres!$A$1:$I$89,3,0)*VLOOKUP('Données projet'!$B$12,Paramètres!$A$1:$I$89,5,0)</f>
        <v>2.0395418687257919E-13</v>
      </c>
      <c r="CA202" s="13">
        <f t="shared" si="170"/>
        <v>2.8200388570161721E-12</v>
      </c>
      <c r="CB202" s="20">
        <f t="shared" si="171"/>
        <v>5.2667878847729083E-12</v>
      </c>
      <c r="CC202" s="59">
        <f t="shared" si="195"/>
        <v>290.51637186934141</v>
      </c>
      <c r="CD202" s="59">
        <f ca="1">AVERAGE(OFFSET($CC$3,0,0,'Données projet'!$E$12+1,1))-AVERAGE(OFFSET($H$3,0,0,'Données projet'!$E$12+1,1))</f>
        <v>435.81281313761326</v>
      </c>
      <c r="CE202" s="59">
        <f t="shared" si="207"/>
        <v>460.93390058676493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16.401632494020664</v>
      </c>
      <c r="CL202" s="21">
        <f>EXP(-LN(2)/25)*CL201+(1-EXP(-LN(2)/25))/(LN(2)/25)*Calculateur!CG202*Calculateur!CI202*VLOOKUP('Données projet'!$B$12,Paramètres!$A$1:$I$89,3,0)*0.475*44/12</f>
        <v>1.2644138956622506</v>
      </c>
      <c r="CM202" s="21">
        <f>EXP(-LN(2)/2)*CM201+(1-EXP(-LN(2)/2))/(LN(2)/2)*CG202*CJ202*VLOOKUP('Données projet'!$B$12,Paramètres!$A$1:$I$89,3,0)*0.475*44/12</f>
        <v>2.6449112032198619E-19</v>
      </c>
      <c r="CN202" s="22">
        <f t="shared" si="172"/>
        <v>17.666046389682915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379.16472924112111</v>
      </c>
      <c r="CZ202" s="59">
        <f t="shared" si="208"/>
        <v>273.18950868898253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22.637475681407157</v>
      </c>
      <c r="DG202" s="21">
        <f>EXP(-LN(2)/25)*DG201+(1-EXP(-LN(2)/25))/(LN(2)/25)*Calculateur!DB202*Calculateur!DD202*VLOOKUP('Données projet'!$B$13,Paramètres!$A$1:$I$89,3,0)*0.475*44/12</f>
        <v>1.7092555863212184</v>
      </c>
      <c r="DH202" s="21">
        <f>EXP(-LN(2)/2)*DH201+(1-EXP(-LN(2)/2))/(LN(2)/2)*DB202*DE202*VLOOKUP('Données projet'!$B$13,Paramètres!$A$1:$I$89,3,0)*0.475*44/12</f>
        <v>1.2007209137422476E-15</v>
      </c>
      <c r="DI202" s="22">
        <f t="shared" si="175"/>
        <v>24.346731267728376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6.8212102632969618E-13</v>
      </c>
      <c r="DP202" s="17">
        <f>DO202*VLOOKUP('Données projet'!$B$14,Paramètres!$A$1:$I$89,3,0)*VLOOKUP('Données projet'!$B$14,Paramètres!$A$1:$I$89,5,0)</f>
        <v>2.7489477361086753E-13</v>
      </c>
      <c r="DQ202" s="13">
        <f t="shared" si="176"/>
        <v>3.6711283554998768E-12</v>
      </c>
      <c r="DR202" s="20">
        <f t="shared" si="177"/>
        <v>6.8726569498678791E-12</v>
      </c>
      <c r="DS202" s="59">
        <f t="shared" si="197"/>
        <v>290.516371869343</v>
      </c>
      <c r="DT202" s="59">
        <f ca="1">AVERAGE(OFFSET($DS$3,0,0,'Données projet'!$E$14+1,1))-AVERAGE(OFFSET($H$3,0,0,'Données projet'!$E$14+1,1))</f>
        <v>419.35339339286082</v>
      </c>
      <c r="DU202" s="59">
        <f t="shared" si="209"/>
        <v>359.03308141414709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25.225336125202368</v>
      </c>
      <c r="EB202" s="21">
        <f>EXP(-LN(2)/25)*EB201+(1-EXP(-LN(2)/25))/(LN(2)/25)*Calculateur!DW202*Calculateur!DY202*VLOOKUP('Données projet'!$B$14,Paramètres!$A$1:$I$89,3,0)*0.475*44/12</f>
        <v>1.7211804771475951</v>
      </c>
      <c r="EC202" s="21">
        <f>EXP(-LN(2)/2)*EC201+(1-EXP(-LN(2)/2))/(LN(2)/2)*DW202*DZ202*VLOOKUP('Données projet'!$B$14,Paramètres!$A$1:$I$89,3,0)*0.475*44/12</f>
        <v>4.282884796693985E-17</v>
      </c>
      <c r="ED202" s="22">
        <f t="shared" si="178"/>
        <v>26.946516602349963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2.2737367544323206E-13</v>
      </c>
      <c r="EK202" s="17">
        <f>EJ202*VLOOKUP('Données projet'!$B$15,Paramètres!$A$1:$I$89,3,0)*VLOOKUP('Données projet'!$B$15,Paramètres!$A$1:$I$89,5,0)</f>
        <v>1.0049916454590858E-13</v>
      </c>
      <c r="EL202" s="13">
        <f t="shared" si="179"/>
        <v>1.5089081593838289E-12</v>
      </c>
      <c r="EM202" s="20">
        <f t="shared" si="180"/>
        <v>2.8030510891776262E-12</v>
      </c>
      <c r="EN202" s="59">
        <f t="shared" si="198"/>
        <v>290.51637186933891</v>
      </c>
      <c r="EO202" s="59">
        <f ca="1">AVERAGE(OFFSET($EN$3,0,0,'Données projet'!$E$15+1,1))-AVERAGE(OFFSET($H$3,0,0,'Données projet'!$E$15+1,1))</f>
        <v>561.50881628354409</v>
      </c>
      <c r="EP202" s="59">
        <f t="shared" si="210"/>
        <v>468.67708352238458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31.653102786703904</v>
      </c>
      <c r="EW202" s="21">
        <f>EXP(-LN(2)/25)*EW201+(1-EXP(-LN(2)/25))/(LN(2)/25)*Calculateur!ER202*Calculateur!ET202*VLOOKUP('Données projet'!$B$15,Paramètres!$A$1:$I$89,3,0)*0.475*44/12</f>
        <v>2.2329357230407023</v>
      </c>
      <c r="EX202" s="21">
        <f>EXP(-LN(2)/2)*EX201+(1-EXP(-LN(2)/2))/(LN(2)/2)*ER202*EU202*VLOOKUP('Données projet'!$B$15,Paramètres!$A$1:$I$89,3,0)*0.475*44/12</f>
        <v>5.6758929478791371E-17</v>
      </c>
      <c r="EY202" s="22">
        <f t="shared" si="181"/>
        <v>33.886038509744608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5.1431925385259088E-14</v>
      </c>
      <c r="P203" s="13">
        <f t="shared" si="203"/>
        <v>8.3482866290946129E-13</v>
      </c>
      <c r="Q203" s="20">
        <f t="shared" si="162"/>
        <v>1.5435705246133045E-12</v>
      </c>
      <c r="R203" s="59">
        <f t="shared" si="191"/>
        <v>290.56523985295564</v>
      </c>
      <c r="S203" s="59">
        <f ca="1">AVERAGE(OFFSET($R$3,0,0,'Données projet'!$E$9+1,1))-AVERAGE(OFFSET($H$3,0,0,'Données projet'!$E$9+1,1))</f>
        <v>484.04602944257209</v>
      </c>
      <c r="T203" s="59">
        <f t="shared" si="204"/>
        <v>297.32483725004124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35.752783809246274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35.752783809246274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-5.1786628318950535E-13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493.74122500490859</v>
      </c>
      <c r="AO203" s="59">
        <f t="shared" si="205"/>
        <v>299.43985151679692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32.1067838210692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32.1067838210692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364.64276939439014</v>
      </c>
      <c r="BJ203" s="59">
        <f t="shared" si="206"/>
        <v>341.7578598026638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12.299068519514384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12.299068519514384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3.4106051316484809E-13</v>
      </c>
      <c r="BZ203" s="13">
        <f>BY203*VLOOKUP('Données projet'!$B$12,Paramètres!$A$1:$I$89,3,0)*VLOOKUP('Données projet'!$B$12,Paramètres!$A$1:$I$89,5,0)</f>
        <v>2.0395418687257919E-13</v>
      </c>
      <c r="CA203" s="13">
        <f t="shared" si="170"/>
        <v>2.8200388570161721E-12</v>
      </c>
      <c r="CB203" s="20">
        <f t="shared" si="171"/>
        <v>5.2667878847729083E-12</v>
      </c>
      <c r="CC203" s="59">
        <f t="shared" si="195"/>
        <v>290.56523985295939</v>
      </c>
      <c r="CD203" s="59">
        <f ca="1">AVERAGE(OFFSET($CC$3,0,0,'Données projet'!$E$12+1,1))-AVERAGE(OFFSET($H$3,0,0,'Données projet'!$E$12+1,1))</f>
        <v>435.81281313761326</v>
      </c>
      <c r="CE203" s="59">
        <f t="shared" si="207"/>
        <v>460.93390058676493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16.080006484820927</v>
      </c>
      <c r="CL203" s="21">
        <f>EXP(-LN(2)/25)*CL202+(1-EXP(-LN(2)/25))/(LN(2)/25)*Calculateur!CG203*Calculateur!CI203*VLOOKUP('Données projet'!$B$12,Paramètres!$A$1:$I$89,3,0)*0.475*44/12</f>
        <v>1.2298384311927295</v>
      </c>
      <c r="CM203" s="21">
        <f>EXP(-LN(2)/2)*CM202+(1-EXP(-LN(2)/2))/(LN(2)/2)*CG203*CJ203*VLOOKUP('Données projet'!$B$12,Paramètres!$A$1:$I$89,3,0)*0.475*44/12</f>
        <v>1.870234647433035E-19</v>
      </c>
      <c r="CN203" s="22">
        <f t="shared" si="172"/>
        <v>17.309844916013656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379.16472924112111</v>
      </c>
      <c r="CZ203" s="59">
        <f t="shared" si="208"/>
        <v>273.18950868898253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22.19356859079155</v>
      </c>
      <c r="DG203" s="21">
        <f>EXP(-LN(2)/25)*DG202+(1-EXP(-LN(2)/25))/(LN(2)/25)*Calculateur!DB203*Calculateur!DD203*VLOOKUP('Données projet'!$B$13,Paramètres!$A$1:$I$89,3,0)*0.475*44/12</f>
        <v>1.6625159024274201</v>
      </c>
      <c r="DH203" s="21">
        <f>EXP(-LN(2)/2)*DH202+(1-EXP(-LN(2)/2))/(LN(2)/2)*DB203*DE203*VLOOKUP('Données projet'!$B$13,Paramètres!$A$1:$I$89,3,0)*0.475*44/12</f>
        <v>8.490379004196509E-16</v>
      </c>
      <c r="DI203" s="22">
        <f t="shared" si="175"/>
        <v>23.856084493218969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6.8212102632969618E-13</v>
      </c>
      <c r="DP203" s="17">
        <f>DO203*VLOOKUP('Données projet'!$B$14,Paramètres!$A$1:$I$89,3,0)*VLOOKUP('Données projet'!$B$14,Paramètres!$A$1:$I$89,5,0)</f>
        <v>2.7489477361086753E-13</v>
      </c>
      <c r="DQ203" s="13">
        <f t="shared" si="176"/>
        <v>3.6711283554998768E-12</v>
      </c>
      <c r="DR203" s="20">
        <f t="shared" si="177"/>
        <v>6.8726569498678791E-12</v>
      </c>
      <c r="DS203" s="59">
        <f t="shared" si="197"/>
        <v>290.56523985296099</v>
      </c>
      <c r="DT203" s="59">
        <f ca="1">AVERAGE(OFFSET($DS$3,0,0,'Données projet'!$E$14+1,1))-AVERAGE(OFFSET($H$3,0,0,'Données projet'!$E$14+1,1))</f>
        <v>419.35339339286082</v>
      </c>
      <c r="DU203" s="59">
        <f t="shared" si="209"/>
        <v>359.03308141414709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24.730682669722952</v>
      </c>
      <c r="EB203" s="21">
        <f>EXP(-LN(2)/25)*EB202+(1-EXP(-LN(2)/25))/(LN(2)/25)*Calculateur!DW203*Calculateur!DY203*VLOOKUP('Données projet'!$B$14,Paramètres!$A$1:$I$89,3,0)*0.475*44/12</f>
        <v>1.6741147064870467</v>
      </c>
      <c r="EC203" s="21">
        <f>EXP(-LN(2)/2)*EC202+(1-EXP(-LN(2)/2))/(LN(2)/2)*DW203*DZ203*VLOOKUP('Données projet'!$B$14,Paramètres!$A$1:$I$89,3,0)*0.475*44/12</f>
        <v>3.0284568827830847E-17</v>
      </c>
      <c r="ED203" s="22">
        <f t="shared" si="178"/>
        <v>26.404797376209999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2.2737367544323206E-13</v>
      </c>
      <c r="EK203" s="17">
        <f>EJ203*VLOOKUP('Données projet'!$B$15,Paramètres!$A$1:$I$89,3,0)*VLOOKUP('Données projet'!$B$15,Paramètres!$A$1:$I$89,5,0)</f>
        <v>1.0049916454590858E-13</v>
      </c>
      <c r="EL203" s="13">
        <f t="shared" si="179"/>
        <v>1.5089081593838289E-12</v>
      </c>
      <c r="EM203" s="20">
        <f t="shared" si="180"/>
        <v>2.8030510891776262E-12</v>
      </c>
      <c r="EN203" s="59">
        <f t="shared" si="198"/>
        <v>290.56523985295689</v>
      </c>
      <c r="EO203" s="59">
        <f ca="1">AVERAGE(OFFSET($EN$3,0,0,'Données projet'!$E$15+1,1))-AVERAGE(OFFSET($H$3,0,0,'Données projet'!$E$15+1,1))</f>
        <v>561.50881628354409</v>
      </c>
      <c r="EP203" s="59">
        <f t="shared" si="210"/>
        <v>468.67708352238458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31.032404747542984</v>
      </c>
      <c r="EW203" s="21">
        <f>EXP(-LN(2)/25)*EW202+(1-EXP(-LN(2)/25))/(LN(2)/25)*Calculateur!ER203*Calculateur!ET203*VLOOKUP('Données projet'!$B$15,Paramètres!$A$1:$I$89,3,0)*0.475*44/12</f>
        <v>2.1718759782691679</v>
      </c>
      <c r="EX203" s="21">
        <f>EXP(-LN(2)/2)*EX202+(1-EXP(-LN(2)/2))/(LN(2)/2)*ER203*EU203*VLOOKUP('Données projet'!$B$15,Paramètres!$A$1:$I$89,3,0)*0.475*44/12</f>
        <v>4.0134623927342413E-17</v>
      </c>
      <c r="EY203" s="22">
        <f t="shared" si="181"/>
        <v>33.204280725812154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1.4003603312913959</v>
      </c>
      <c r="BV205" s="82">
        <f>EXP(LN('Données projet'!B114)/'Données projet'!A114)</f>
        <v>1.3680212568593273</v>
      </c>
      <c r="CQ205" s="82">
        <f>EXP(LN('Données projet'!B140)/'Données projet'!A140)</f>
        <v>1.2802842468510145</v>
      </c>
      <c r="DL205" s="82">
        <f>EXP(LN('Données projet'!B166)/'Données projet'!A166)</f>
        <v>1.3167180204218134</v>
      </c>
      <c r="EG205" s="82">
        <f>EXP(LN('Données projet'!B192)/'Données projet'!A192)</f>
        <v>1.3414904650106145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1.269884</v>
      </c>
      <c r="C6" s="147">
        <f ca="1">IF(OR('Données projet'!B9="",'Données projet'!C9="",'Données projet'!C9=0%),0,Calculateur!S3)</f>
        <v>484.04602944257209</v>
      </c>
      <c r="D6" s="147">
        <f>IF(OR('Données projet'!B9="",'Données projet'!C9="",'Données projet'!C9=0%),0,Calculateur!T3)</f>
        <v>297.32483725004124</v>
      </c>
      <c r="E6" s="147">
        <f ca="1">MIN(C6,D6)</f>
        <v>297.32483725004124</v>
      </c>
      <c r="F6" s="147">
        <f ca="1">E6*B6</f>
        <v>377.56805362643138</v>
      </c>
      <c r="G6" s="147">
        <f ca="1">F6*(100%-'Données projet'!$C$24)*(100%-'Données projet'!$C$25)*(100%-'Données projet'!$C$26)*(100%-'Données projet'!$C$27)</f>
        <v>258.25654868047911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8.8891880000000008</v>
      </c>
      <c r="K6" s="151">
        <f>J6*(100%-'Données projet'!$C$24)*(100%-'Données projet'!$C$25)*(100%-'Données projet'!$C$26)*(100%-'Données projet'!$C$27)</f>
        <v>6.0802045920000003</v>
      </c>
      <c r="L6" s="152">
        <f ca="1">G6+I6+K6</f>
        <v>264.33675327247909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vert</v>
      </c>
      <c r="B7" s="154">
        <f>'Données projet'!D10</f>
        <v>9.9993600000000002E-2</v>
      </c>
      <c r="C7" s="147">
        <f ca="1">IF(OR('Données projet'!B10="",'Données projet'!C10="",'Données projet'!C10=0%),0,Calculateur!AN3)</f>
        <v>493.74122500490859</v>
      </c>
      <c r="D7" s="147">
        <f>IF(OR('Données projet'!B10="",'Données projet'!C10="",'Données projet'!C10=0%),0,Calculateur!AO3)</f>
        <v>299.43985151679692</v>
      </c>
      <c r="E7" s="147">
        <f t="shared" ref="E7:E15" ca="1" si="0">MIN(C7,D7)</f>
        <v>299.43985151679692</v>
      </c>
      <c r="F7" s="147">
        <f t="shared" ref="F7:F15" ca="1" si="1">E7*B7</f>
        <v>29.942068736629984</v>
      </c>
      <c r="G7" s="147">
        <f ca="1">F7*(100%-'Données projet'!$C$24)*(100%-'Données projet'!$C$25)*(100%-'Données projet'!$C$26)*(100%-'Données projet'!$C$27)</f>
        <v>20.480375015854907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0.52496640000000006</v>
      </c>
      <c r="K7" s="151">
        <f>J7*(100%-'Données projet'!$C$24)*(100%-'Données projet'!$C$25)*(100%-'Données projet'!$C$26)*(100%-'Données projet'!$C$27)</f>
        <v>0.35907701760000005</v>
      </c>
      <c r="L7" s="152">
        <f t="shared" ref="L7:L15" ca="1" si="2">G7+I7+K7</f>
        <v>20.839452033454908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rouge d'Amérique</v>
      </c>
      <c r="B8" s="154">
        <f>'Données projet'!D11</f>
        <v>3.6397409999999994</v>
      </c>
      <c r="C8" s="147">
        <f ca="1">IF(OR('Données projet'!B11="",'Données projet'!C11="",'Données projet'!C11=0%),0,Calculateur!BI3)</f>
        <v>364.64276939439014</v>
      </c>
      <c r="D8" s="147">
        <f>IF(OR('Données projet'!B11="",'Données projet'!C11="",'Données projet'!C11=0%),0,Calculateur!BJ3)</f>
        <v>341.7578598026638</v>
      </c>
      <c r="E8" s="147">
        <f t="shared" ca="1" si="0"/>
        <v>341.7578598026638</v>
      </c>
      <c r="F8" s="147">
        <f t="shared" ca="1" si="1"/>
        <v>1243.9100943960073</v>
      </c>
      <c r="G8" s="147">
        <f ca="1">F8*(100%-'Données projet'!$C$24)*(100%-'Données projet'!$C$25)*(100%-'Données projet'!$C$26)*(100%-'Données projet'!$C$27)</f>
        <v>850.83450456686899</v>
      </c>
      <c r="H8" s="155">
        <f>IF(OR('Données projet'!B11="",'Données projet'!C11="",'Données projet'!C11=0%),0,AVERAGE(Calculateur!$BS$3:$BS$33)*B8)</f>
        <v>0.26328780153502351</v>
      </c>
      <c r="I8" s="149">
        <f>H8*(100%-'Données projet'!$C$24)*(100%-'Données projet'!$C$25)*(100%-'Données projet'!$C$26)*(100%-'Données projet'!$C$27)</f>
        <v>0.1800888562499561</v>
      </c>
      <c r="J8" s="150">
        <f>IF(OR('Données projet'!B11="",'Données projet'!C11="",'Données projet'!C11=0%),0,SUM(Calculateur!$BL$3:$BL$33)*VLOOKUP('Données projet'!$B$11,Paramètres!$A$1:$I$89,9,0)*B8)</f>
        <v>97.363071749999989</v>
      </c>
      <c r="K8" s="151">
        <f>J8*(100%-'Données projet'!$C$24)*(100%-'Données projet'!$C$25)*(100%-'Données projet'!$C$26)*(100%-'Données projet'!$C$27)</f>
        <v>66.596341077000005</v>
      </c>
      <c r="L8" s="152">
        <f t="shared" ca="1" si="2"/>
        <v>917.61093450011901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laricio</v>
      </c>
      <c r="B9" s="154">
        <f>'Données projet'!D12</f>
        <v>5.0396948000000004</v>
      </c>
      <c r="C9" s="147">
        <f ca="1">IF(OR('Données projet'!B12="",'Données projet'!C12="",'Données projet'!C12=0%),0,Calculateur!CD3)</f>
        <v>435.81281313761326</v>
      </c>
      <c r="D9" s="147">
        <f>IF(OR('Données projet'!B12="",'Données projet'!C12="",'Données projet'!C12=0%),0,Calculateur!CE3)</f>
        <v>460.93390058676493</v>
      </c>
      <c r="E9" s="147">
        <f t="shared" ca="1" si="0"/>
        <v>435.81281313761326</v>
      </c>
      <c r="F9" s="147">
        <f t="shared" ca="1" si="1"/>
        <v>2196.3635681430014</v>
      </c>
      <c r="G9" s="147">
        <f ca="1">F9*(100%-'Données projet'!$C$24)*(100%-'Données projet'!$C$25)*(100%-'Données projet'!$C$26)*(100%-'Données projet'!$C$27)</f>
        <v>1502.3126806098128</v>
      </c>
      <c r="H9" s="155">
        <f>IF(OR('Données projet'!B12="",'Données projet'!C12="",'Données projet'!C12=0%),0,AVERAGE(Calculateur!$CN$3:$CN$33)*B9)</f>
        <v>70.18274218780536</v>
      </c>
      <c r="I9" s="149">
        <f>H9*(100%-'Données projet'!$C$24)*(100%-'Données projet'!$C$25)*(100%-'Données projet'!$C$26)*(100%-'Données projet'!$C$27)</f>
        <v>48.004995656458874</v>
      </c>
      <c r="J9" s="150">
        <f>IF(OR('Données projet'!B12="",'Données projet'!C12="",'Données projet'!C12=0%),0,SUM(Calculateur!$CG$3:$CG$33)*VLOOKUP('Données projet'!$B$12,Paramètres!$A$1:$I$89,9,0)*B9)</f>
        <v>439.914959092</v>
      </c>
      <c r="K9" s="151">
        <f>J9*(100%-'Données projet'!$C$24)*(100%-'Données projet'!$C$25)*(100%-'Données projet'!$C$26)*(100%-'Données projet'!$C$27)</f>
        <v>300.90183201892802</v>
      </c>
      <c r="L9" s="152">
        <f t="shared" ca="1" si="2"/>
        <v>1851.2195082851997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Cèdre de l'Atlas</v>
      </c>
      <c r="B10" s="154">
        <f>'Données projet'!D13</f>
        <v>0.32027029999999995</v>
      </c>
      <c r="C10" s="147">
        <f ca="1">IF(OR('Données projet'!B13="",'Données projet'!C13="",'Données projet'!C13=0%),0,Calculateur!CY3)</f>
        <v>379.16472924112111</v>
      </c>
      <c r="D10" s="147">
        <f>IF(OR('Données projet'!B13="",'Données projet'!C13="",'Données projet'!C13=0%),0,Calculateur!CZ3)</f>
        <v>273.18950868898253</v>
      </c>
      <c r="E10" s="147">
        <f t="shared" ca="1" si="0"/>
        <v>273.18950868898253</v>
      </c>
      <c r="F10" s="147">
        <f t="shared" ca="1" si="1"/>
        <v>87.494485904673027</v>
      </c>
      <c r="G10" s="147">
        <f ca="1">F10*(100%-'Données projet'!$C$24)*(100%-'Données projet'!$C$25)*(100%-'Données projet'!$C$26)*(100%-'Données projet'!$C$27)</f>
        <v>59.846228358796353</v>
      </c>
      <c r="H10" s="155">
        <f>IF(OR('Données projet'!B13="",'Données projet'!C13="",'Données projet'!C13=0%),0,AVERAGE(Calculateur!$DI$3:$DI$33)*B10)</f>
        <v>1.3077800169182647</v>
      </c>
      <c r="I10" s="149">
        <f>H10*(100%-'Données projet'!$C$24)*(100%-'Données projet'!$C$25)*(100%-'Données projet'!$C$26)*(100%-'Données projet'!$C$27)</f>
        <v>0.89452153157209324</v>
      </c>
      <c r="J10" s="150">
        <f>IF(OR('Données projet'!B13="",'Données projet'!C13="",'Données projet'!C13=0%),0,SUM(Calculateur!$DB$3:$DB$33)*VLOOKUP('Données projet'!$B$13,Paramètres!$A$1:$I$89,9,0)*B10)</f>
        <v>12.394460609999999</v>
      </c>
      <c r="K10" s="151">
        <f>J10*(100%-'Données projet'!$C$24)*(100%-'Données projet'!$C$25)*(100%-'Données projet'!$C$26)*(100%-'Données projet'!$C$27)</f>
        <v>8.4778110572399985</v>
      </c>
      <c r="L10" s="152">
        <f t="shared" ca="1" si="2"/>
        <v>69.218560947608452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Thuya géant</v>
      </c>
      <c r="B11" s="154">
        <f>'Données projet'!D14</f>
        <v>0.33005699999999999</v>
      </c>
      <c r="C11" s="147">
        <f ca="1">IF(OR('Données projet'!B14="",'Données projet'!C14="",'Données projet'!C14=0%),0,Calculateur!DT3)</f>
        <v>419.35339339286082</v>
      </c>
      <c r="D11" s="147">
        <f>IF(OR('Données projet'!B14="",'Données projet'!C14="",'Données projet'!C14=0%),0,Calculateur!DU3)</f>
        <v>359.03308141414709</v>
      </c>
      <c r="E11" s="147">
        <f t="shared" ca="1" si="0"/>
        <v>359.03308141414709</v>
      </c>
      <c r="F11" s="147">
        <f t="shared" ca="1" si="1"/>
        <v>118.50138175230914</v>
      </c>
      <c r="G11" s="147">
        <f ca="1">F11*(100%-'Données projet'!$C$24)*(100%-'Données projet'!$C$25)*(100%-'Données projet'!$C$26)*(100%-'Données projet'!$C$27)</f>
        <v>81.054945118579468</v>
      </c>
      <c r="H11" s="155">
        <f>IF(OR('Données projet'!B14="",'Données projet'!C14="",'Données projet'!C14=0%),0,AVERAGE(Calculateur!$ED$3:$ED$33)*B11)</f>
        <v>2.1644868743237051</v>
      </c>
      <c r="I11" s="149">
        <f>H11*(100%-'Données projet'!$C$24)*(100%-'Données projet'!$C$25)*(100%-'Données projet'!$C$26)*(100%-'Données projet'!$C$27)</f>
        <v>1.4805090220374144</v>
      </c>
      <c r="J11" s="150">
        <f>IF(OR('Données projet'!B14="",'Données projet'!C14="",'Données projet'!C14=0%),0,SUM(Calculateur!$DW$3:$DW$33)*VLOOKUP('Données projet'!$B$14,Paramètres!$A$1:$I$89,9,0)*B11)</f>
        <v>23.559468659999997</v>
      </c>
      <c r="K11" s="151">
        <f>J11*(100%-'Données projet'!$C$24)*(100%-'Données projet'!$C$25)*(100%-'Données projet'!$C$26)*(100%-'Données projet'!$C$27)</f>
        <v>16.114676563439996</v>
      </c>
      <c r="L11" s="152">
        <f t="shared" ca="1" si="2"/>
        <v>98.650130704056878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Séquoia toujours vert</v>
      </c>
      <c r="B12" s="154">
        <f>'Données projet'!D15</f>
        <v>0.15034844999999999</v>
      </c>
      <c r="C12" s="147">
        <f ca="1">IF(OR('Données projet'!B15="",'Données projet'!C15="",'Données projet'!C15=0%),0,Calculateur!EO3)</f>
        <v>561.50881628354409</v>
      </c>
      <c r="D12" s="147">
        <f>IF(OR('Données projet'!B15="",'Données projet'!C15="",'Données projet'!C15=0%),0,Calculateur!EP3)</f>
        <v>468.67708352238458</v>
      </c>
      <c r="E12" s="147">
        <f t="shared" ca="1" si="0"/>
        <v>468.67708352238458</v>
      </c>
      <c r="F12" s="147">
        <f t="shared" ca="1" si="1"/>
        <v>70.464873058111053</v>
      </c>
      <c r="G12" s="147">
        <f ca="1">F12*(100%-'Données projet'!$C$24)*(100%-'Données projet'!$C$25)*(100%-'Données projet'!$C$26)*(100%-'Données projet'!$C$27)</f>
        <v>48.197973171747961</v>
      </c>
      <c r="H12" s="155">
        <f>IF(OR('Données projet'!B15="",'Données projet'!C15="",'Données projet'!C15=0%),0,AVERAGE(Calculateur!$EY$3:$EY$33)*B12)</f>
        <v>2.1833268638646648</v>
      </c>
      <c r="I12" s="149">
        <f>H12*(100%-'Données projet'!$C$24)*(100%-'Données projet'!$C$25)*(100%-'Données projet'!$C$26)*(100%-'Données projet'!$C$27)</f>
        <v>1.4933955748834307</v>
      </c>
      <c r="J12" s="150">
        <f>IF(OR('Données projet'!B15="",'Données projet'!C15="",'Données projet'!C15=0%),0,SUM(Calculateur!$ER$3:$ER$33)*VLOOKUP('Données projet'!$B$15,Paramètres!$A$1:$I$89,9,0)*B12)</f>
        <v>17.455455044999997</v>
      </c>
      <c r="K12" s="151">
        <f>J12*(100%-'Données projet'!$C$24)*(100%-'Données projet'!$C$25)*(100%-'Données projet'!$C$26)*(100%-'Données projet'!$C$27)</f>
        <v>11.93953125078</v>
      </c>
      <c r="L12" s="152">
        <f t="shared" ca="1" si="2"/>
        <v>61.63089999741139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4124.2445256171632</v>
      </c>
      <c r="G16" s="166">
        <f t="shared" ca="1" si="3"/>
        <v>2820.9832555221396</v>
      </c>
      <c r="H16" s="167">
        <f t="shared" si="3"/>
        <v>76.101623744447011</v>
      </c>
      <c r="I16" s="167">
        <f t="shared" si="3"/>
        <v>52.053510641201775</v>
      </c>
      <c r="J16" s="168">
        <f t="shared" si="3"/>
        <v>600.10156955700006</v>
      </c>
      <c r="K16" s="168">
        <f t="shared" si="3"/>
        <v>410.46947357698804</v>
      </c>
      <c r="L16" s="169">
        <f t="shared" ca="1" si="3"/>
        <v>3283.506239740329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vert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Thuya géant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Séquoia toujours vert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270" zoomScale="80" zoomScaleNormal="80" workbookViewId="0">
      <selection activeCell="E292" sqref="E29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1.269884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vert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9.9993600000000002E-2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3.6397409999999994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5.0396948000000004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Cèdre de l'Atlas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0.32027029999999995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Thuya géant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0.33005699999999999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Séquoia toujours vert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0.15034844999999999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4</v>
      </c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28</v>
      </c>
      <c r="C25" s="193"/>
      <c r="D25" s="182">
        <f t="shared" si="2"/>
        <v>0</v>
      </c>
      <c r="E25" s="193"/>
      <c r="F25" s="233"/>
      <c r="H25" s="190">
        <v>5</v>
      </c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35</v>
      </c>
      <c r="B26" s="181">
        <f>'Données projet'!D39</f>
        <v>28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28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45</v>
      </c>
      <c r="B28" s="181">
        <f>'Données projet'!D41</f>
        <v>28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50</v>
      </c>
      <c r="B29" s="181">
        <f>'Données projet'!D42</f>
        <v>28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55</v>
      </c>
      <c r="B30" s="181">
        <f>'Données projet'!D43</f>
        <v>28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60</v>
      </c>
      <c r="B31" s="181">
        <f>'Données projet'!D44</f>
        <v>28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65</v>
      </c>
      <c r="B32" s="181">
        <f>'Données projet'!D45</f>
        <v>28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70</v>
      </c>
      <c r="B33" s="181">
        <f>'Données projet'!D46</f>
        <v>28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75</v>
      </c>
      <c r="B34" s="181">
        <f>'Données projet'!D47</f>
        <v>28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80</v>
      </c>
      <c r="B35" s="181">
        <f>'Données projet'!D48</f>
        <v>28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85</v>
      </c>
      <c r="B36" s="181">
        <f>'Données projet'!D49</f>
        <v>28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90</v>
      </c>
      <c r="B37" s="181">
        <f>'Données projet'!D50</f>
        <v>28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95</v>
      </c>
      <c r="B38" s="181">
        <f>'Données projet'!D51</f>
        <v>28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100</v>
      </c>
      <c r="B39" s="181">
        <f>'Données projet'!D52</f>
        <v>27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105</v>
      </c>
      <c r="B40" s="181">
        <f>'Données projet'!D53</f>
        <v>26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110</v>
      </c>
      <c r="B41" s="181">
        <f>'Données projet'!D54</f>
        <v>25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120</v>
      </c>
      <c r="B42" s="181">
        <f>'Données projet'!D55</f>
        <v>328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vert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25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21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35</v>
      </c>
      <c r="B57" s="181">
        <f>'Données projet'!D65</f>
        <v>21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40</v>
      </c>
      <c r="B58" s="181">
        <f>'Données projet'!D66</f>
        <v>21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45</v>
      </c>
      <c r="B59" s="181">
        <f>'Données projet'!D67</f>
        <v>21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50</v>
      </c>
      <c r="B60" s="181">
        <f>'Données projet'!D68</f>
        <v>21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55</v>
      </c>
      <c r="B61" s="181">
        <f>'Données projet'!D69</f>
        <v>21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60</v>
      </c>
      <c r="B62" s="181">
        <f>'Données projet'!D70</f>
        <v>21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65</v>
      </c>
      <c r="B63" s="181">
        <f>'Données projet'!D71</f>
        <v>21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70</v>
      </c>
      <c r="B64" s="181">
        <f>'Données projet'!D72</f>
        <v>21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75</v>
      </c>
      <c r="B65" s="181">
        <f>'Données projet'!D73</f>
        <v>21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80</v>
      </c>
      <c r="B66" s="181">
        <f>'Données projet'!D74</f>
        <v>21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85</v>
      </c>
      <c r="B67" s="181">
        <f>'Données projet'!D75</f>
        <v>21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90</v>
      </c>
      <c r="B68" s="181">
        <f>'Données projet'!D76</f>
        <v>21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100</v>
      </c>
      <c r="B69" s="181">
        <f>'Données projet'!D77</f>
        <v>21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110</v>
      </c>
      <c r="B70" s="181">
        <f>'Données projet'!D78</f>
        <v>19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120</v>
      </c>
      <c r="B71" s="181">
        <f>'Données projet'!D79</f>
        <v>285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>
        <f>'Données projet'!D90</f>
        <v>54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>
        <f>'Données projet'!D91</f>
        <v>26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>
        <f>'Données projet'!D92</f>
        <v>27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>
        <f>'Données projet'!D93</f>
        <v>27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>
        <f>'Données projet'!D94</f>
        <v>27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>
        <f>'Données projet'!D95</f>
        <v>26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>
        <f>'Données projet'!D96</f>
        <v>24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>
        <f>'Données projet'!D97</f>
        <v>23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>
        <f>'Données projet'!D98</f>
        <v>21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>
        <f>'Données projet'!D99</f>
        <v>20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>
        <f>'Données projet'!D100</f>
        <v>18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>
        <f>'Données projet'!D101</f>
        <v>16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>
        <f>'Données projet'!D102</f>
        <v>15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85</v>
      </c>
      <c r="B100" s="181">
        <f>'Données projet'!D103</f>
        <v>14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90</v>
      </c>
      <c r="B101" s="181">
        <f>'Données projet'!D104</f>
        <v>249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15</v>
      </c>
      <c r="B116" s="181">
        <f>'Données projet'!D114</f>
        <v>14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20</v>
      </c>
      <c r="B117" s="181">
        <f>'Données projet'!D115</f>
        <v>63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25</v>
      </c>
      <c r="B118" s="181">
        <f>'Données projet'!D116</f>
        <v>63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30</v>
      </c>
      <c r="B119" s="181">
        <f>'Données projet'!D117</f>
        <v>63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35</v>
      </c>
      <c r="B120" s="181">
        <f>'Données projet'!D118</f>
        <v>63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40</v>
      </c>
      <c r="B121" s="181">
        <f>'Données projet'!D119</f>
        <v>63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45</v>
      </c>
      <c r="B122" s="181">
        <f>'Données projet'!D120</f>
        <v>60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50</v>
      </c>
      <c r="B123" s="181">
        <f>'Données projet'!D121</f>
        <v>53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55</v>
      </c>
      <c r="B124" s="181">
        <f>'Données projet'!D122</f>
        <v>45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60</v>
      </c>
      <c r="B125" s="181">
        <f>'Données projet'!D123</f>
        <v>39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65</v>
      </c>
      <c r="B126" s="181">
        <f>'Données projet'!D124</f>
        <v>627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20</v>
      </c>
      <c r="B147" s="175">
        <f>'Données projet'!D140</f>
        <v>40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30</v>
      </c>
      <c r="B148" s="175">
        <f>'Données projet'!D141</f>
        <v>50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40</v>
      </c>
      <c r="B149" s="175">
        <f>'Données projet'!D142</f>
        <v>50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50</v>
      </c>
      <c r="B150" s="175">
        <f>'Données projet'!D143</f>
        <v>50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60</v>
      </c>
      <c r="B151" s="175">
        <f>'Données projet'!D144</f>
        <v>40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70</v>
      </c>
      <c r="B152" s="175">
        <f>'Données projet'!D145</f>
        <v>40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80</v>
      </c>
      <c r="B153" s="175">
        <f>'Données projet'!D146</f>
        <v>30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90</v>
      </c>
      <c r="B154" s="175">
        <f>'Données projet'!D147</f>
        <v>640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Thuya géant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15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20</v>
      </c>
      <c r="B179" s="181">
        <f>'Données projet'!D167</f>
        <v>26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25</v>
      </c>
      <c r="B180" s="181">
        <f>'Données projet'!D168</f>
        <v>70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30</v>
      </c>
      <c r="B181" s="181">
        <f>'Données projet'!D169</f>
        <v>70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35</v>
      </c>
      <c r="B182" s="181">
        <f>'Données projet'!D170</f>
        <v>70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40</v>
      </c>
      <c r="B183" s="181">
        <f>'Données projet'!D171</f>
        <v>70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45</v>
      </c>
      <c r="B184" s="181">
        <f>'Données projet'!D172</f>
        <v>70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50</v>
      </c>
      <c r="B185" s="181">
        <f>'Données projet'!D173</f>
        <v>70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55</v>
      </c>
      <c r="B186" s="181">
        <f>'Données projet'!D174</f>
        <v>63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60</v>
      </c>
      <c r="B187" s="181">
        <f>'Données projet'!D175</f>
        <v>56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65</v>
      </c>
      <c r="B188" s="181">
        <f>'Données projet'!D176</f>
        <v>52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70</v>
      </c>
      <c r="B189" s="181">
        <f>'Données projet'!D177</f>
        <v>49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75</v>
      </c>
      <c r="B190" s="181">
        <f>'Données projet'!D178</f>
        <v>47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80</v>
      </c>
      <c r="B191" s="181">
        <f>'Données projet'!D179</f>
        <v>840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Séquoia toujours vert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15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20</v>
      </c>
      <c r="B210" s="181">
        <f>'Données projet'!D193</f>
        <v>88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25</v>
      </c>
      <c r="B211" s="181">
        <f>'Données projet'!D194</f>
        <v>91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30</v>
      </c>
      <c r="B212" s="181">
        <f>'Données projet'!D195</f>
        <v>91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35</v>
      </c>
      <c r="B213" s="181">
        <f>'Données projet'!D196</f>
        <v>91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40</v>
      </c>
      <c r="B214" s="181">
        <f>'Données projet'!D197</f>
        <v>91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45</v>
      </c>
      <c r="B215" s="181">
        <f>'Données projet'!D198</f>
        <v>74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50</v>
      </c>
      <c r="B216" s="181">
        <f>'Données projet'!D199</f>
        <v>63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55</v>
      </c>
      <c r="B217" s="181">
        <f>'Données projet'!D200</f>
        <v>55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60</v>
      </c>
      <c r="B218" s="181">
        <f>'Données projet'!D201</f>
        <v>48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65</v>
      </c>
      <c r="B219" s="181">
        <f>'Données projet'!D202</f>
        <v>43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70</v>
      </c>
      <c r="B220" s="181">
        <f>'Données projet'!D203</f>
        <v>38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75</v>
      </c>
      <c r="B221" s="181">
        <f>'Données projet'!D204</f>
        <v>33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80</v>
      </c>
      <c r="B222" s="181">
        <f>'Données projet'!D205</f>
        <v>1020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2023-10-25T11:38:39Z</dcterms:modified>
</cp:coreProperties>
</file>