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3-DEPOSE/099-B-DELAMOTTE-CVL(37)-PINARDIERE-deLaRochefoucauld-Le Louroux/"/>
    </mc:Choice>
  </mc:AlternateContent>
  <xr:revisionPtr revIDLastSave="0" documentId="13_ncr:1_{AE5108ED-6ACB-E940-8855-7F53540B07F0}" xr6:coauthVersionLast="47" xr6:coauthVersionMax="47" xr10:uidLastSave="{00000000-0000-0000-0000-000000000000}"/>
  <bookViews>
    <workbookView xWindow="1120" yWindow="2960" windowWidth="27260" windowHeight="1558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1" i="6" l="1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09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5" i="6"/>
  <c r="C42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23" i="6"/>
  <c r="I20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A7" i="2"/>
  <c r="HI7" i="2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G10" i="2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V18" i="2"/>
  <c r="HG18" i="2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HG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H24" i="2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B33" i="2" l="1"/>
  <c r="EW33" i="2"/>
  <c r="EA33" i="2"/>
  <c r="EV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EB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EW38" i="2"/>
  <c r="EA38" i="2"/>
  <c r="HG38" i="2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HG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B45" i="2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I60" i="2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X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B78" i="2"/>
  <c r="HI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G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X87" i="2"/>
  <c r="EA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B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X113" i="2"/>
  <c r="EW113" i="2"/>
  <c r="EC113" i="2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FS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EB130" i="2"/>
  <c r="HH130" i="2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I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C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EX154" i="2"/>
  <c r="AA154" i="2"/>
  <c r="EV154" i="2"/>
  <c r="EC154" i="2"/>
  <c r="EA154" i="2"/>
  <c r="FS154" i="2"/>
  <c r="HI154" i="2"/>
  <c r="GN154" i="2"/>
  <c r="DF154" i="2"/>
  <c r="DG154" i="2"/>
  <c r="DI154" i="2" s="1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EX155" i="2"/>
  <c r="EY154" i="2"/>
  <c r="AC154" i="2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DH156" i="2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X157" i="2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HI159" i="2"/>
  <c r="EC159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ED159" i="2"/>
  <c r="HG160" i="2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X161" i="2"/>
  <c r="EB161" i="2"/>
  <c r="EA161" i="2"/>
  <c r="AB161" i="2"/>
  <c r="HH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D161" i="2"/>
  <c r="EY161" i="2"/>
  <c r="EC162" i="2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Y162" i="2"/>
  <c r="HI163" i="2"/>
  <c r="EB163" i="2"/>
  <c r="EV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FS164" i="2"/>
  <c r="EY163" i="2"/>
  <c r="EV164" i="2"/>
  <c r="EA164" i="2"/>
  <c r="DH164" i="2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A165" i="2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ED165" i="2"/>
  <c r="EC166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X167" i="2"/>
  <c r="DG167" i="2"/>
  <c r="EA167" i="2"/>
  <c r="EB167" i="2"/>
  <c r="FR167" i="2"/>
  <c r="EC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DI167" i="2"/>
  <c r="EB168" i="2"/>
  <c r="DG168" i="2"/>
  <c r="EV168" i="2"/>
  <c r="EW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Y168" i="2"/>
  <c r="EB169" i="2"/>
  <c r="EX169" i="2"/>
  <c r="HH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A172" i="2"/>
  <c r="EY171" i="2"/>
  <c r="EV172" i="2"/>
  <c r="ED171" i="2"/>
  <c r="EW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D172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FS175" i="2"/>
  <c r="EB175" i="2"/>
  <c r="EW175" i="2"/>
  <c r="HI175" i="2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Y175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W177" i="2"/>
  <c r="EC177" i="2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S178" i="2"/>
  <c r="EA178" i="2"/>
  <c r="EB178" i="2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DF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Y179" i="2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DG182" i="2"/>
  <c r="FS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FS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D184" i="2"/>
  <c r="EA185" i="2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FR186" i="2"/>
  <c r="EW186" i="2"/>
  <c r="HH186" i="2"/>
  <c r="HG186" i="2"/>
  <c r="ED185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Y186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AA189" i="2"/>
  <c r="HH189" i="2"/>
  <c r="EB189" i="2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V190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HI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V192" i="2"/>
  <c r="EW192" i="2"/>
  <c r="EC192" i="2"/>
  <c r="EB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Y192" i="2"/>
  <c r="FQ193" i="2"/>
  <c r="EX193" i="2"/>
  <c r="DI192" i="2"/>
  <c r="EB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EB194" i="2"/>
  <c r="ED193" i="2"/>
  <c r="EA194" i="2"/>
  <c r="CN193" i="2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ED194" i="2"/>
  <c r="FQ195" i="2"/>
  <c r="EA195" i="2"/>
  <c r="EY194" i="2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EY195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Y196" i="2" l="1"/>
  <c r="EC197" i="2"/>
  <c r="EW197" i="2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FS199" i="2" l="1"/>
  <c r="EY198" i="2"/>
  <c r="EV199" i="2"/>
  <c r="EW199" i="2"/>
  <c r="HG199" i="2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EB201" i="2"/>
  <c r="FS201" i="2"/>
  <c r="ED200" i="2"/>
  <c r="DI200" i="2"/>
  <c r="HG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EW202" i="2"/>
  <c r="EY201" i="2"/>
  <c r="ED201" i="2"/>
  <c r="HI202" i="2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BC68" i="2" a="1"/>
  <c r="BC68" i="2" s="1"/>
  <c r="BC47" i="2" a="1"/>
  <c r="BC47" i="2" s="1"/>
  <c r="BC126" i="2" a="1"/>
  <c r="BC126" i="2" s="1"/>
  <c r="BC65" i="2" a="1"/>
  <c r="BC65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CS66" i="2" a="1"/>
  <c r="CS66" i="2" s="1"/>
  <c r="DN41" i="2" a="1"/>
  <c r="DN41" i="2" s="1"/>
  <c r="DN29" i="2" a="1"/>
  <c r="DN29" i="2" s="1"/>
  <c r="DN115" i="2" a="1"/>
  <c r="DN115" i="2" s="1"/>
  <c r="DN177" i="2" a="1"/>
  <c r="DN177" i="2" s="1"/>
  <c r="CS116" i="2" a="1"/>
  <c r="CS116" i="2" s="1"/>
  <c r="AH151" i="2" a="1"/>
  <c r="AH151" i="2" s="1"/>
  <c r="CS77" i="2" a="1"/>
  <c r="CS77" i="2" s="1"/>
  <c r="AH166" i="2" a="1"/>
  <c r="AH166" i="2" s="1"/>
  <c r="AH62" i="2" a="1"/>
  <c r="AH62" i="2" s="1"/>
  <c r="AH163" i="2" a="1"/>
  <c r="AH163" i="2" s="1"/>
  <c r="CS161" i="2" a="1"/>
  <c r="CS161" i="2" s="1"/>
  <c r="CS105" i="2" a="1"/>
  <c r="CS105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BC55" i="2" a="1"/>
  <c r="BC55" i="2" s="1"/>
  <c r="BC192" i="2" a="1"/>
  <c r="BC192" i="2" s="1"/>
  <c r="BC164" i="2" a="1"/>
  <c r="BC164" i="2" s="1"/>
  <c r="BC31" i="2" a="1"/>
  <c r="BC31" i="2" s="1"/>
  <c r="BC143" i="2" a="1"/>
  <c r="BC143" i="2" s="1"/>
  <c r="BC7" i="2" a="1"/>
  <c r="BC7" i="2" s="1"/>
  <c r="BC83" i="2" a="1"/>
  <c r="BC83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DN168" i="2" a="1"/>
  <c r="DN168" i="2" s="1"/>
  <c r="CS185" i="2" a="1"/>
  <c r="CS185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CS72" i="2" a="1"/>
  <c r="CS72" i="2" s="1"/>
  <c r="DN187" i="2" a="1"/>
  <c r="DN187" i="2" s="1"/>
  <c r="HJ202" i="2"/>
  <c r="AX200" i="2"/>
  <c r="FD82" i="2" l="1" a="1"/>
  <c r="FD82" i="2" s="1"/>
  <c r="FS203" i="2"/>
  <c r="FD187" i="2" a="1"/>
  <c r="FD187" i="2" s="1"/>
  <c r="FD160" i="2" a="1"/>
  <c r="FD160" i="2" s="1"/>
  <c r="FD137" i="2" a="1"/>
  <c r="FD137" i="2" s="1"/>
  <c r="FD194" i="2" a="1"/>
  <c r="FD194" i="2" s="1"/>
  <c r="FD159" i="2" a="1"/>
  <c r="FD159" i="2" s="1"/>
  <c r="FD19" i="2" a="1"/>
  <c r="FD19" i="2" s="1"/>
  <c r="FD107" i="2" a="1"/>
  <c r="FD107" i="2" s="1"/>
  <c r="FD167" i="2" a="1"/>
  <c r="FD167" i="2" s="1"/>
  <c r="FD131" i="2" a="1"/>
  <c r="FD131" i="2" s="1"/>
  <c r="FD43" i="2" a="1"/>
  <c r="FD43" i="2" s="1"/>
  <c r="FD14" i="2" a="1"/>
  <c r="FD14" i="2" s="1"/>
  <c r="FD48" i="2" a="1"/>
  <c r="FD48" i="2" s="1"/>
  <c r="FD64" i="2" a="1"/>
  <c r="FD64" i="2" s="1"/>
  <c r="FD44" i="2" a="1"/>
  <c r="FD44" i="2" s="1"/>
  <c r="FD189" i="2" a="1"/>
  <c r="FD189" i="2" s="1"/>
  <c r="FD188" i="2" a="1"/>
  <c r="FD188" i="2" s="1"/>
  <c r="FD60" i="2" a="1"/>
  <c r="FD60" i="2" s="1"/>
  <c r="FD59" i="2" a="1"/>
  <c r="FD59" i="2" s="1"/>
  <c r="FD144" i="2" a="1"/>
  <c r="FD144" i="2" s="1"/>
  <c r="FD21" i="2" a="1"/>
  <c r="FD21" i="2" s="1"/>
  <c r="EI113" i="2" a="1"/>
  <c r="EI113" i="2" s="1"/>
  <c r="EI87" i="2" a="1"/>
  <c r="EI87" i="2" s="1"/>
  <c r="EI178" i="2" a="1"/>
  <c r="EI178" i="2" s="1"/>
  <c r="EI20" i="2" a="1"/>
  <c r="EI20" i="2" s="1"/>
  <c r="EI195" i="2" a="1"/>
  <c r="EI195" i="2" s="1"/>
  <c r="EI139" i="2" a="1"/>
  <c r="EI139" i="2" s="1"/>
  <c r="EI165" i="2" a="1"/>
  <c r="EI165" i="2" s="1"/>
  <c r="EI29" i="2" a="1"/>
  <c r="EI29" i="2" s="1"/>
  <c r="EI37" i="2" a="1"/>
  <c r="EI37" i="2" s="1"/>
  <c r="EI38" i="2" a="1"/>
  <c r="EI38" i="2" s="1"/>
  <c r="EI162" i="2" a="1"/>
  <c r="EI162" i="2" s="1"/>
  <c r="EI170" i="2" a="1"/>
  <c r="EI170" i="2" s="1"/>
  <c r="EI57" i="2" a="1"/>
  <c r="EI57" i="2" s="1"/>
  <c r="EI153" i="2" a="1"/>
  <c r="EI153" i="2" s="1"/>
  <c r="EI35" i="2" a="1"/>
  <c r="EI35" i="2" s="1"/>
  <c r="EI16" i="2" a="1"/>
  <c r="EI16" i="2" s="1"/>
  <c r="EI34" i="2" a="1"/>
  <c r="EI34" i="2" s="1"/>
  <c r="EI36" i="2" a="1"/>
  <c r="EI36" i="2" s="1"/>
  <c r="EI145" i="2" a="1"/>
  <c r="EI145" i="2" s="1"/>
  <c r="EI106" i="2" a="1"/>
  <c r="EI106" i="2" s="1"/>
  <c r="EY202" i="2"/>
  <c r="EI67" i="2" a="1"/>
  <c r="EI67" i="2" s="1"/>
  <c r="EI128" i="2" a="1"/>
  <c r="EI128" i="2" s="1"/>
  <c r="EI71" i="2" a="1"/>
  <c r="EI71" i="2" s="1"/>
  <c r="EI109" i="2" a="1"/>
  <c r="EI109" i="2" s="1"/>
  <c r="EI142" i="2" a="1"/>
  <c r="EI142" i="2" s="1"/>
  <c r="EI150" i="2" a="1"/>
  <c r="EI150" i="2" s="1"/>
  <c r="EI166" i="2" a="1"/>
  <c r="EI166" i="2" s="1"/>
  <c r="BC151" i="2" a="1"/>
  <c r="BC151" i="2" s="1"/>
  <c r="BC84" i="2" a="1"/>
  <c r="BC84" i="2" s="1"/>
  <c r="BC114" i="2" a="1"/>
  <c r="BC114" i="2" s="1"/>
  <c r="BC58" i="2" a="1"/>
  <c r="BC58" i="2" s="1"/>
  <c r="BC38" i="2" a="1"/>
  <c r="BC38" i="2" s="1"/>
  <c r="BC185" i="2" a="1"/>
  <c r="BC185" i="2" s="1"/>
  <c r="BC32" i="2" a="1"/>
  <c r="BC32" i="2" s="1"/>
  <c r="BC130" i="2" a="1"/>
  <c r="BC130" i="2" s="1"/>
  <c r="BC181" i="2" a="1"/>
  <c r="BC181" i="2" s="1"/>
  <c r="BC82" i="2" a="1"/>
  <c r="BC82" i="2" s="1"/>
  <c r="BC34" i="2" a="1"/>
  <c r="BC34" i="2" s="1"/>
  <c r="BP203" i="2"/>
  <c r="CS134" i="2" a="1"/>
  <c r="CS134" i="2" s="1"/>
  <c r="CS114" i="2" a="1"/>
  <c r="CS114" i="2" s="1"/>
  <c r="CS120" i="2" a="1"/>
  <c r="CS120" i="2" s="1"/>
  <c r="CS129" i="2" a="1"/>
  <c r="CS129" i="2" s="1"/>
  <c r="CS24" i="2" a="1"/>
  <c r="CS24" i="2" s="1"/>
  <c r="CS56" i="2" a="1"/>
  <c r="CS56" i="2" s="1"/>
  <c r="CS38" i="2" a="1"/>
  <c r="CS38" i="2" s="1"/>
  <c r="CS137" i="2" a="1"/>
  <c r="CS137" i="2" s="1"/>
  <c r="CS52" i="2" a="1"/>
  <c r="CS52" i="2" s="1"/>
  <c r="BX107" i="2" a="1"/>
  <c r="BX107" i="2" s="1"/>
  <c r="DN103" i="2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T203" i="2"/>
  <c r="EY203" i="2"/>
  <c r="DI203" i="2"/>
  <c r="FZ9" i="2"/>
  <c r="FZ10" i="2" s="1"/>
  <c r="FZ11" i="2" s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FJ11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J32" i="2" l="1"/>
  <c r="FJ190" i="2"/>
  <c r="FJ177" i="2"/>
  <c r="FJ4" i="2"/>
  <c r="FJ151" i="2"/>
  <c r="FJ192" i="2"/>
  <c r="FJ149" i="2"/>
  <c r="FJ143" i="2"/>
  <c r="FJ19" i="2"/>
  <c r="FJ167" i="2"/>
  <c r="FJ60" i="2"/>
  <c r="FJ90" i="2"/>
  <c r="FJ137" i="2"/>
  <c r="FJ127" i="2"/>
  <c r="FJ165" i="2"/>
  <c r="FJ144" i="2"/>
  <c r="FJ39" i="2"/>
  <c r="FJ188" i="2"/>
  <c r="FJ147" i="2"/>
  <c r="FJ52" i="2"/>
  <c r="FJ126" i="2"/>
  <c r="FJ77" i="2"/>
  <c r="FJ72" i="2"/>
  <c r="FJ45" i="2"/>
  <c r="FJ81" i="2"/>
  <c r="FJ82" i="2"/>
  <c r="FJ28" i="2"/>
  <c r="FJ175" i="2"/>
  <c r="FJ91" i="2"/>
  <c r="FJ47" i="2"/>
  <c r="FJ12" i="2"/>
  <c r="FJ134" i="2"/>
  <c r="FJ105" i="2"/>
  <c r="FJ48" i="2"/>
  <c r="FJ172" i="2"/>
  <c r="FJ133" i="2"/>
  <c r="FJ9" i="2"/>
  <c r="FJ163" i="2"/>
  <c r="FJ30" i="2"/>
  <c r="FJ120" i="2"/>
  <c r="FJ195" i="2"/>
  <c r="FJ75" i="2"/>
  <c r="FJ85" i="2"/>
  <c r="FJ142" i="2"/>
  <c r="FJ37" i="2"/>
  <c r="FJ161" i="2"/>
  <c r="FJ194" i="2"/>
  <c r="FJ102" i="2"/>
  <c r="FJ103" i="2"/>
  <c r="FJ73" i="2"/>
  <c r="FJ98" i="2"/>
  <c r="FJ93" i="2"/>
  <c r="FJ67" i="2"/>
  <c r="FJ198" i="2"/>
  <c r="FJ116" i="2"/>
  <c r="FJ131" i="2"/>
  <c r="FJ174" i="2"/>
  <c r="FJ86" i="2"/>
  <c r="FJ158" i="2"/>
  <c r="FJ140" i="2"/>
  <c r="FJ124" i="2"/>
  <c r="FJ191" i="2"/>
  <c r="FJ156" i="2"/>
  <c r="FJ8" i="2"/>
  <c r="FJ71" i="2"/>
  <c r="FJ157" i="2"/>
  <c r="FJ183" i="2"/>
  <c r="FJ49" i="2"/>
  <c r="FJ185" i="2"/>
  <c r="FJ74" i="2"/>
  <c r="FJ97" i="2"/>
  <c r="FJ79" i="2"/>
  <c r="FJ154" i="2"/>
  <c r="FJ94" i="2"/>
  <c r="FJ58" i="2"/>
  <c r="FJ122" i="2"/>
  <c r="FJ111" i="2"/>
  <c r="FJ136" i="2"/>
  <c r="FJ25" i="2"/>
  <c r="FJ50" i="2"/>
  <c r="FJ166" i="2"/>
  <c r="FJ66" i="2"/>
  <c r="FJ164" i="2"/>
  <c r="FJ87" i="2"/>
  <c r="FJ44" i="2"/>
  <c r="FJ197" i="2"/>
  <c r="FJ65" i="2"/>
  <c r="FJ55" i="2"/>
  <c r="FJ15" i="2"/>
  <c r="FJ180" i="2"/>
  <c r="FJ145" i="2"/>
  <c r="FJ173" i="2"/>
  <c r="FJ129" i="2"/>
  <c r="FJ203" i="2"/>
  <c r="FJ46" i="2"/>
  <c r="FJ22" i="2"/>
  <c r="FJ69" i="2"/>
  <c r="FJ43" i="2"/>
  <c r="FJ178" i="2"/>
  <c r="FJ24" i="2"/>
  <c r="FJ141" i="2"/>
  <c r="FJ182" i="2"/>
  <c r="FJ26" i="2"/>
  <c r="FJ153" i="2"/>
  <c r="FJ101" i="2"/>
  <c r="FJ34" i="2"/>
  <c r="FJ169" i="2"/>
  <c r="FJ88" i="2"/>
  <c r="FJ53" i="2"/>
  <c r="FJ84" i="2"/>
  <c r="FJ189" i="2"/>
  <c r="FJ51" i="2"/>
  <c r="FJ106" i="2"/>
  <c r="FJ130" i="2"/>
  <c r="FJ13" i="2"/>
  <c r="FJ104" i="2"/>
  <c r="FJ100" i="2"/>
  <c r="FJ38" i="2"/>
  <c r="FJ155" i="2"/>
  <c r="FJ31" i="2"/>
  <c r="FJ7" i="2"/>
  <c r="FJ196" i="2"/>
  <c r="FJ110" i="2"/>
  <c r="FJ162" i="2"/>
  <c r="FJ36" i="2"/>
  <c r="FJ202" i="2"/>
  <c r="FJ29" i="2"/>
  <c r="FJ92" i="2"/>
  <c r="FJ171" i="2"/>
  <c r="FJ150" i="2"/>
  <c r="FJ139" i="2"/>
  <c r="FJ160" i="2"/>
  <c r="FJ80" i="2"/>
  <c r="FJ117" i="2"/>
  <c r="FJ138" i="2"/>
  <c r="FJ57" i="2"/>
  <c r="FJ181" i="2"/>
  <c r="FJ54" i="2"/>
  <c r="FJ42" i="2"/>
  <c r="FJ33" i="2"/>
  <c r="FJ40" i="2"/>
  <c r="FJ17" i="2"/>
  <c r="FJ56" i="2"/>
  <c r="FJ23" i="2"/>
  <c r="FJ168" i="2"/>
  <c r="FJ41" i="2"/>
  <c r="FJ70" i="2"/>
  <c r="FJ115" i="2"/>
  <c r="FJ6" i="2"/>
  <c r="FJ125" i="2"/>
  <c r="FJ123" i="2"/>
  <c r="FJ5" i="2"/>
  <c r="FJ118" i="2"/>
  <c r="FJ121" i="2"/>
  <c r="FJ14" i="2"/>
  <c r="FJ18" i="2"/>
  <c r="FJ78" i="2"/>
  <c r="FJ187" i="2"/>
  <c r="FJ68" i="2"/>
  <c r="FJ59" i="2"/>
  <c r="FJ199" i="2"/>
  <c r="FJ148" i="2"/>
  <c r="FJ176" i="2"/>
  <c r="FJ109" i="2"/>
  <c r="FJ63" i="2"/>
  <c r="FJ99" i="2"/>
  <c r="FJ95" i="2"/>
  <c r="FJ108" i="2"/>
  <c r="FJ62" i="2"/>
  <c r="FJ11" i="2"/>
  <c r="FJ3" i="2"/>
  <c r="C13" i="4" s="1"/>
  <c r="E13" i="4" s="1"/>
  <c r="F13" i="4" s="1"/>
  <c r="G13" i="4" s="1"/>
  <c r="L13" i="4" s="1"/>
  <c r="FJ146" i="2"/>
  <c r="FJ20" i="2"/>
  <c r="FJ159" i="2"/>
  <c r="FJ201" i="2"/>
  <c r="FJ107" i="2"/>
  <c r="FJ135" i="2"/>
  <c r="FJ184" i="2"/>
  <c r="FJ76" i="2"/>
  <c r="FJ114" i="2"/>
  <c r="FJ193" i="2"/>
  <c r="FJ35" i="2"/>
  <c r="FJ132" i="2"/>
  <c r="FJ96" i="2"/>
  <c r="FJ89" i="2"/>
  <c r="FJ10" i="2"/>
  <c r="FJ64" i="2"/>
  <c r="FJ128" i="2"/>
  <c r="FJ16" i="2"/>
  <c r="FJ152" i="2"/>
  <c r="FJ200" i="2"/>
  <c r="FJ61" i="2"/>
  <c r="FJ186" i="2"/>
  <c r="FJ83" i="2"/>
  <c r="FJ179" i="2"/>
  <c r="FJ170" i="2"/>
  <c r="FJ27" i="2"/>
  <c r="FJ21" i="2"/>
  <c r="FJ112" i="2"/>
  <c r="FJ119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Y24" i="2" l="1"/>
  <c r="CY146" i="2"/>
  <c r="CY38" i="2"/>
  <c r="CY31" i="2"/>
  <c r="CY101" i="2"/>
  <c r="CY186" i="2"/>
  <c r="CY30" i="2"/>
  <c r="CY113" i="2"/>
  <c r="CY163" i="2"/>
  <c r="CY43" i="2"/>
  <c r="CY22" i="2"/>
  <c r="CY103" i="2"/>
  <c r="CY143" i="2"/>
  <c r="CY21" i="2"/>
  <c r="CY92" i="2"/>
  <c r="CY190" i="2"/>
  <c r="CY25" i="2"/>
  <c r="CY161" i="2"/>
  <c r="CY6" i="2"/>
  <c r="CY178" i="2"/>
  <c r="CY127" i="2"/>
  <c r="CY57" i="2"/>
  <c r="CY45" i="2"/>
  <c r="CY136" i="2"/>
  <c r="CY95" i="2"/>
  <c r="CY83" i="2"/>
  <c r="CY5" i="2"/>
  <c r="CY86" i="2"/>
  <c r="CY167" i="2"/>
  <c r="CY130" i="2"/>
  <c r="CY162" i="2"/>
  <c r="CY67" i="2"/>
  <c r="CY23" i="2"/>
  <c r="CY121" i="2"/>
  <c r="CY198" i="2"/>
  <c r="CY182" i="2"/>
  <c r="CY176" i="2"/>
  <c r="CY160" i="2"/>
  <c r="CY41" i="2"/>
  <c r="CY193" i="2"/>
  <c r="CY145" i="2"/>
  <c r="CY76" i="2"/>
  <c r="CY33" i="2"/>
  <c r="CY17" i="2"/>
  <c r="CY120" i="2"/>
  <c r="CY79" i="2"/>
  <c r="CY141" i="2"/>
  <c r="CY70" i="2"/>
  <c r="CY4" i="2"/>
  <c r="CY91" i="2"/>
  <c r="CY199" i="2"/>
  <c r="CY119" i="2"/>
  <c r="CY170" i="2"/>
  <c r="CY140" i="2"/>
  <c r="CY102" i="2"/>
  <c r="CY197" i="2"/>
  <c r="CY26" i="2"/>
  <c r="CY29" i="2"/>
  <c r="CY164" i="2"/>
  <c r="CY184" i="2"/>
  <c r="CY148" i="2"/>
  <c r="CY80" i="2"/>
  <c r="CY62" i="2"/>
  <c r="CY118" i="2"/>
  <c r="CY201" i="2"/>
  <c r="CY88" i="2"/>
  <c r="CY89" i="2"/>
  <c r="CY56" i="2"/>
  <c r="CY154" i="2"/>
  <c r="CY156" i="2"/>
  <c r="CY202" i="2"/>
  <c r="CY36" i="2"/>
  <c r="CY166" i="2"/>
  <c r="CY39" i="2"/>
  <c r="CY179" i="2"/>
  <c r="CY55" i="2"/>
  <c r="CY99" i="2"/>
  <c r="CY9" i="2"/>
  <c r="CY47" i="2"/>
  <c r="CY187" i="2"/>
  <c r="CY115" i="2"/>
  <c r="CY104" i="2"/>
  <c r="CY175" i="2"/>
  <c r="CY37" i="2"/>
  <c r="CY180" i="2"/>
  <c r="CY93" i="2"/>
  <c r="CY158" i="2"/>
  <c r="CY157" i="2"/>
  <c r="CY35" i="2"/>
  <c r="CY150" i="2"/>
  <c r="CY100" i="2"/>
  <c r="CY144" i="2"/>
  <c r="CY3" i="2"/>
  <c r="C10" i="4" s="1"/>
  <c r="E10" i="4" s="1"/>
  <c r="F10" i="4" s="1"/>
  <c r="G10" i="4" s="1"/>
  <c r="L10" i="4" s="1"/>
  <c r="CY61" i="2"/>
  <c r="CY8" i="2"/>
  <c r="CY128" i="2"/>
  <c r="CY78" i="2"/>
  <c r="CY82" i="2"/>
  <c r="CY133" i="2"/>
  <c r="CY65" i="2"/>
  <c r="CY123" i="2"/>
  <c r="CY94" i="2"/>
  <c r="CY109" i="2"/>
  <c r="CY122" i="2"/>
  <c r="CY155" i="2"/>
  <c r="CY18" i="2"/>
  <c r="CY152" i="2"/>
  <c r="CY97" i="2"/>
  <c r="CY52" i="2"/>
  <c r="CY59" i="2"/>
  <c r="CY159" i="2"/>
  <c r="CY10" i="2"/>
  <c r="CY191" i="2"/>
  <c r="CY12" i="2"/>
  <c r="CY14" i="2"/>
  <c r="CY106" i="2"/>
  <c r="CY73" i="2"/>
  <c r="CY203" i="2"/>
  <c r="CY114" i="2"/>
  <c r="CY124" i="2"/>
  <c r="CY134" i="2"/>
  <c r="CY40" i="2"/>
  <c r="CY125" i="2"/>
  <c r="CY105" i="2"/>
  <c r="CY20" i="2"/>
  <c r="CY63" i="2"/>
  <c r="CY132" i="2"/>
  <c r="CY183" i="2"/>
  <c r="CY84" i="2"/>
  <c r="CY49" i="2"/>
  <c r="CY98" i="2"/>
  <c r="CY11" i="2"/>
  <c r="CY15" i="2"/>
  <c r="CY66" i="2"/>
  <c r="CY192" i="2"/>
  <c r="CY16" i="2"/>
  <c r="CY185" i="2"/>
  <c r="CY126" i="2"/>
  <c r="CY96" i="2"/>
  <c r="CY181" i="2"/>
  <c r="CY58" i="2"/>
  <c r="CY44" i="2"/>
  <c r="CY13" i="2"/>
  <c r="CY68" i="2"/>
  <c r="CY129" i="2"/>
  <c r="CY27" i="2"/>
  <c r="CY85" i="2"/>
  <c r="CY7" i="2"/>
  <c r="CY110" i="2"/>
  <c r="CY90" i="2"/>
  <c r="CY139" i="2"/>
  <c r="CY75" i="2"/>
  <c r="CY116" i="2"/>
  <c r="CY72" i="2"/>
  <c r="CY28" i="2"/>
  <c r="CY112" i="2"/>
  <c r="CY131" i="2"/>
  <c r="CY177" i="2"/>
  <c r="CY42" i="2"/>
  <c r="CY174" i="2"/>
  <c r="CY189" i="2"/>
  <c r="CY165" i="2"/>
  <c r="CY147" i="2"/>
  <c r="CY64" i="2"/>
  <c r="CY34" i="2"/>
  <c r="CY53" i="2"/>
  <c r="CY32" i="2"/>
  <c r="CY196" i="2"/>
  <c r="CY54" i="2"/>
  <c r="CY107" i="2"/>
  <c r="CY81" i="2"/>
  <c r="CY138" i="2"/>
  <c r="CY108" i="2"/>
  <c r="CY151" i="2"/>
  <c r="CY50" i="2"/>
  <c r="CY142" i="2"/>
  <c r="CY60" i="2"/>
  <c r="CY117" i="2"/>
  <c r="CY135" i="2"/>
  <c r="CY153" i="2"/>
  <c r="CY149" i="2"/>
  <c r="CY69" i="2"/>
  <c r="CY46" i="2"/>
  <c r="CY171" i="2"/>
  <c r="CY87" i="2"/>
  <c r="CY173" i="2"/>
  <c r="CY169" i="2"/>
  <c r="CY137" i="2"/>
  <c r="CY74" i="2"/>
  <c r="CY51" i="2"/>
  <c r="CY77" i="2"/>
  <c r="CY172" i="2"/>
  <c r="CY200" i="2"/>
  <c r="CY188" i="2"/>
  <c r="CY168" i="2"/>
  <c r="CY71" i="2"/>
  <c r="CY111" i="2"/>
  <c r="CY195" i="2"/>
  <c r="CY19" i="2"/>
  <c r="CY194" i="2"/>
  <c r="CY48" i="2"/>
  <c r="CD38" i="2"/>
  <c r="CD99" i="2"/>
  <c r="CD192" i="2"/>
  <c r="CD141" i="2"/>
  <c r="CD104" i="2"/>
  <c r="CD21" i="2"/>
  <c r="CD171" i="2"/>
  <c r="CD151" i="2"/>
  <c r="CD61" i="2"/>
  <c r="CD22" i="2"/>
  <c r="CD167" i="2"/>
  <c r="CD190" i="2"/>
  <c r="CD3" i="2"/>
  <c r="C9" i="4" s="1"/>
  <c r="E9" i="4" s="1"/>
  <c r="F9" i="4" s="1"/>
  <c r="G9" i="4" s="1"/>
  <c r="L9" i="4" s="1"/>
  <c r="CD90" i="2"/>
  <c r="CD186" i="2"/>
  <c r="CD202" i="2"/>
  <c r="CD150" i="2"/>
  <c r="CD54" i="2"/>
  <c r="CD77" i="2"/>
  <c r="CD203" i="2"/>
  <c r="CD176" i="2"/>
  <c r="CD184" i="2"/>
  <c r="CD121" i="2"/>
  <c r="CD47" i="2"/>
  <c r="CD98" i="2"/>
  <c r="CD127" i="2"/>
  <c r="CD30" i="2"/>
  <c r="CD112" i="2"/>
  <c r="CD174" i="2"/>
  <c r="CD148" i="2"/>
  <c r="CD24" i="2"/>
  <c r="CD67" i="2"/>
  <c r="CD187" i="2"/>
  <c r="CD172" i="2"/>
  <c r="CD106" i="2"/>
  <c r="CD36" i="2"/>
  <c r="CD134" i="2"/>
  <c r="CD189" i="2"/>
  <c r="CD75" i="2"/>
  <c r="CD9" i="2"/>
  <c r="CD39" i="2"/>
  <c r="CD79" i="2"/>
  <c r="CD69" i="2"/>
  <c r="CD57" i="2"/>
  <c r="CD147" i="2"/>
  <c r="CD58" i="2"/>
  <c r="CD91" i="2"/>
  <c r="CD73" i="2"/>
  <c r="CD40" i="2"/>
  <c r="CD145" i="2"/>
  <c r="CD43" i="2"/>
  <c r="CD163" i="2"/>
  <c r="CD156" i="2"/>
  <c r="CD23" i="2"/>
  <c r="CD28" i="2"/>
  <c r="CD96" i="2"/>
  <c r="CD130" i="2"/>
  <c r="CD35" i="2"/>
  <c r="CD53" i="2"/>
  <c r="CD102" i="2"/>
  <c r="CD146" i="2"/>
  <c r="CD85" i="2"/>
  <c r="CD34" i="2"/>
  <c r="CD154" i="2"/>
  <c r="CD159" i="2"/>
  <c r="CD124" i="2"/>
  <c r="CD199" i="2"/>
  <c r="CD71" i="2"/>
  <c r="CD160" i="2"/>
  <c r="CD169" i="2"/>
  <c r="CD144" i="2"/>
  <c r="CD162" i="2"/>
  <c r="CD107" i="2"/>
  <c r="CD66" i="2"/>
  <c r="CD70" i="2"/>
  <c r="CD29" i="2"/>
  <c r="CD32" i="2"/>
  <c r="CD86" i="2"/>
  <c r="CD177" i="2"/>
  <c r="CD185" i="2"/>
  <c r="CD138" i="2"/>
  <c r="CD19" i="2"/>
  <c r="CD114" i="2"/>
  <c r="CD194" i="2"/>
  <c r="CD64" i="2"/>
  <c r="CD117" i="2"/>
  <c r="CD33" i="2"/>
  <c r="CD143" i="2"/>
  <c r="CD25" i="2"/>
  <c r="CD149" i="2"/>
  <c r="CD125" i="2"/>
  <c r="CD31" i="2"/>
  <c r="CD88" i="2"/>
  <c r="CD132" i="2"/>
  <c r="CD74" i="2"/>
  <c r="CD51" i="2"/>
  <c r="CD168" i="2"/>
  <c r="CD115" i="2"/>
  <c r="CD108" i="2"/>
  <c r="CD20" i="2"/>
  <c r="CD152" i="2"/>
  <c r="CD157" i="2"/>
  <c r="CD63" i="2"/>
  <c r="CD197" i="2"/>
  <c r="CD135" i="2"/>
  <c r="CD116" i="2"/>
  <c r="CD122" i="2"/>
  <c r="CD118" i="2"/>
  <c r="CD60" i="2"/>
  <c r="CD81" i="2"/>
  <c r="CD173" i="2"/>
  <c r="CD8" i="2"/>
  <c r="CD56" i="2"/>
  <c r="CD175" i="2"/>
  <c r="CD83" i="2"/>
  <c r="CD196" i="2"/>
  <c r="CD41" i="2"/>
  <c r="CD62" i="2"/>
  <c r="CD76" i="2"/>
  <c r="CD131" i="2"/>
  <c r="CD95" i="2"/>
  <c r="CD120" i="2"/>
  <c r="CD12" i="2"/>
  <c r="CD49" i="2"/>
  <c r="CD45" i="2"/>
  <c r="CD191" i="2"/>
  <c r="CD87" i="2"/>
  <c r="CD183" i="2"/>
  <c r="CD201" i="2"/>
  <c r="CD27" i="2"/>
  <c r="CD158" i="2"/>
  <c r="CD15" i="2"/>
  <c r="CD16" i="2"/>
  <c r="CD4" i="2"/>
  <c r="CD110" i="2"/>
  <c r="CD195" i="2"/>
  <c r="CD165" i="2"/>
  <c r="CD18" i="2"/>
  <c r="CD193" i="2"/>
  <c r="CD105" i="2"/>
  <c r="CD170" i="2"/>
  <c r="CD17" i="2"/>
  <c r="CD55" i="2"/>
  <c r="CD48" i="2"/>
  <c r="CD129" i="2"/>
  <c r="CD26" i="2"/>
  <c r="CD93" i="2"/>
  <c r="CD139" i="2"/>
  <c r="CD46" i="2"/>
  <c r="CD13" i="2"/>
  <c r="CD142" i="2"/>
  <c r="CD42" i="2"/>
  <c r="CD72" i="2"/>
  <c r="CD84" i="2"/>
  <c r="CD140" i="2"/>
  <c r="CD133" i="2"/>
  <c r="CD126" i="2"/>
  <c r="CD7" i="2"/>
  <c r="CD10" i="2"/>
  <c r="CD166" i="2"/>
  <c r="CD82" i="2"/>
  <c r="CD14" i="2"/>
  <c r="CD182" i="2"/>
  <c r="CD6" i="2"/>
  <c r="CD128" i="2"/>
  <c r="CD59" i="2"/>
  <c r="CD180" i="2"/>
  <c r="CD52" i="2"/>
  <c r="CD5" i="2"/>
  <c r="CD109" i="2"/>
  <c r="CD161" i="2"/>
  <c r="CD80" i="2"/>
  <c r="CD123" i="2"/>
  <c r="CD44" i="2"/>
  <c r="CD164" i="2"/>
  <c r="CD200" i="2"/>
  <c r="CD113" i="2"/>
  <c r="CD37" i="2"/>
  <c r="CD178" i="2"/>
  <c r="CD137" i="2"/>
  <c r="CD68" i="2"/>
  <c r="CD101" i="2"/>
  <c r="CD50" i="2"/>
  <c r="CD179" i="2"/>
  <c r="CD97" i="2"/>
  <c r="CD103" i="2"/>
  <c r="CD155" i="2"/>
  <c r="CD111" i="2"/>
  <c r="CD11" i="2"/>
  <c r="CD153" i="2"/>
  <c r="CD198" i="2"/>
  <c r="CD181" i="2"/>
  <c r="CD89" i="2"/>
  <c r="CD78" i="2"/>
  <c r="CD92" i="2"/>
  <c r="CD136" i="2"/>
  <c r="CD100" i="2"/>
  <c r="CD94" i="2"/>
  <c r="CD188" i="2"/>
  <c r="CD119" i="2"/>
  <c r="CD65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<sst xmlns="http://schemas.openxmlformats.org/spreadsheetml/2006/main" count="1180" uniqueCount="325">
  <si>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</si>
  <si>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</si>
  <si>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</si>
  <si>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</si>
  <si>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</si>
  <si>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</si>
  <si>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</si>
  <si>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</si>
  <si>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</si>
  <si>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</si>
  <si>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</si>
  <si>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</si>
  <si>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</si>
  <si>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</si>
  <si>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</si>
  <si>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</si>
  <si>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</si>
  <si>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</si>
  <si>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</si>
  <si>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</si>
  <si>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</si>
  <si>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</si>
  <si>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</si>
  <si>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</si>
  <si>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</si>
  <si>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</si>
  <si>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</si>
  <si>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</si>
  <si>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</si>
  <si>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</si>
  <si>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</si>
  <si>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</si>
  <si>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</si>
  <si>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</si>
  <si>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</si>
  <si>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</si>
  <si>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</si>
  <si>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</si>
  <si>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</si>
  <si>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</si>
  <si>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</si>
  <si>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</si>
  <si>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</si>
  <si>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</si>
  <si>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</si>
  <si>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</si>
  <si>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</si>
  <si>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</si>
  <si>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</si>
  <si>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</si>
  <si>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</si>
  <si>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</si>
  <si>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</si>
  <si>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</si>
  <si>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</si>
  <si>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</si>
  <si>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</si>
  <si>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</si>
  <si>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</si>
  <si>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</si>
  <si>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</si>
  <si>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</si>
  <si>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</si>
  <si>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</si>
  <si>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</si>
  <si>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</si>
  <si>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</si>
  <si>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</si>
  <si>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</si>
  <si>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</si>
  <si>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</si>
  <si>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</si>
  <si>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</si>
  <si>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</si>
  <si>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</si>
  <si>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</si>
  <si>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</si>
  <si>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</si>
  <si>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</si>
  <si>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</si>
  <si>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</si>
  <si>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</si>
  <si>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</si>
  <si>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</si>
  <si>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</si>
  <si>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</si>
  <si>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</si>
  <si>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</si>
  <si>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</si>
  <si>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</si>
  <si>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</si>
  <si>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</si>
  <si>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</si>
  <si>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</si>
  <si>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</si>
  <si>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</si>
  <si>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</si>
  <si>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</si>
  <si>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</si>
  <si>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</si>
  <si>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</si>
  <si>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</si>
  <si>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</si>
  <si>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</si>
  <si>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</si>
  <si>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</si>
  <si>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</si>
  <si>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</si>
  <si>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</si>
  <si>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</si>
  <si>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</si>
  <si>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</si>
  <si>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</si>
  <si>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</si>
  <si>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</si>
  <si>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</si>
  <si>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</si>
  <si>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</si>
  <si>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</si>
  <si>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</si>
  <si>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</si>
  <si>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</si>
  <si>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</si>
  <si>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</si>
  <si>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</si>
  <si>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</si>
  <si>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</si>
  <si>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</si>
  <si>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</si>
  <si>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</si>
  <si>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</si>
  <si>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</si>
  <si>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</si>
  <si>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</si>
  <si>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</si>
  <si>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</si>
  <si>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</si>
  <si>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</si>
  <si>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</si>
  <si>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</si>
  <si>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</si>
  <si>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</si>
  <si>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</si>
  <si>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</si>
  <si>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</si>
  <si>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</si>
  <si>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</si>
  <si>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</si>
  <si>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</si>
  <si>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</si>
  <si>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</si>
  <si>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</si>
  <si>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</si>
  <si>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</si>
  <si>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</si>
  <si>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</si>
  <si>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</si>
  <si>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</si>
  <si>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</si>
  <si>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</si>
  <si>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</si>
  <si>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</si>
  <si>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</si>
  <si>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</si>
  <si>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</si>
  <si>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</si>
  <si>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</si>
  <si>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</si>
  <si>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</si>
  <si>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</si>
  <si>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</si>
  <si>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</si>
  <si>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</si>
  <si>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</si>
  <si>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</si>
  <si>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</si>
  <si>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</si>
  <si>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</si>
  <si>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</si>
  <si>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</si>
  <si>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</si>
  <si>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</si>
  <si>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</si>
  <si>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</si>
  <si>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</si>
  <si>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</si>
  <si>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</si>
  <si>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</si>
  <si>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</si>
  <si>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</si>
  <si>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</si>
  <si>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</si>
  <si>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</si>
  <si>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</si>
  <si>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</si>
  <si>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</si>
  <si>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</si>
  <si>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</si>
  <si>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</si>
  <si>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</si>
  <si>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</si>
  <si>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</si>
  <si>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</si>
  <si>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</si>
  <si>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</si>
  <si>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</si>
  <si>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</si>
  <si>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</si>
  <si>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</si>
  <si>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</si>
  <si>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</si>
  <si>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</si>
  <si>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</si>
  <si>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</si>
  <si>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</si>
  <si>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</si>
  <si>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</si>
  <si>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</si>
  <si>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</si>
  <si>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</si>
  <si>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</si>
  <si>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</si>
  <si>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</si>
  <si>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</si>
  <si>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</si>
  <si>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</si>
  <si>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</si>
  <si>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</si>
  <si>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</si>
  <si>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</si>
  <si>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</si>
  <si>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</si>
  <si>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</si>
  <si>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</si>
  <si>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</si>
  <si>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</si>
  <si>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</si>
  <si>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</si>
  <si>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</si>
  <si>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</si>
  <si>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</si>
  <si>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</si>
  <si>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</si>
  <si>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</si>
  <si>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</si>
  <si>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</si>
  <si>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</si>
  <si>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</si>
  <si>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</si>
  <si>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</si>
  <si>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</si>
  <si>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</si>
  <si>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</si>
  <si>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</si>
  <si>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</si>
  <si>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</si>
  <si>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</si>
  <si>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</si>
  <si>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</si>
  <si>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</si>
  <si>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</si>
  <si>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</si>
  <si>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</si>
  <si>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</si>
  <si>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</si>
  <si>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</si>
  <si>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</si>
  <si>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</si>
  <si>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</si>
  <si>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</si>
  <si>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</si>
  <si>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</si>
  <si>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</si>
  <si>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</si>
  <si>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</si>
  <si>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</si>
  <si>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</si>
  <si>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</si>
  <si>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</si>
  <si>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</si>
  <si>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</si>
  <si>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</si>
  <si>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</si>
  <si>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</si>
  <si>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</si>
  <si>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</si>
  <si>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</si>
  <si>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</si>
  <si>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</si>
  <si>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</si>
  <si>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</si>
  <si>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</si>
  <si>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</si>
  <si>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</si>
  <si>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</si>
  <si>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</si>
  <si>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</si>
  <si>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</si>
  <si>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</si>
  <si>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</si>
  <si>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</si>
  <si>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</si>
  <si>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</si>
  <si>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</si>
  <si>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</si>
  <si>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</si>
  <si>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</si>
  <si>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</si>
  <si>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</si>
  <si>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</si>
  <si>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</si>
  <si>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</si>
  <si>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</si>
  <si>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</si>
  <si>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</si>
  <si>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</si>
  <si>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</si>
  <si>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</si>
  <si>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</si>
  <si>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</si>
  <si>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</si>
  <si>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</si>
  <si>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</si>
  <si>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</si>
  <si>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pommier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</si>
</sst>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159.39654402501074</c:v>
                </c:pt>
                <c:pt idx="22">
                  <c:v>171.18397278750874</c:v>
                </c:pt>
                <c:pt idx="23">
                  <c:v>182.95230030612535</c:v>
                </c:pt>
                <c:pt idx="24">
                  <c:v>194.7029293179402</c:v>
                </c:pt>
                <c:pt idx="25">
                  <c:v>206.43707921846078</c:v>
                </c:pt>
                <c:pt idx="26">
                  <c:v>213.47010944722004</c:v>
                </c:pt>
                <c:pt idx="27">
                  <c:v>220.49780325501729</c:v>
                </c:pt>
                <c:pt idx="28">
                  <c:v>227.5203549639734</c:v>
                </c:pt>
                <c:pt idx="29">
                  <c:v>234.5379459034672</c:v>
                </c:pt>
                <c:pt idx="30">
                  <c:v>241.55074565033257</c:v>
                </c:pt>
                <c:pt idx="31">
                  <c:v>208.00044644770722</c:v>
                </c:pt>
                <c:pt idx="32">
                  <c:v>229.08024217931521</c:v>
                </c:pt>
                <c:pt idx="33">
                  <c:v>250.11566977871595</c:v>
                </c:pt>
                <c:pt idx="34">
                  <c:v>271.11098488765975</c:v>
                </c:pt>
                <c:pt idx="35">
                  <c:v>292.06972985560304</c:v>
                </c:pt>
                <c:pt idx="36">
                  <c:v>259.45164815796983</c:v>
                </c:pt>
                <c:pt idx="37">
                  <c:v>281.2066016742919</c:v>
                </c:pt>
                <c:pt idx="38">
                  <c:v>302.92383728372153</c:v>
                </c:pt>
                <c:pt idx="39">
                  <c:v>324.60643807826494</c:v>
                </c:pt>
                <c:pt idx="40">
                  <c:v>346.2570416653702</c:v>
                </c:pt>
                <c:pt idx="41">
                  <c:v>314.15647495690456</c:v>
                </c:pt>
                <c:pt idx="42">
                  <c:v>336.20880231759605</c:v>
                </c:pt>
                <c:pt idx="43">
                  <c:v>358.22928558083078</c:v>
                </c:pt>
                <c:pt idx="44">
                  <c:v>380.22015624917958</c:v>
                </c:pt>
                <c:pt idx="45">
                  <c:v>402.18336673633206</c:v>
                </c:pt>
                <c:pt idx="46">
                  <c:v>369.42119511414552</c:v>
                </c:pt>
                <c:pt idx="47">
                  <c:v>390.62711987431993</c:v>
                </c:pt>
                <c:pt idx="48">
                  <c:v>411.80807637868747</c:v>
                </c:pt>
                <c:pt idx="49">
                  <c:v>432.96552861089225</c:v>
                </c:pt>
                <c:pt idx="50">
                  <c:v>454.10078588624361</c:v>
                </c:pt>
                <c:pt idx="51">
                  <c:v>419.88907590240768</c:v>
                </c:pt>
                <c:pt idx="52">
                  <c:v>439.50055712660463</c:v>
                </c:pt>
                <c:pt idx="53">
                  <c:v>459.0932798580705</c:v>
                </c:pt>
                <c:pt idx="54">
                  <c:v>478.66815678776123</c:v>
                </c:pt>
                <c:pt idx="55">
                  <c:v>498.22601991660628</c:v>
                </c:pt>
                <c:pt idx="56">
                  <c:v>462.5489419632766</c:v>
                </c:pt>
                <c:pt idx="57">
                  <c:v>480.58633375842027</c:v>
                </c:pt>
                <c:pt idx="58">
                  <c:v>498.60934258764996</c:v>
                </c:pt>
                <c:pt idx="59">
                  <c:v>516.61856122298445</c:v>
                </c:pt>
                <c:pt idx="60">
                  <c:v>534.61453776319524</c:v>
                </c:pt>
                <c:pt idx="61">
                  <c:v>497.84269099902525</c:v>
                </c:pt>
                <c:pt idx="62">
                  <c:v>514.70332559574479</c:v>
                </c:pt>
                <c:pt idx="63">
                  <c:v>531.55230561741553</c:v>
                </c:pt>
                <c:pt idx="64">
                  <c:v>548.39005229891859</c:v>
                </c:pt>
                <c:pt idx="65">
                  <c:v>565.21695891368074</c:v>
                </c:pt>
                <c:pt idx="66">
                  <c:v>527.34112969241005</c:v>
                </c:pt>
                <c:pt idx="67">
                  <c:v>543.03378149300647</c:v>
                </c:pt>
                <c:pt idx="68">
                  <c:v>558.71691511038478</c:v>
                </c:pt>
                <c:pt idx="69">
                  <c:v>574.39083521123325</c:v>
                </c:pt>
                <c:pt idx="70">
                  <c:v>590.05582848802044</c:v>
                </c:pt>
                <c:pt idx="71">
                  <c:v>551.06777546888088</c:v>
                </c:pt>
                <c:pt idx="72">
                  <c:v>565.59926555628579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609.14778887966042</c:v>
                </c:pt>
                <c:pt idx="76">
                  <c:v>569.42203544921153</c:v>
                </c:pt>
                <c:pt idx="77">
                  <c:v>583.17959594683191</c:v>
                </c:pt>
                <c:pt idx="78">
                  <c:v>596.93039273337797</c:v>
                </c:pt>
                <c:pt idx="79">
                  <c:v>610.67460350167141</c:v>
                </c:pt>
                <c:pt idx="80">
                  <c:v>624.41239729750214</c:v>
                </c:pt>
                <c:pt idx="81">
                  <c:v>583.56165301259614</c:v>
                </c:pt>
                <c:pt idx="82">
                  <c:v>596.16663396016577</c:v>
                </c:pt>
                <c:pt idx="83">
                  <c:v>608.76607282046439</c:v>
                </c:pt>
                <c:pt idx="84">
                  <c:v>621.36010041874772</c:v>
                </c:pt>
                <c:pt idx="85">
                  <c:v>633.94884184664033</c:v>
                </c:pt>
                <c:pt idx="86">
                  <c:v>646.53241682467024</c:v>
                </c:pt>
                <c:pt idx="87">
                  <c:v>659.11094003512619</c:v>
                </c:pt>
                <c:pt idx="88">
                  <c:v>671.68452142819672</c:v>
                </c:pt>
                <c:pt idx="89">
                  <c:v>684.25326650400723</c:v>
                </c:pt>
                <c:pt idx="90">
                  <c:v>696.8172765728691</c:v>
                </c:pt>
                <c:pt idx="91">
                  <c:v>601.51251958281762</c:v>
                </c:pt>
                <c:pt idx="92">
                  <c:v>612.96467697950231</c:v>
                </c:pt>
                <c:pt idx="93">
                  <c:v>624.41239729750248</c:v>
                </c:pt>
                <c:pt idx="94">
                  <c:v>635.85577332565367</c:v>
                </c:pt>
                <c:pt idx="95">
                  <c:v>647.29489424172516</c:v>
                </c:pt>
                <c:pt idx="96">
                  <c:v>658.72984581562707</c:v>
                </c:pt>
                <c:pt idx="97">
                  <c:v>670.1607105977813</c:v>
                </c:pt>
                <c:pt idx="98">
                  <c:v>681.58756809397642</c:v>
                </c:pt>
                <c:pt idx="99">
                  <c:v>693.01049492789434</c:v>
                </c:pt>
                <c:pt idx="100">
                  <c:v>704.42956499236789</c:v>
                </c:pt>
                <c:pt idx="101">
                  <c:v>607.62089481714213</c:v>
                </c:pt>
                <c:pt idx="102">
                  <c:v>617.54429227660466</c:v>
                </c:pt>
                <c:pt idx="103">
                  <c:v>627.46438526884424</c:v>
                </c:pt>
                <c:pt idx="104">
                  <c:v>637.38123339273886</c:v>
                </c:pt>
                <c:pt idx="105">
                  <c:v>647.29489424172505</c:v>
                </c:pt>
                <c:pt idx="106">
                  <c:v>657.20542350161418</c:v>
                </c:pt>
                <c:pt idx="107">
                  <c:v>667.11287504220093</c:v>
                </c:pt>
                <c:pt idx="108">
                  <c:v>677.01730100315046</c:v>
                </c:pt>
                <c:pt idx="109">
                  <c:v>686.91875187459902</c:v>
                </c:pt>
                <c:pt idx="110">
                  <c:v>696.81727657286876</c:v>
                </c:pt>
                <c:pt idx="111">
                  <c:v>608.19348941446788</c:v>
                </c:pt>
                <c:pt idx="112">
                  <c:v>616.78107210210919</c:v>
                </c:pt>
                <c:pt idx="113">
                  <c:v>625.36617664098867</c:v>
                </c:pt>
                <c:pt idx="114">
                  <c:v>633.94884184664033</c:v>
                </c:pt>
                <c:pt idx="115">
                  <c:v>642.52910539795516</c:v>
                </c:pt>
                <c:pt idx="116">
                  <c:v>651.10700388552539</c:v>
                </c:pt>
                <c:pt idx="117">
                  <c:v>659.68257285730954</c:v>
                </c:pt>
                <c:pt idx="118">
                  <c:v>668.25584686180002</c:v>
                </c:pt>
                <c:pt idx="119">
                  <c:v>676.82685948885785</c:v>
                </c:pt>
                <c:pt idx="120">
                  <c:v>685.39564340837842</c:v>
                </c:pt>
                <c:pt idx="121">
                  <c:v>1.5435705246133045E-12</c:v>
                </c:pt>
                <c:pt idx="122">
                  <c:v>1.5435705246133045E-12</c:v>
                </c:pt>
                <c:pt idx="123">
                  <c:v>1.5435705246133045E-12</c:v>
                </c:pt>
                <c:pt idx="124">
                  <c:v>1.5435705246133045E-12</c:v>
                </c:pt>
                <c:pt idx="125">
                  <c:v>1.5435705246133045E-12</c:v>
                </c:pt>
                <c:pt idx="126">
                  <c:v>1.5435705246133045E-12</c:v>
                </c:pt>
                <c:pt idx="127">
                  <c:v>1.5435705246133045E-12</c:v>
                </c:pt>
                <c:pt idx="128">
                  <c:v>1.5435705246133045E-12</c:v>
                </c:pt>
                <c:pt idx="129">
                  <c:v>1.5435705246133045E-12</c:v>
                </c:pt>
                <c:pt idx="130">
                  <c:v>1.5435705246133045E-12</c:v>
                </c:pt>
                <c:pt idx="131">
                  <c:v>1.5435705246133045E-12</c:v>
                </c:pt>
                <c:pt idx="132">
                  <c:v>1.5435705246133045E-12</c:v>
                </c:pt>
                <c:pt idx="133">
                  <c:v>1.5435705246133045E-12</c:v>
                </c:pt>
                <c:pt idx="134">
                  <c:v>1.5435705246133045E-12</c:v>
                </c:pt>
                <c:pt idx="135">
                  <c:v>1.5435705246133045E-12</c:v>
                </c:pt>
                <c:pt idx="136">
                  <c:v>1.5435705246133045E-12</c:v>
                </c:pt>
                <c:pt idx="137">
                  <c:v>1.5435705246133045E-12</c:v>
                </c:pt>
                <c:pt idx="138">
                  <c:v>1.5435705246133045E-12</c:v>
                </c:pt>
                <c:pt idx="139">
                  <c:v>1.5435705246133045E-12</c:v>
                </c:pt>
                <c:pt idx="140">
                  <c:v>1.5435705246133045E-12</c:v>
                </c:pt>
                <c:pt idx="141">
                  <c:v>1.5435705246133045E-12</c:v>
                </c:pt>
                <c:pt idx="142">
                  <c:v>1.5435705246133045E-12</c:v>
                </c:pt>
                <c:pt idx="143">
                  <c:v>1.5435705246133045E-12</c:v>
                </c:pt>
                <c:pt idx="144">
                  <c:v>1.5435705246133045E-12</c:v>
                </c:pt>
                <c:pt idx="145">
                  <c:v>1.5435705246133045E-12</c:v>
                </c:pt>
                <c:pt idx="146">
                  <c:v>1.5435705246133045E-12</c:v>
                </c:pt>
                <c:pt idx="147">
                  <c:v>1.5435705246133045E-12</c:v>
                </c:pt>
                <c:pt idx="148">
                  <c:v>1.5435705246133045E-12</c:v>
                </c:pt>
                <c:pt idx="149">
                  <c:v>1.5435705246133045E-12</c:v>
                </c:pt>
                <c:pt idx="150">
                  <c:v>1.5435705246133045E-12</c:v>
                </c:pt>
                <c:pt idx="151">
                  <c:v>1.5435705246133045E-12</c:v>
                </c:pt>
                <c:pt idx="152">
                  <c:v>1.5435705246133045E-12</c:v>
                </c:pt>
                <c:pt idx="153">
                  <c:v>1.5435705246133045E-12</c:v>
                </c:pt>
                <c:pt idx="154">
                  <c:v>1.5435705246133045E-12</c:v>
                </c:pt>
                <c:pt idx="155">
                  <c:v>1.5435705246133045E-12</c:v>
                </c:pt>
                <c:pt idx="156">
                  <c:v>1.5435705246133045E-12</c:v>
                </c:pt>
                <c:pt idx="157">
                  <c:v>1.5435705246133045E-12</c:v>
                </c:pt>
                <c:pt idx="158">
                  <c:v>1.5435705246133045E-12</c:v>
                </c:pt>
                <c:pt idx="159">
                  <c:v>1.5435705246133045E-12</c:v>
                </c:pt>
                <c:pt idx="160">
                  <c:v>1.5435705246133045E-12</c:v>
                </c:pt>
                <c:pt idx="161">
                  <c:v>1.5435705246133045E-12</c:v>
                </c:pt>
                <c:pt idx="162">
                  <c:v>1.5435705246133045E-12</c:v>
                </c:pt>
                <c:pt idx="163">
                  <c:v>1.5435705246133045E-12</c:v>
                </c:pt>
                <c:pt idx="164">
                  <c:v>1.5435705246133045E-12</c:v>
                </c:pt>
                <c:pt idx="165">
                  <c:v>1.5435705246133045E-12</c:v>
                </c:pt>
                <c:pt idx="166">
                  <c:v>1.5435705246133045E-12</c:v>
                </c:pt>
                <c:pt idx="167">
                  <c:v>1.5435705246133045E-12</c:v>
                </c:pt>
                <c:pt idx="168">
                  <c:v>1.5435705246133045E-12</c:v>
                </c:pt>
                <c:pt idx="169">
                  <c:v>1.5435705246133045E-12</c:v>
                </c:pt>
                <c:pt idx="170">
                  <c:v>1.5435705246133045E-12</c:v>
                </c:pt>
                <c:pt idx="171">
                  <c:v>1.5435705246133045E-12</c:v>
                </c:pt>
                <c:pt idx="172">
                  <c:v>1.5435705246133045E-12</c:v>
                </c:pt>
                <c:pt idx="173">
                  <c:v>1.5435705246133045E-12</c:v>
                </c:pt>
                <c:pt idx="174">
                  <c:v>1.5435705246133045E-12</c:v>
                </c:pt>
                <c:pt idx="175">
                  <c:v>1.5435705246133045E-12</c:v>
                </c:pt>
                <c:pt idx="176">
                  <c:v>1.5435705246133045E-12</c:v>
                </c:pt>
                <c:pt idx="177">
                  <c:v>1.5435705246133045E-12</c:v>
                </c:pt>
                <c:pt idx="178">
                  <c:v>1.5435705246133045E-12</c:v>
                </c:pt>
                <c:pt idx="179">
                  <c:v>1.5435705246133045E-12</c:v>
                </c:pt>
                <c:pt idx="180">
                  <c:v>1.5435705246133045E-12</c:v>
                </c:pt>
                <c:pt idx="181">
                  <c:v>1.5435705246133045E-12</c:v>
                </c:pt>
                <c:pt idx="182">
                  <c:v>1.5435705246133045E-12</c:v>
                </c:pt>
                <c:pt idx="183">
                  <c:v>1.5435705246133045E-12</c:v>
                </c:pt>
                <c:pt idx="184">
                  <c:v>1.5435705246133045E-12</c:v>
                </c:pt>
                <c:pt idx="185">
                  <c:v>1.5435705246133045E-12</c:v>
                </c:pt>
                <c:pt idx="186">
                  <c:v>1.5435705246133045E-12</c:v>
                </c:pt>
                <c:pt idx="187">
                  <c:v>1.5435705246133045E-12</c:v>
                </c:pt>
                <c:pt idx="188">
                  <c:v>1.5435705246133045E-12</c:v>
                </c:pt>
                <c:pt idx="189">
                  <c:v>1.5435705246133045E-12</c:v>
                </c:pt>
                <c:pt idx="190">
                  <c:v>1.5435705246133045E-12</c:v>
                </c:pt>
                <c:pt idx="191">
                  <c:v>1.5435705246133045E-12</c:v>
                </c:pt>
                <c:pt idx="192">
                  <c:v>1.5435705246133045E-12</c:v>
                </c:pt>
                <c:pt idx="193">
                  <c:v>1.5435705246133045E-12</c:v>
                </c:pt>
                <c:pt idx="194">
                  <c:v>1.5435705246133045E-12</c:v>
                </c:pt>
                <c:pt idx="195">
                  <c:v>1.5435705246133045E-12</c:v>
                </c:pt>
                <c:pt idx="196">
                  <c:v>1.5435705246133045E-12</c:v>
                </c:pt>
                <c:pt idx="197">
                  <c:v>1.5435705246133045E-12</c:v>
                </c:pt>
                <c:pt idx="198">
                  <c:v>1.5435705246133045E-12</c:v>
                </c:pt>
                <c:pt idx="199">
                  <c:v>1.5435705246133045E-12</c:v>
                </c:pt>
                <c:pt idx="200">
                  <c:v>1.5435705246133045E-12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2.9040762087142453</c:v>
                </c:pt>
                <c:pt idx="2">
                  <c:v>3.4773202748427425</c:v>
                </c:pt>
                <c:pt idx="3">
                  <c:v>4.1641381375843167</c:v>
                </c:pt>
                <c:pt idx="4">
                  <c:v>4.9871099734380619</c:v>
                </c:pt>
                <c:pt idx="5">
                  <c:v>5.9733198374868941</c:v>
                </c:pt>
                <c:pt idx="6">
                  <c:v>7.1552567237350262</c:v>
                </c:pt>
                <c:pt idx="7">
                  <c:v>8.5718963956172569</c:v>
                </c:pt>
                <c:pt idx="8">
                  <c:v>10.27000034510241</c:v>
                </c:pt>
                <c:pt idx="9">
                  <c:v>12.305675568602934</c:v>
                </c:pt>
                <c:pt idx="10">
                  <c:v>14.746247658482027</c:v>
                </c:pt>
                <c:pt idx="11">
                  <c:v>17.672510300043498</c:v>
                </c:pt>
                <c:pt idx="12">
                  <c:v>21.181426995993817</c:v>
                </c:pt>
                <c:pt idx="13">
                  <c:v>25.389376147088512</c:v>
                </c:pt>
                <c:pt idx="14">
                  <c:v>30.436049020586243</c:v>
                </c:pt>
                <c:pt idx="15">
                  <c:v>36.489132264635835</c:v>
                </c:pt>
                <c:pt idx="16">
                  <c:v>43.749933231556859</c:v>
                </c:pt>
                <c:pt idx="17">
                  <c:v>52.46013836410372</c:v>
                </c:pt>
                <c:pt idx="18">
                  <c:v>62.909933368561269</c:v>
                </c:pt>
                <c:pt idx="19">
                  <c:v>75.447760161097548</c:v>
                </c:pt>
                <c:pt idx="20">
                  <c:v>90.49204121037269</c:v>
                </c:pt>
                <c:pt idx="21">
                  <c:v>102.21534438484889</c:v>
                </c:pt>
                <c:pt idx="22">
                  <c:v>113.90535303981146</c:v>
                </c:pt>
                <c:pt idx="23">
                  <c:v>125.56597116596221</c:v>
                </c:pt>
                <c:pt idx="24">
                  <c:v>137.20031631600065</c:v>
                </c:pt>
                <c:pt idx="25">
                  <c:v>148.81093286135922</c:v>
                </c:pt>
                <c:pt idx="26">
                  <c:v>159.98639323229057</c:v>
                </c:pt>
                <c:pt idx="27">
                  <c:v>171.14336016681935</c:v>
                </c:pt>
                <c:pt idx="28">
                  <c:v>182.28321024127104</c:v>
                </c:pt>
                <c:pt idx="29">
                  <c:v>193.40713781232171</c:v>
                </c:pt>
                <c:pt idx="30">
                  <c:v>204.51618846220973</c:v>
                </c:pt>
                <c:pt idx="31">
                  <c:v>177.74673882318052</c:v>
                </c:pt>
                <c:pt idx="32">
                  <c:v>194.23052863625438</c:v>
                </c:pt>
                <c:pt idx="33">
                  <c:v>210.68179897079315</c:v>
                </c:pt>
                <c:pt idx="34">
                  <c:v>227.10344715858128</c:v>
                </c:pt>
                <c:pt idx="35">
                  <c:v>243.49791694752582</c:v>
                </c:pt>
                <c:pt idx="36">
                  <c:v>217.66446793584771</c:v>
                </c:pt>
                <c:pt idx="37">
                  <c:v>234.89407374203225</c:v>
                </c:pt>
                <c:pt idx="38">
                  <c:v>252.0948491997051</c:v>
                </c:pt>
                <c:pt idx="39">
                  <c:v>269.26903825113038</c:v>
                </c:pt>
                <c:pt idx="40">
                  <c:v>286.4185751166749</c:v>
                </c:pt>
                <c:pt idx="41">
                  <c:v>260.68513965168012</c:v>
                </c:pt>
                <c:pt idx="42">
                  <c:v>277.84677769273588</c:v>
                </c:pt>
                <c:pt idx="43">
                  <c:v>294.98463359298859</c:v>
                </c:pt>
                <c:pt idx="44">
                  <c:v>312.10028329420317</c:v>
                </c:pt>
                <c:pt idx="45">
                  <c:v>329.19511576502651</c:v>
                </c:pt>
                <c:pt idx="46">
                  <c:v>303.13762323931292</c:v>
                </c:pt>
                <c:pt idx="47">
                  <c:v>319.83616118961055</c:v>
                </c:pt>
                <c:pt idx="48">
                  <c:v>336.51541035034978</c:v>
                </c:pt>
                <c:pt idx="49">
                  <c:v>353.17646115055004</c:v>
                </c:pt>
                <c:pt idx="50">
                  <c:v>369.82029275047876</c:v>
                </c:pt>
                <c:pt idx="51">
                  <c:v>343.42580104652308</c:v>
                </c:pt>
                <c:pt idx="52">
                  <c:v>359.67361293503626</c:v>
                </c:pt>
                <c:pt idx="53">
                  <c:v>375.90537403332661</c:v>
                </c:pt>
                <c:pt idx="54">
                  <c:v>392.12187483767133</c:v>
                </c:pt>
                <c:pt idx="55">
                  <c:v>408.32383513861078</c:v>
                </c:pt>
                <c:pt idx="56">
                  <c:v>381.17737444442338</c:v>
                </c:pt>
                <c:pt idx="57">
                  <c:v>396.57883448700221</c:v>
                </c:pt>
                <c:pt idx="58">
                  <c:v>411.96734072289183</c:v>
                </c:pt>
                <c:pt idx="59">
                  <c:v>427.34344505663171</c:v>
                </c:pt>
                <c:pt idx="60">
                  <c:v>442.70765644555928</c:v>
                </c:pt>
                <c:pt idx="61">
                  <c:v>414.80069721135334</c:v>
                </c:pt>
                <c:pt idx="62">
                  <c:v>429.36572078685396</c:v>
                </c:pt>
                <c:pt idx="63">
                  <c:v>443.92012811747736</c:v>
                </c:pt>
                <c:pt idx="64">
                  <c:v>458.46431622225504</c:v>
                </c:pt>
                <c:pt idx="65">
                  <c:v>472.99865488119258</c:v>
                </c:pt>
                <c:pt idx="66">
                  <c:v>444.32426956358057</c:v>
                </c:pt>
                <c:pt idx="67">
                  <c:v>458.06044564731337</c:v>
                </c:pt>
                <c:pt idx="68">
                  <c:v>471.78782761031499</c:v>
                </c:pt>
                <c:pt idx="69">
                  <c:v>485.50670733159899</c:v>
                </c:pt>
                <c:pt idx="70">
                  <c:v>499.2173588530552</c:v>
                </c:pt>
                <c:pt idx="71">
                  <c:v>469.36597432654622</c:v>
                </c:pt>
                <c:pt idx="72">
                  <c:v>481.87605086617651</c:v>
                </c:pt>
                <c:pt idx="73">
                  <c:v>494.37922843874429</c:v>
                </c:pt>
                <c:pt idx="74">
                  <c:v>506.87570609003552</c:v>
                </c:pt>
                <c:pt idx="75">
                  <c:v>519.3656722522536</c:v>
                </c:pt>
                <c:pt idx="76">
                  <c:v>489.13678734186624</c:v>
                </c:pt>
                <c:pt idx="77">
                  <c:v>501.23295290548805</c:v>
                </c:pt>
                <c:pt idx="78">
                  <c:v>513.32294183422573</c:v>
                </c:pt>
                <c:pt idx="79">
                  <c:v>525.40692008667054</c:v>
                </c:pt>
                <c:pt idx="80">
                  <c:v>537.48504536607993</c:v>
                </c:pt>
                <c:pt idx="81">
                  <c:v>506.87570609003552</c:v>
                </c:pt>
                <c:pt idx="82">
                  <c:v>518.56006095402699</c:v>
                </c:pt>
                <c:pt idx="83">
                  <c:v>530.2388639873484</c:v>
                </c:pt>
                <c:pt idx="84">
                  <c:v>541.91225469196922</c:v>
                </c:pt>
                <c:pt idx="85">
                  <c:v>553.58036607052372</c:v>
                </c:pt>
                <c:pt idx="86">
                  <c:v>522.18510454563489</c:v>
                </c:pt>
                <c:pt idx="87">
                  <c:v>533.05706938142669</c:v>
                </c:pt>
                <c:pt idx="88">
                  <c:v>543.92437106523562</c:v>
                </c:pt>
                <c:pt idx="89">
                  <c:v>554.78711589011334</c:v>
                </c:pt>
                <c:pt idx="90">
                  <c:v>565.64540564760966</c:v>
                </c:pt>
                <c:pt idx="91">
                  <c:v>529.03096526266211</c:v>
                </c:pt>
                <c:pt idx="92">
                  <c:v>534.66733162768389</c:v>
                </c:pt>
                <c:pt idx="93">
                  <c:v>540.30244864194117</c:v>
                </c:pt>
                <c:pt idx="94">
                  <c:v>545.93633118003436</c:v>
                </c:pt>
                <c:pt idx="95">
                  <c:v>551.56899378437436</c:v>
                </c:pt>
                <c:pt idx="96">
                  <c:v>557.20045067599415</c:v>
                </c:pt>
                <c:pt idx="97">
                  <c:v>562.83071576489817</c:v>
                </c:pt>
                <c:pt idx="98">
                  <c:v>568.45980265997707</c:v>
                </c:pt>
                <c:pt idx="99">
                  <c:v>574.08772467850872</c:v>
                </c:pt>
                <c:pt idx="100">
                  <c:v>579.71449485526739</c:v>
                </c:pt>
                <c:pt idx="101">
                  <c:v>542.31469049904456</c:v>
                </c:pt>
                <c:pt idx="102">
                  <c:v>547.14343251865046</c:v>
                </c:pt>
                <c:pt idx="103">
                  <c:v>551.97128052407243</c:v>
                </c:pt>
                <c:pt idx="104">
                  <c:v>556.79824344224164</c:v>
                </c:pt>
                <c:pt idx="105">
                  <c:v>561.62433003260378</c:v>
                </c:pt>
                <c:pt idx="106">
                  <c:v>566.44954889170651</c:v>
                </c:pt>
                <c:pt idx="107">
                  <c:v>571.27390845762056</c:v>
                </c:pt>
                <c:pt idx="108">
                  <c:v>576.09741701420501</c:v>
                </c:pt>
                <c:pt idx="109">
                  <c:v>580.92008269522103</c:v>
                </c:pt>
                <c:pt idx="110">
                  <c:v>585.74191348830414</c:v>
                </c:pt>
                <c:pt idx="111">
                  <c:v>551.36784810804613</c:v>
                </c:pt>
                <c:pt idx="112">
                  <c:v>555.18935360177784</c:v>
                </c:pt>
                <c:pt idx="113">
                  <c:v>559.0103080539626</c:v>
                </c:pt>
                <c:pt idx="114">
                  <c:v>562.8307157648976</c:v>
                </c:pt>
                <c:pt idx="115">
                  <c:v>566.65058097170197</c:v>
                </c:pt>
                <c:pt idx="116">
                  <c:v>570.46990784967375</c:v>
                </c:pt>
                <c:pt idx="117">
                  <c:v>574.288700513609</c:v>
                </c:pt>
                <c:pt idx="118">
                  <c:v>578.10696301908376</c:v>
                </c:pt>
                <c:pt idx="119">
                  <c:v>581.92469936370151</c:v>
                </c:pt>
                <c:pt idx="120">
                  <c:v>585.74191348830379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438.70974904240529</c:v>
                </c:pt>
                <c:pt idx="62">
                  <c:v>453.06329508642119</c:v>
                </c:pt>
                <c:pt idx="63">
                  <c:v>467.40712233198587</c:v>
                </c:pt>
                <c:pt idx="64">
                  <c:v>481.74157097323285</c:v>
                </c:pt>
                <c:pt idx="65">
                  <c:v>496.06695931286293</c:v>
                </c:pt>
                <c:pt idx="66">
                  <c:v>510.38358577553481</c:v>
                </c:pt>
                <c:pt idx="67">
                  <c:v>524.69173068364398</c:v>
                </c:pt>
                <c:pt idx="68">
                  <c:v>538.99165782937473</c:v>
                </c:pt>
                <c:pt idx="69">
                  <c:v>553.28361587129041</c:v>
                </c:pt>
                <c:pt idx="70">
                  <c:v>1.3525069634579169E-12</c:v>
                </c:pt>
                <c:pt idx="71">
                  <c:v>1.3525069634579169E-12</c:v>
                </c:pt>
                <c:pt idx="72">
                  <c:v>1.3525069634579169E-12</c:v>
                </c:pt>
                <c:pt idx="73">
                  <c:v>1.3525069634579169E-12</c:v>
                </c:pt>
                <c:pt idx="74">
                  <c:v>1.3525069634579169E-12</c:v>
                </c:pt>
                <c:pt idx="75">
                  <c:v>1.3525069634579169E-12</c:v>
                </c:pt>
                <c:pt idx="76">
                  <c:v>1.3525069634579169E-12</c:v>
                </c:pt>
                <c:pt idx="77">
                  <c:v>1.3525069634579169E-12</c:v>
                </c:pt>
                <c:pt idx="78">
                  <c:v>1.3525069634579169E-12</c:v>
                </c:pt>
                <c:pt idx="79">
                  <c:v>1.3525069634579169E-12</c:v>
                </c:pt>
                <c:pt idx="80">
                  <c:v>1.3525069634579169E-12</c:v>
                </c:pt>
                <c:pt idx="81">
                  <c:v>1.3525069634579169E-12</c:v>
                </c:pt>
                <c:pt idx="82">
                  <c:v>1.3525069634579169E-12</c:v>
                </c:pt>
                <c:pt idx="83">
                  <c:v>1.3525069634579169E-12</c:v>
                </c:pt>
                <c:pt idx="84">
                  <c:v>1.3525069634579169E-12</c:v>
                </c:pt>
                <c:pt idx="85">
                  <c:v>1.3525069634579169E-12</c:v>
                </c:pt>
                <c:pt idx="86">
                  <c:v>1.3525069634579169E-12</c:v>
                </c:pt>
                <c:pt idx="87">
                  <c:v>1.3525069634579169E-12</c:v>
                </c:pt>
                <c:pt idx="88">
                  <c:v>1.3525069634579169E-12</c:v>
                </c:pt>
                <c:pt idx="89">
                  <c:v>1.3525069634579169E-12</c:v>
                </c:pt>
                <c:pt idx="90">
                  <c:v>1.3525069634579169E-12</c:v>
                </c:pt>
                <c:pt idx="91">
                  <c:v>1.3525069634579169E-12</c:v>
                </c:pt>
                <c:pt idx="92">
                  <c:v>1.3525069634579169E-12</c:v>
                </c:pt>
                <c:pt idx="93">
                  <c:v>1.3525069634579169E-12</c:v>
                </c:pt>
                <c:pt idx="94">
                  <c:v>1.3525069634579169E-12</c:v>
                </c:pt>
                <c:pt idx="95">
                  <c:v>1.3525069634579169E-12</c:v>
                </c:pt>
                <c:pt idx="96">
                  <c:v>1.3525069634579169E-12</c:v>
                </c:pt>
                <c:pt idx="97">
                  <c:v>1.3525069634579169E-12</c:v>
                </c:pt>
                <c:pt idx="98">
                  <c:v>1.3525069634579169E-12</c:v>
                </c:pt>
                <c:pt idx="99">
                  <c:v>1.3525069634579169E-12</c:v>
                </c:pt>
                <c:pt idx="100">
                  <c:v>1.3525069634579169E-12</c:v>
                </c:pt>
                <c:pt idx="101">
                  <c:v>1.3525069634579169E-12</c:v>
                </c:pt>
                <c:pt idx="102">
                  <c:v>1.3525069634579169E-12</c:v>
                </c:pt>
                <c:pt idx="103">
                  <c:v>1.3525069634579169E-12</c:v>
                </c:pt>
                <c:pt idx="104">
                  <c:v>1.3525069634579169E-12</c:v>
                </c:pt>
                <c:pt idx="105">
                  <c:v>1.3525069634579169E-12</c:v>
                </c:pt>
                <c:pt idx="106">
                  <c:v>1.3525069634579169E-12</c:v>
                </c:pt>
                <c:pt idx="107">
                  <c:v>1.3525069634579169E-12</c:v>
                </c:pt>
                <c:pt idx="108">
                  <c:v>1.3525069634579169E-12</c:v>
                </c:pt>
                <c:pt idx="109">
                  <c:v>1.3525069634579169E-12</c:v>
                </c:pt>
                <c:pt idx="110">
                  <c:v>1.3525069634579169E-12</c:v>
                </c:pt>
                <c:pt idx="111">
                  <c:v>1.3525069634579169E-12</c:v>
                </c:pt>
                <c:pt idx="112">
                  <c:v>1.3525069634579169E-12</c:v>
                </c:pt>
                <c:pt idx="113">
                  <c:v>1.3525069634579169E-12</c:v>
                </c:pt>
                <c:pt idx="114">
                  <c:v>1.3525069634579169E-12</c:v>
                </c:pt>
                <c:pt idx="115">
                  <c:v>1.3525069634579169E-12</c:v>
                </c:pt>
                <c:pt idx="116">
                  <c:v>1.3525069634579169E-12</c:v>
                </c:pt>
                <c:pt idx="117">
                  <c:v>1.3525069634579169E-12</c:v>
                </c:pt>
                <c:pt idx="118">
                  <c:v>1.3525069634579169E-12</c:v>
                </c:pt>
                <c:pt idx="119">
                  <c:v>1.3525069634579169E-12</c:v>
                </c:pt>
                <c:pt idx="120">
                  <c:v>1.3525069634579169E-12</c:v>
                </c:pt>
                <c:pt idx="121">
                  <c:v>1.3525069634579169E-12</c:v>
                </c:pt>
                <c:pt idx="122">
                  <c:v>1.3525069634579169E-12</c:v>
                </c:pt>
                <c:pt idx="123">
                  <c:v>1.3525069634579169E-12</c:v>
                </c:pt>
                <c:pt idx="124">
                  <c:v>1.3525069634579169E-12</c:v>
                </c:pt>
                <c:pt idx="125">
                  <c:v>1.3525069634579169E-12</c:v>
                </c:pt>
                <c:pt idx="126">
                  <c:v>1.3525069634579169E-12</c:v>
                </c:pt>
                <c:pt idx="127">
                  <c:v>1.3525069634579169E-12</c:v>
                </c:pt>
                <c:pt idx="128">
                  <c:v>1.3525069634579169E-12</c:v>
                </c:pt>
                <c:pt idx="129">
                  <c:v>1.3525069634579169E-12</c:v>
                </c:pt>
                <c:pt idx="130">
                  <c:v>1.3525069634579169E-12</c:v>
                </c:pt>
                <c:pt idx="131">
                  <c:v>1.3525069634579169E-12</c:v>
                </c:pt>
                <c:pt idx="132">
                  <c:v>1.3525069634579169E-12</c:v>
                </c:pt>
                <c:pt idx="133">
                  <c:v>1.3525069634579169E-12</c:v>
                </c:pt>
                <c:pt idx="134">
                  <c:v>1.3525069634579169E-12</c:v>
                </c:pt>
                <c:pt idx="135">
                  <c:v>1.3525069634579169E-12</c:v>
                </c:pt>
                <c:pt idx="136">
                  <c:v>1.3525069634579169E-12</c:v>
                </c:pt>
                <c:pt idx="137">
                  <c:v>1.3525069634579169E-12</c:v>
                </c:pt>
                <c:pt idx="138">
                  <c:v>1.3525069634579169E-12</c:v>
                </c:pt>
                <c:pt idx="139">
                  <c:v>1.3525069634579169E-12</c:v>
                </c:pt>
                <c:pt idx="140">
                  <c:v>1.3525069634579169E-12</c:v>
                </c:pt>
                <c:pt idx="141">
                  <c:v>1.3525069634579169E-12</c:v>
                </c:pt>
                <c:pt idx="142">
                  <c:v>1.3525069634579169E-12</c:v>
                </c:pt>
                <c:pt idx="143">
                  <c:v>1.3525069634579169E-12</c:v>
                </c:pt>
                <c:pt idx="144">
                  <c:v>1.3525069634579169E-12</c:v>
                </c:pt>
                <c:pt idx="145">
                  <c:v>1.3525069634579169E-12</c:v>
                </c:pt>
                <c:pt idx="146">
                  <c:v>1.3525069634579169E-12</c:v>
                </c:pt>
                <c:pt idx="147">
                  <c:v>1.3525069634579169E-12</c:v>
                </c:pt>
                <c:pt idx="148">
                  <c:v>1.3525069634579169E-12</c:v>
                </c:pt>
                <c:pt idx="149">
                  <c:v>1.3525069634579169E-12</c:v>
                </c:pt>
                <c:pt idx="150">
                  <c:v>1.3525069634579169E-12</c:v>
                </c:pt>
                <c:pt idx="151">
                  <c:v>1.3525069634579169E-12</c:v>
                </c:pt>
                <c:pt idx="152">
                  <c:v>1.3525069634579169E-12</c:v>
                </c:pt>
                <c:pt idx="153">
                  <c:v>1.3525069634579169E-12</c:v>
                </c:pt>
                <c:pt idx="154">
                  <c:v>1.3525069634579169E-12</c:v>
                </c:pt>
                <c:pt idx="155">
                  <c:v>1.3525069634579169E-12</c:v>
                </c:pt>
                <c:pt idx="156">
                  <c:v>1.3525069634579169E-12</c:v>
                </c:pt>
                <c:pt idx="157">
                  <c:v>1.3525069634579169E-12</c:v>
                </c:pt>
                <c:pt idx="158">
                  <c:v>1.3525069634579169E-12</c:v>
                </c:pt>
                <c:pt idx="159">
                  <c:v>1.3525069634579169E-12</c:v>
                </c:pt>
                <c:pt idx="160">
                  <c:v>1.3525069634579169E-12</c:v>
                </c:pt>
                <c:pt idx="161">
                  <c:v>1.3525069634579169E-12</c:v>
                </c:pt>
                <c:pt idx="162">
                  <c:v>1.3525069634579169E-12</c:v>
                </c:pt>
                <c:pt idx="163">
                  <c:v>1.3525069634579169E-12</c:v>
                </c:pt>
                <c:pt idx="164">
                  <c:v>1.3525069634579169E-12</c:v>
                </c:pt>
                <c:pt idx="165">
                  <c:v>1.3525069634579169E-12</c:v>
                </c:pt>
                <c:pt idx="166">
                  <c:v>1.3525069634579169E-12</c:v>
                </c:pt>
                <c:pt idx="167">
                  <c:v>1.3525069634579169E-12</c:v>
                </c:pt>
                <c:pt idx="168">
                  <c:v>1.3525069634579169E-12</c:v>
                </c:pt>
                <c:pt idx="169">
                  <c:v>1.3525069634579169E-12</c:v>
                </c:pt>
                <c:pt idx="170">
                  <c:v>1.3525069634579169E-12</c:v>
                </c:pt>
                <c:pt idx="171">
                  <c:v>1.3525069634579169E-12</c:v>
                </c:pt>
                <c:pt idx="172">
                  <c:v>1.3525069634579169E-12</c:v>
                </c:pt>
                <c:pt idx="173">
                  <c:v>1.3525069634579169E-12</c:v>
                </c:pt>
                <c:pt idx="174">
                  <c:v>1.3525069634579169E-12</c:v>
                </c:pt>
                <c:pt idx="175">
                  <c:v>1.3525069634579169E-12</c:v>
                </c:pt>
                <c:pt idx="176">
                  <c:v>1.3525069634579169E-12</c:v>
                </c:pt>
                <c:pt idx="177">
                  <c:v>1.3525069634579169E-12</c:v>
                </c:pt>
                <c:pt idx="178">
                  <c:v>1.3525069634579169E-12</c:v>
                </c:pt>
                <c:pt idx="179">
                  <c:v>1.3525069634579169E-12</c:v>
                </c:pt>
                <c:pt idx="180">
                  <c:v>1.3525069634579169E-12</c:v>
                </c:pt>
                <c:pt idx="181">
                  <c:v>1.3525069634579169E-12</c:v>
                </c:pt>
                <c:pt idx="182">
                  <c:v>1.3525069634579169E-12</c:v>
                </c:pt>
                <c:pt idx="183">
                  <c:v>1.3525069634579169E-12</c:v>
                </c:pt>
                <c:pt idx="184">
                  <c:v>1.3525069634579169E-12</c:v>
                </c:pt>
                <c:pt idx="185">
                  <c:v>1.3525069634579169E-12</c:v>
                </c:pt>
                <c:pt idx="186">
                  <c:v>1.3525069634579169E-12</c:v>
                </c:pt>
                <c:pt idx="187">
                  <c:v>1.3525069634579169E-12</c:v>
                </c:pt>
                <c:pt idx="188">
                  <c:v>1.3525069634579169E-12</c:v>
                </c:pt>
                <c:pt idx="189">
                  <c:v>1.3525069634579169E-12</c:v>
                </c:pt>
                <c:pt idx="190">
                  <c:v>1.3525069634579169E-12</c:v>
                </c:pt>
                <c:pt idx="191">
                  <c:v>1.3525069634579169E-12</c:v>
                </c:pt>
                <c:pt idx="192">
                  <c:v>1.3525069634579169E-12</c:v>
                </c:pt>
                <c:pt idx="193">
                  <c:v>1.3525069634579169E-12</c:v>
                </c:pt>
                <c:pt idx="194">
                  <c:v>1.3525069634579169E-12</c:v>
                </c:pt>
                <c:pt idx="195">
                  <c:v>1.3525069634579169E-12</c:v>
                </c:pt>
                <c:pt idx="196">
                  <c:v>1.3525069634579169E-12</c:v>
                </c:pt>
                <c:pt idx="197">
                  <c:v>1.3525069634579169E-12</c:v>
                </c:pt>
                <c:pt idx="198">
                  <c:v>1.3525069634579169E-12</c:v>
                </c:pt>
                <c:pt idx="199">
                  <c:v>1.3525069634579169E-12</c:v>
                </c:pt>
                <c:pt idx="200">
                  <c:v>1.3525069634579169E-12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3.2703410613260862</c:v>
                </c:pt>
                <c:pt idx="2">
                  <c:v>3.9161437254808931</c:v>
                </c:pt>
                <c:pt idx="3">
                  <c:v>4.6899445270810372</c:v>
                </c:pt>
                <c:pt idx="4">
                  <c:v>5.617200485549847</c:v>
                </c:pt>
                <c:pt idx="5">
                  <c:v>6.7284480012868242</c:v>
                </c:pt>
                <c:pt idx="6">
                  <c:v>8.0603193640911446</c:v>
                </c:pt>
                <c:pt idx="7">
                  <c:v>9.6567632502780452</c:v>
                </c:pt>
                <c:pt idx="8">
                  <c:v>11.570510247422023</c:v>
                </c:pt>
                <c:pt idx="9">
                  <c:v>13.864832720969302</c:v>
                </c:pt>
                <c:pt idx="10">
                  <c:v>16.61565828443106</c:v>
                </c:pt>
                <c:pt idx="11">
                  <c:v>19.914108093024186</c:v>
                </c:pt>
                <c:pt idx="12">
                  <c:v>23.869545556641487</c:v>
                </c:pt>
                <c:pt idx="13">
                  <c:v>28.613238351676909</c:v>
                </c:pt>
                <c:pt idx="14">
                  <c:v>34.302757391640604</c:v>
                </c:pt>
                <c:pt idx="15">
                  <c:v>41.127261402376554</c:v>
                </c:pt>
                <c:pt idx="16">
                  <c:v>49.313845791603399</c:v>
                </c:pt>
                <c:pt idx="17">
                  <c:v>59.135170630109862</c:v>
                </c:pt>
                <c:pt idx="18">
                  <c:v>70.918626007223153</c:v>
                </c:pt>
                <c:pt idx="19">
                  <c:v>85.057345270772814</c:v>
                </c:pt>
                <c:pt idx="20">
                  <c:v>102.02343949799173</c:v>
                </c:pt>
                <c:pt idx="21">
                  <c:v>115.24488471715169</c:v>
                </c:pt>
                <c:pt idx="22">
                  <c:v>128.42920528646451</c:v>
                </c:pt>
                <c:pt idx="23">
                  <c:v>141.58075430337479</c:v>
                </c:pt>
                <c:pt idx="24">
                  <c:v>154.70300795717847</c:v>
                </c:pt>
                <c:pt idx="25">
                  <c:v>167.79880331835713</c:v>
                </c:pt>
                <c:pt idx="26">
                  <c:v>180.40404312945904</c:v>
                </c:pt>
                <c:pt idx="27">
                  <c:v>192.98866205877778</c:v>
                </c:pt>
                <c:pt idx="28">
                  <c:v>205.55419504103602</c:v>
                </c:pt>
                <c:pt idx="29">
                  <c:v>218.10197382914805</c:v>
                </c:pt>
                <c:pt idx="30">
                  <c:v>230.63316428689714</c:v>
                </c:pt>
                <c:pt idx="31">
                  <c:v>200.43711831314491</c:v>
                </c:pt>
                <c:pt idx="32">
                  <c:v>219.03076565248205</c:v>
                </c:pt>
                <c:pt idx="33">
                  <c:v>237.58815254200752</c:v>
                </c:pt>
                <c:pt idx="34">
                  <c:v>256.11250961635932</c:v>
                </c:pt>
                <c:pt idx="35">
                  <c:v>274.60656174697812</c:v>
                </c:pt>
                <c:pt idx="36">
                  <c:v>245.46487179097778</c:v>
                </c:pt>
                <c:pt idx="37">
                  <c:v>264.9008120801621</c:v>
                </c:pt>
                <c:pt idx="38">
                  <c:v>284.30460543918787</c:v>
                </c:pt>
                <c:pt idx="39">
                  <c:v>303.67875394863933</c:v>
                </c:pt>
                <c:pt idx="40">
                  <c:v>323.02541433745836</c:v>
                </c:pt>
                <c:pt idx="41">
                  <c:v>293.99524327269961</c:v>
                </c:pt>
                <c:pt idx="42">
                  <c:v>313.3553969303855</c:v>
                </c:pt>
                <c:pt idx="43">
                  <c:v>332.68903260064212</c:v>
                </c:pt>
                <c:pt idx="44">
                  <c:v>351.99790751820524</c:v>
                </c:pt>
                <c:pt idx="45">
                  <c:v>371.28357043570509</c:v>
                </c:pt>
                <c:pt idx="46">
                  <c:v>341.88672353906321</c:v>
                </c:pt>
                <c:pt idx="47">
                  <c:v>360.72516312195717</c:v>
                </c:pt>
                <c:pt idx="48">
                  <c:v>379.54209497418606</c:v>
                </c:pt>
                <c:pt idx="49">
                  <c:v>398.33873496539189</c:v>
                </c:pt>
                <c:pt idx="50">
                  <c:v>417.11617489634546</c:v>
                </c:pt>
                <c:pt idx="51">
                  <c:v>387.33822121677053</c:v>
                </c:pt>
                <c:pt idx="52">
                  <c:v>405.66874423568089</c:v>
                </c:pt>
                <c:pt idx="53">
                  <c:v>423.98137001578158</c:v>
                </c:pt>
                <c:pt idx="54">
                  <c:v>442.27697999035109</c:v>
                </c:pt>
                <c:pt idx="55">
                  <c:v>460.55637675309475</c:v>
                </c:pt>
                <c:pt idx="56">
                  <c:v>429.92926929891956</c:v>
                </c:pt>
                <c:pt idx="57">
                  <c:v>447.30539808561929</c:v>
                </c:pt>
                <c:pt idx="58">
                  <c:v>464.66708288740665</c:v>
                </c:pt>
                <c:pt idx="59">
                  <c:v>482.01493909873881</c:v>
                </c:pt>
                <c:pt idx="60">
                  <c:v>499.34953422631753</c:v>
                </c:pt>
                <c:pt idx="61">
                  <c:v>467.86376222658561</c:v>
                </c:pt>
                <c:pt idx="62">
                  <c:v>484.29655280391279</c:v>
                </c:pt>
                <c:pt idx="63">
                  <c:v>500.71750586625211</c:v>
                </c:pt>
                <c:pt idx="64">
                  <c:v>517.12706410485578</c:v>
                </c:pt>
                <c:pt idx="65">
                  <c:v>533.52563983842992</c:v>
                </c:pt>
                <c:pt idx="66">
                  <c:v>501.17347881997534</c:v>
                </c:pt>
                <c:pt idx="67">
                  <c:v>516.67139318273337</c:v>
                </c:pt>
                <c:pt idx="68">
                  <c:v>532.15950176791512</c:v>
                </c:pt>
                <c:pt idx="69">
                  <c:v>547.63813003167184</c:v>
                </c:pt>
                <c:pt idx="70">
                  <c:v>563.10758354108657</c:v>
                </c:pt>
                <c:pt idx="71">
                  <c:v>529.42700402201569</c:v>
                </c:pt>
                <c:pt idx="72">
                  <c:v>543.54175115137798</c:v>
                </c:pt>
                <c:pt idx="73">
                  <c:v>557.64880567125817</c:v>
                </c:pt>
                <c:pt idx="74">
                  <c:v>571.74838952524453</c:v>
                </c:pt>
                <c:pt idx="75">
                  <c:v>585.84071282237755</c:v>
                </c:pt>
                <c:pt idx="76">
                  <c:v>551.73386614264211</c:v>
                </c:pt>
                <c:pt idx="77">
                  <c:v>565.38174692254529</c:v>
                </c:pt>
                <c:pt idx="78">
                  <c:v>579.02274052069413</c:v>
                </c:pt>
                <c:pt idx="79">
                  <c:v>592.65703198720178</c:v>
                </c:pt>
                <c:pt idx="80">
                  <c:v>606.28479716717095</c:v>
                </c:pt>
                <c:pt idx="81">
                  <c:v>571.74838952524453</c:v>
                </c:pt>
                <c:pt idx="82">
                  <c:v>584.93174584337009</c:v>
                </c:pt>
                <c:pt idx="83">
                  <c:v>598.10891166009662</c:v>
                </c:pt>
                <c:pt idx="84">
                  <c:v>611.28004252540165</c:v>
                </c:pt>
                <c:pt idx="85">
                  <c:v>624.44528674225796</c:v>
                </c:pt>
                <c:pt idx="86">
                  <c:v>589.02186615684741</c:v>
                </c:pt>
                <c:pt idx="87">
                  <c:v>601.28869695539117</c:v>
                </c:pt>
                <c:pt idx="88">
                  <c:v>613.55032816291862</c:v>
                </c:pt>
                <c:pt idx="89">
                  <c:v>625.80687830020725</c:v>
                </c:pt>
                <c:pt idx="90">
                  <c:v>638.0584608686886</c:v>
                </c:pt>
                <c:pt idx="91">
                  <c:v>596.74603902946512</c:v>
                </c:pt>
                <c:pt idx="92">
                  <c:v>603.1055600865767</c:v>
                </c:pt>
                <c:pt idx="93">
                  <c:v>609.46368807028375</c:v>
                </c:pt>
                <c:pt idx="94">
                  <c:v>615.82043956632799</c:v>
                </c:pt>
                <c:pt idx="95">
                  <c:v>622.17583079004874</c:v>
                </c:pt>
                <c:pt idx="96">
                  <c:v>628.52987759843575</c:v>
                </c:pt>
                <c:pt idx="97">
                  <c:v>634.88259550167152</c:v>
                </c:pt>
                <c:pt idx="98">
                  <c:v>641.23399967418345</c:v>
                </c:pt>
                <c:pt idx="99">
                  <c:v>647.58410496524095</c:v>
                </c:pt>
                <c:pt idx="100">
                  <c:v>653.93292590911062</c:v>
                </c:pt>
                <c:pt idx="101">
                  <c:v>611.73411362703007</c:v>
                </c:pt>
                <c:pt idx="102">
                  <c:v>617.18242308130084</c:v>
                </c:pt>
                <c:pt idx="103">
                  <c:v>622.62973567590768</c:v>
                </c:pt>
                <c:pt idx="104">
                  <c:v>628.07606136471657</c:v>
                </c:pt>
                <c:pt idx="105">
                  <c:v>633.52140991484157</c:v>
                </c:pt>
                <c:pt idx="106">
                  <c:v>638.96579091175829</c:v>
                </c:pt>
                <c:pt idx="107">
                  <c:v>644.40921376423535</c:v>
                </c:pt>
                <c:pt idx="108">
                  <c:v>649.85168770908888</c:v>
                </c:pt>
                <c:pt idx="109">
                  <c:v>655.29322181577129</c:v>
                </c:pt>
                <c:pt idx="110">
                  <c:v>660.73382499079776</c:v>
                </c:pt>
                <c:pt idx="111">
                  <c:v>621.94887577530756</c:v>
                </c:pt>
                <c:pt idx="112">
                  <c:v>626.26072851795232</c:v>
                </c:pt>
                <c:pt idx="113">
                  <c:v>630.57196682840856</c:v>
                </c:pt>
                <c:pt idx="114">
                  <c:v>634.88259550167083</c:v>
                </c:pt>
                <c:pt idx="115">
                  <c:v>639.19261926228717</c:v>
                </c:pt>
                <c:pt idx="116">
                  <c:v>643.5020427658734</c:v>
                </c:pt>
                <c:pt idx="117">
                  <c:v>647.81087060058223</c:v>
                </c:pt>
                <c:pt idx="118">
                  <c:v>652.11910728853525</c:v>
                </c:pt>
                <c:pt idx="119">
                  <c:v>656.42675728721099</c:v>
                </c:pt>
                <c:pt idx="120">
                  <c:v>660.73382499079742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3.2703410613260862</c:v>
                </c:pt>
                <c:pt idx="2">
                  <c:v>3.9161437254808931</c:v>
                </c:pt>
                <c:pt idx="3">
                  <c:v>4.6899445270810372</c:v>
                </c:pt>
                <c:pt idx="4">
                  <c:v>5.617200485549847</c:v>
                </c:pt>
                <c:pt idx="5">
                  <c:v>6.7284480012868242</c:v>
                </c:pt>
                <c:pt idx="6">
                  <c:v>8.0603193640911446</c:v>
                </c:pt>
                <c:pt idx="7">
                  <c:v>9.6567632502780452</c:v>
                </c:pt>
                <c:pt idx="8">
                  <c:v>11.570510247422023</c:v>
                </c:pt>
                <c:pt idx="9">
                  <c:v>13.864832720969302</c:v>
                </c:pt>
                <c:pt idx="10">
                  <c:v>16.61565828443106</c:v>
                </c:pt>
                <c:pt idx="11">
                  <c:v>19.914108093024186</c:v>
                </c:pt>
                <c:pt idx="12">
                  <c:v>23.869545556641487</c:v>
                </c:pt>
                <c:pt idx="13">
                  <c:v>28.613238351676909</c:v>
                </c:pt>
                <c:pt idx="14">
                  <c:v>34.302757391640604</c:v>
                </c:pt>
                <c:pt idx="15">
                  <c:v>41.127261402376554</c:v>
                </c:pt>
                <c:pt idx="16">
                  <c:v>49.313845791603399</c:v>
                </c:pt>
                <c:pt idx="17">
                  <c:v>59.135170630109862</c:v>
                </c:pt>
                <c:pt idx="18">
                  <c:v>70.918626007223153</c:v>
                </c:pt>
                <c:pt idx="19">
                  <c:v>85.057345270772814</c:v>
                </c:pt>
                <c:pt idx="20">
                  <c:v>102.02343949799173</c:v>
                </c:pt>
                <c:pt idx="21">
                  <c:v>115.24488471715169</c:v>
                </c:pt>
                <c:pt idx="22">
                  <c:v>128.42920528646451</c:v>
                </c:pt>
                <c:pt idx="23">
                  <c:v>141.58075430337479</c:v>
                </c:pt>
                <c:pt idx="24">
                  <c:v>154.70300795717847</c:v>
                </c:pt>
                <c:pt idx="25">
                  <c:v>167.79880331835713</c:v>
                </c:pt>
                <c:pt idx="26">
                  <c:v>180.40404312945904</c:v>
                </c:pt>
                <c:pt idx="27">
                  <c:v>192.98866205877778</c:v>
                </c:pt>
                <c:pt idx="28">
                  <c:v>205.55419504103602</c:v>
                </c:pt>
                <c:pt idx="29">
                  <c:v>218.10197382914805</c:v>
                </c:pt>
                <c:pt idx="30">
                  <c:v>230.63316428689714</c:v>
                </c:pt>
                <c:pt idx="31">
                  <c:v>200.43711831314491</c:v>
                </c:pt>
                <c:pt idx="32">
                  <c:v>219.03076565248205</c:v>
                </c:pt>
                <c:pt idx="33">
                  <c:v>237.58815254200752</c:v>
                </c:pt>
                <c:pt idx="34">
                  <c:v>256.11250961635932</c:v>
                </c:pt>
                <c:pt idx="35">
                  <c:v>274.60656174697812</c:v>
                </c:pt>
                <c:pt idx="36">
                  <c:v>245.46487179097778</c:v>
                </c:pt>
                <c:pt idx="37">
                  <c:v>264.9008120801621</c:v>
                </c:pt>
                <c:pt idx="38">
                  <c:v>284.30460543918787</c:v>
                </c:pt>
                <c:pt idx="39">
                  <c:v>303.67875394863933</c:v>
                </c:pt>
                <c:pt idx="40">
                  <c:v>323.02541433745836</c:v>
                </c:pt>
                <c:pt idx="41">
                  <c:v>293.99524327269961</c:v>
                </c:pt>
                <c:pt idx="42">
                  <c:v>313.3553969303855</c:v>
                </c:pt>
                <c:pt idx="43">
                  <c:v>332.68903260064212</c:v>
                </c:pt>
                <c:pt idx="44">
                  <c:v>351.99790751820524</c:v>
                </c:pt>
                <c:pt idx="45">
                  <c:v>371.28357043570509</c:v>
                </c:pt>
                <c:pt idx="46">
                  <c:v>341.88672353906321</c:v>
                </c:pt>
                <c:pt idx="47">
                  <c:v>360.72516312195717</c:v>
                </c:pt>
                <c:pt idx="48">
                  <c:v>379.54209497418606</c:v>
                </c:pt>
                <c:pt idx="49">
                  <c:v>398.33873496539189</c:v>
                </c:pt>
                <c:pt idx="50">
                  <c:v>417.11617489634546</c:v>
                </c:pt>
                <c:pt idx="51">
                  <c:v>387.33822121677053</c:v>
                </c:pt>
                <c:pt idx="52">
                  <c:v>405.66874423568089</c:v>
                </c:pt>
                <c:pt idx="53">
                  <c:v>423.98137001578158</c:v>
                </c:pt>
                <c:pt idx="54">
                  <c:v>442.27697999035109</c:v>
                </c:pt>
                <c:pt idx="55">
                  <c:v>460.55637675309475</c:v>
                </c:pt>
                <c:pt idx="56">
                  <c:v>429.92926929891956</c:v>
                </c:pt>
                <c:pt idx="57">
                  <c:v>447.30539808561929</c:v>
                </c:pt>
                <c:pt idx="58">
                  <c:v>464.66708288740665</c:v>
                </c:pt>
                <c:pt idx="59">
                  <c:v>482.01493909873881</c:v>
                </c:pt>
                <c:pt idx="60">
                  <c:v>499.34953422631753</c:v>
                </c:pt>
                <c:pt idx="61">
                  <c:v>467.86376222658561</c:v>
                </c:pt>
                <c:pt idx="62">
                  <c:v>484.29655280391279</c:v>
                </c:pt>
                <c:pt idx="63">
                  <c:v>500.71750586625211</c:v>
                </c:pt>
                <c:pt idx="64">
                  <c:v>517.12706410485578</c:v>
                </c:pt>
                <c:pt idx="65">
                  <c:v>533.52563983842992</c:v>
                </c:pt>
                <c:pt idx="66">
                  <c:v>501.17347881997534</c:v>
                </c:pt>
                <c:pt idx="67">
                  <c:v>516.67139318273337</c:v>
                </c:pt>
                <c:pt idx="68">
                  <c:v>532.15950176791512</c:v>
                </c:pt>
                <c:pt idx="69">
                  <c:v>547.63813003167184</c:v>
                </c:pt>
                <c:pt idx="70">
                  <c:v>563.10758354108657</c:v>
                </c:pt>
                <c:pt idx="71">
                  <c:v>529.42700402201569</c:v>
                </c:pt>
                <c:pt idx="72">
                  <c:v>543.54175115137798</c:v>
                </c:pt>
                <c:pt idx="73">
                  <c:v>557.64880567125817</c:v>
                </c:pt>
                <c:pt idx="74">
                  <c:v>571.74838952524453</c:v>
                </c:pt>
                <c:pt idx="75">
                  <c:v>585.84071282237755</c:v>
                </c:pt>
                <c:pt idx="76">
                  <c:v>551.73386614264211</c:v>
                </c:pt>
                <c:pt idx="77">
                  <c:v>565.38174692254529</c:v>
                </c:pt>
                <c:pt idx="78">
                  <c:v>579.02274052069413</c:v>
                </c:pt>
                <c:pt idx="79">
                  <c:v>592.65703198720178</c:v>
                </c:pt>
                <c:pt idx="80">
                  <c:v>606.28479716717095</c:v>
                </c:pt>
                <c:pt idx="81">
                  <c:v>571.74838952524453</c:v>
                </c:pt>
                <c:pt idx="82">
                  <c:v>584.93174584337009</c:v>
                </c:pt>
                <c:pt idx="83">
                  <c:v>598.10891166009662</c:v>
                </c:pt>
                <c:pt idx="84">
                  <c:v>611.28004252540165</c:v>
                </c:pt>
                <c:pt idx="85">
                  <c:v>624.44528674225796</c:v>
                </c:pt>
                <c:pt idx="86">
                  <c:v>589.02186615684741</c:v>
                </c:pt>
                <c:pt idx="87">
                  <c:v>601.28869695539117</c:v>
                </c:pt>
                <c:pt idx="88">
                  <c:v>613.55032816291862</c:v>
                </c:pt>
                <c:pt idx="89">
                  <c:v>625.80687830020725</c:v>
                </c:pt>
                <c:pt idx="90">
                  <c:v>638.0584608686886</c:v>
                </c:pt>
                <c:pt idx="91">
                  <c:v>596.74603902946512</c:v>
                </c:pt>
                <c:pt idx="92">
                  <c:v>603.1055600865767</c:v>
                </c:pt>
                <c:pt idx="93">
                  <c:v>609.46368807028375</c:v>
                </c:pt>
                <c:pt idx="94">
                  <c:v>615.82043956632799</c:v>
                </c:pt>
                <c:pt idx="95">
                  <c:v>622.17583079004874</c:v>
                </c:pt>
                <c:pt idx="96">
                  <c:v>628.52987759843575</c:v>
                </c:pt>
                <c:pt idx="97">
                  <c:v>634.88259550167152</c:v>
                </c:pt>
                <c:pt idx="98">
                  <c:v>641.23399967418345</c:v>
                </c:pt>
                <c:pt idx="99">
                  <c:v>647.58410496524095</c:v>
                </c:pt>
                <c:pt idx="100">
                  <c:v>653.93292590911062</c:v>
                </c:pt>
                <c:pt idx="101">
                  <c:v>611.73411362703007</c:v>
                </c:pt>
                <c:pt idx="102">
                  <c:v>617.18242308130084</c:v>
                </c:pt>
                <c:pt idx="103">
                  <c:v>622.62973567590768</c:v>
                </c:pt>
                <c:pt idx="104">
                  <c:v>628.07606136471657</c:v>
                </c:pt>
                <c:pt idx="105">
                  <c:v>633.52140991484157</c:v>
                </c:pt>
                <c:pt idx="106">
                  <c:v>638.96579091175829</c:v>
                </c:pt>
                <c:pt idx="107">
                  <c:v>644.40921376423535</c:v>
                </c:pt>
                <c:pt idx="108">
                  <c:v>649.85168770908888</c:v>
                </c:pt>
                <c:pt idx="109">
                  <c:v>655.29322181577129</c:v>
                </c:pt>
                <c:pt idx="110">
                  <c:v>660.73382499079776</c:v>
                </c:pt>
                <c:pt idx="111">
                  <c:v>621.94887577530756</c:v>
                </c:pt>
                <c:pt idx="112">
                  <c:v>626.26072851795232</c:v>
                </c:pt>
                <c:pt idx="113">
                  <c:v>630.57196682840856</c:v>
                </c:pt>
                <c:pt idx="114">
                  <c:v>634.88259550167083</c:v>
                </c:pt>
                <c:pt idx="115">
                  <c:v>639.19261926228717</c:v>
                </c:pt>
                <c:pt idx="116">
                  <c:v>643.5020427658734</c:v>
                </c:pt>
                <c:pt idx="117">
                  <c:v>647.81087060058223</c:v>
                </c:pt>
                <c:pt idx="118">
                  <c:v>652.11910728853525</c:v>
                </c:pt>
                <c:pt idx="119">
                  <c:v>656.42675728721099</c:v>
                </c:pt>
                <c:pt idx="120">
                  <c:v>660.73382499079742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103.84617756844348</c:v>
                </c:pt>
                <c:pt idx="22">
                  <c:v>115.72319627792427</c:v>
                </c:pt>
                <c:pt idx="23">
                  <c:v>127.57039913328697</c:v>
                </c:pt>
                <c:pt idx="24">
                  <c:v>139.39094880292336</c:v>
                </c:pt>
                <c:pt idx="25">
                  <c:v>151.18742647916039</c:v>
                </c:pt>
                <c:pt idx="26">
                  <c:v>162.54181354343532</c:v>
                </c:pt>
                <c:pt idx="27">
                  <c:v>173.87743954337375</c:v>
                </c:pt>
                <c:pt idx="28">
                  <c:v>185.19570097643805</c:v>
                </c:pt>
                <c:pt idx="29">
                  <c:v>196.49780948344781</c:v>
                </c:pt>
                <c:pt idx="30">
                  <c:v>207.78482577779437</c:v>
                </c:pt>
                <c:pt idx="31">
                  <c:v>180.58657218998465</c:v>
                </c:pt>
                <c:pt idx="32">
                  <c:v>197.33439015717349</c:v>
                </c:pt>
                <c:pt idx="33">
                  <c:v>214.04921803989637</c:v>
                </c:pt>
                <c:pt idx="34">
                  <c:v>230.73399509870123</c:v>
                </c:pt>
                <c:pt idx="35">
                  <c:v>247.39120044621515</c:v>
                </c:pt>
                <c:pt idx="36">
                  <c:v>221.14376696934895</c:v>
                </c:pt>
                <c:pt idx="37">
                  <c:v>238.64946815456824</c:v>
                </c:pt>
                <c:pt idx="38">
                  <c:v>256.12592177262371</c:v>
                </c:pt>
                <c:pt idx="39">
                  <c:v>273.57540423901071</c:v>
                </c:pt>
                <c:pt idx="40">
                  <c:v>290.99987776518367</c:v>
                </c:pt>
                <c:pt idx="41">
                  <c:v>264.85390518195578</c:v>
                </c:pt>
                <c:pt idx="42">
                  <c:v>282.29065500591184</c:v>
                </c:pt>
                <c:pt idx="43">
                  <c:v>299.70327852559706</c:v>
                </c:pt>
                <c:pt idx="44">
                  <c:v>317.09337448903159</c:v>
                </c:pt>
                <c:pt idx="45">
                  <c:v>334.46235196533513</c:v>
                </c:pt>
                <c:pt idx="46">
                  <c:v>307.98699565569297</c:v>
                </c:pt>
                <c:pt idx="47">
                  <c:v>324.95330656071559</c:v>
                </c:pt>
                <c:pt idx="48">
                  <c:v>341.90004953828543</c:v>
                </c:pt>
                <c:pt idx="49">
                  <c:v>358.82833079757546</c:v>
                </c:pt>
                <c:pt idx="50">
                  <c:v>375.73914366877966</c:v>
                </c:pt>
                <c:pt idx="51">
                  <c:v>348.92127422322795</c:v>
                </c:pt>
                <c:pt idx="52">
                  <c:v>365.42969930916394</c:v>
                </c:pt>
                <c:pt idx="53">
                  <c:v>381.92184132571987</c:v>
                </c:pt>
                <c:pt idx="54">
                  <c:v>398.39850220884659</c:v>
                </c:pt>
                <c:pt idx="55">
                  <c:v>414.86041216554025</c:v>
                </c:pt>
                <c:pt idx="56">
                  <c:v>387.27841746168315</c:v>
                </c:pt>
                <c:pt idx="57">
                  <c:v>402.92696857125219</c:v>
                </c:pt>
                <c:pt idx="58">
                  <c:v>418.56237841299998</c:v>
                </c:pt>
                <c:pt idx="59">
                  <c:v>434.18520687835775</c:v>
                </c:pt>
                <c:pt idx="60">
                  <c:v>449.79597029004367</c:v>
                </c:pt>
                <c:pt idx="61">
                  <c:v>421.44119734263649</c:v>
                </c:pt>
                <c:pt idx="62">
                  <c:v>436.23993334519008</c:v>
                </c:pt>
                <c:pt idx="63">
                  <c:v>451.02789946978169</c:v>
                </c:pt>
                <c:pt idx="64">
                  <c:v>465.80549848090754</c:v>
                </c:pt>
                <c:pt idx="65">
                  <c:v>480.57310550984772</c:v>
                </c:pt>
                <c:pt idx="66">
                  <c:v>451.43852652349545</c:v>
                </c:pt>
                <c:pt idx="67">
                  <c:v>465.39514621826993</c:v>
                </c:pt>
                <c:pt idx="68">
                  <c:v>479.34284452811448</c:v>
                </c:pt>
                <c:pt idx="69">
                  <c:v>493.28191755597277</c:v>
                </c:pt>
                <c:pt idx="70">
                  <c:v>507.21264330953454</c:v>
                </c:pt>
                <c:pt idx="71">
                  <c:v>476.88212094653824</c:v>
                </c:pt>
                <c:pt idx="72">
                  <c:v>489.59298637351304</c:v>
                </c:pt>
                <c:pt idx="73">
                  <c:v>502.29685299496037</c:v>
                </c:pt>
                <c:pt idx="74">
                  <c:v>514.99392273715944</c:v>
                </c:pt>
                <c:pt idx="75">
                  <c:v>527.68438675921141</c:v>
                </c:pt>
                <c:pt idx="76">
                  <c:v>496.97026394110162</c:v>
                </c:pt>
                <c:pt idx="77">
                  <c:v>509.26059140461638</c:v>
                </c:pt>
                <c:pt idx="78">
                  <c:v>521.5446528480187</c:v>
                </c:pt>
                <c:pt idx="79">
                  <c:v>533.82261663157112</c:v>
                </c:pt>
                <c:pt idx="80">
                  <c:v>546.09464274073559</c:v>
                </c:pt>
                <c:pt idx="81">
                  <c:v>514.99392273715944</c:v>
                </c:pt>
                <c:pt idx="82">
                  <c:v>526.86584290776068</c:v>
                </c:pt>
                <c:pt idx="83">
                  <c:v>538.73213090432375</c:v>
                </c:pt>
                <c:pt idx="84">
                  <c:v>550.5929282476219</c:v>
                </c:pt>
                <c:pt idx="85">
                  <c:v>562.44836986503822</c:v>
                </c:pt>
                <c:pt idx="86">
                  <c:v>530.54907998965132</c:v>
                </c:pt>
                <c:pt idx="87">
                  <c:v>541.59557948037605</c:v>
                </c:pt>
                <c:pt idx="88">
                  <c:v>552.63734833627143</c:v>
                </c:pt>
                <c:pt idx="89">
                  <c:v>563.67449438860956</c:v>
                </c:pt>
                <c:pt idx="90">
                  <c:v>574.70712090201835</c:v>
                </c:pt>
                <c:pt idx="91">
                  <c:v>537.50484084926495</c:v>
                </c:pt>
                <c:pt idx="92">
                  <c:v>543.231692935365</c:v>
                </c:pt>
                <c:pt idx="93">
                  <c:v>548.95727759070985</c:v>
                </c:pt>
                <c:pt idx="94">
                  <c:v>554.68160990515719</c:v>
                </c:pt>
                <c:pt idx="95">
                  <c:v>560.40470463156907</c:v>
                </c:pt>
                <c:pt idx="96">
                  <c:v>566.12657619677805</c:v>
                </c:pt>
                <c:pt idx="97">
                  <c:v>571.84723871208746</c:v>
                </c:pt>
                <c:pt idx="98">
                  <c:v>577.56670598332937</c:v>
                </c:pt>
                <c:pt idx="99">
                  <c:v>583.28499152050188</c:v>
                </c:pt>
                <c:pt idx="100">
                  <c:v>589.00210854701277</c:v>
                </c:pt>
                <c:pt idx="101">
                  <c:v>551.00182497913681</c:v>
                </c:pt>
                <c:pt idx="102">
                  <c:v>555.90809103476613</c:v>
                </c:pt>
                <c:pt idx="103">
                  <c:v>560.81345013847704</c:v>
                </c:pt>
                <c:pt idx="104">
                  <c:v>565.71791134638681</c:v>
                </c:pt>
                <c:pt idx="105">
                  <c:v>570.62148354470401</c:v>
                </c:pt>
                <c:pt idx="106">
                  <c:v>575.52417545438072</c:v>
                </c:pt>
                <c:pt idx="107">
                  <c:v>580.42599563559952</c:v>
                </c:pt>
                <c:pt idx="108">
                  <c:v>585.32695249209928</c:v>
                </c:pt>
                <c:pt idx="109">
                  <c:v>590.22705427534936</c:v>
                </c:pt>
                <c:pt idx="110">
                  <c:v>595.12630908857807</c:v>
                </c:pt>
                <c:pt idx="111">
                  <c:v>560.20032953825796</c:v>
                </c:pt>
                <c:pt idx="112">
                  <c:v>564.0831901579744</c:v>
                </c:pt>
                <c:pt idx="113">
                  <c:v>567.96549176174074</c:v>
                </c:pt>
                <c:pt idx="114">
                  <c:v>571.84723871208701</c:v>
                </c:pt>
                <c:pt idx="115">
                  <c:v>575.72843530744876</c:v>
                </c:pt>
                <c:pt idx="116">
                  <c:v>579.60908578354747</c:v>
                </c:pt>
                <c:pt idx="117">
                  <c:v>583.48919431472621</c:v>
                </c:pt>
                <c:pt idx="118">
                  <c:v>587.3687650152516</c:v>
                </c:pt>
                <c:pt idx="119">
                  <c:v>591.24780194057814</c:v>
                </c:pt>
                <c:pt idx="120">
                  <c:v>595.1263090885775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1.9897619947882648</c:v>
                </c:pt>
                <c:pt idx="2">
                  <c:v>2.552996102096587</c:v>
                </c:pt>
                <c:pt idx="3">
                  <c:v>3.2763048074509658</c:v>
                </c:pt>
                <c:pt idx="4">
                  <c:v>4.2053545364457383</c:v>
                </c:pt>
                <c:pt idx="5">
                  <c:v>5.3988855456307512</c:v>
                </c:pt>
                <c:pt idx="6">
                  <c:v>6.9324670734462677</c:v>
                </c:pt>
                <c:pt idx="7">
                  <c:v>8.9033343180521864</c:v>
                </c:pt>
                <c:pt idx="8">
                  <c:v>11.436619765722265</c:v>
                </c:pt>
                <c:pt idx="9">
                  <c:v>14.693381903188557</c:v>
                </c:pt>
                <c:pt idx="10">
                  <c:v>18.880951128950827</c:v>
                </c:pt>
                <c:pt idx="11">
                  <c:v>24.266263373552302</c:v>
                </c:pt>
                <c:pt idx="12">
                  <c:v>31.193046415276033</c:v>
                </c:pt>
                <c:pt idx="13">
                  <c:v>40.10397488031095</c:v>
                </c:pt>
                <c:pt idx="14">
                  <c:v>51.569233906282783</c:v>
                </c:pt>
                <c:pt idx="15">
                  <c:v>66.323349688114789</c:v>
                </c:pt>
                <c:pt idx="16">
                  <c:v>92.52086174225677</c:v>
                </c:pt>
                <c:pt idx="17">
                  <c:v>118.53116912117031</c:v>
                </c:pt>
                <c:pt idx="18">
                  <c:v>144.4015398483165</c:v>
                </c:pt>
                <c:pt idx="19">
                  <c:v>170.16069105127073</c:v>
                </c:pt>
                <c:pt idx="20">
                  <c:v>135.53069857495038</c:v>
                </c:pt>
                <c:pt idx="21">
                  <c:v>161.15012092979916</c:v>
                </c:pt>
                <c:pt idx="22">
                  <c:v>186.67293481199212</c:v>
                </c:pt>
                <c:pt idx="23">
                  <c:v>212.11422506599504</c:v>
                </c:pt>
                <c:pt idx="24">
                  <c:v>237.48514992227561</c:v>
                </c:pt>
                <c:pt idx="25">
                  <c:v>206.35939041736609</c:v>
                </c:pt>
                <c:pt idx="26">
                  <c:v>233.2697466941612</c:v>
                </c:pt>
                <c:pt idx="27">
                  <c:v>260.10919155228936</c:v>
                </c:pt>
                <c:pt idx="28">
                  <c:v>286.8860689751682</c:v>
                </c:pt>
                <c:pt idx="29">
                  <c:v>313.60703674466691</c:v>
                </c:pt>
                <c:pt idx="30">
                  <c:v>340.27752501668795</c:v>
                </c:pt>
                <c:pt idx="31">
                  <c:v>278.36609264736131</c:v>
                </c:pt>
                <c:pt idx="32">
                  <c:v>302.23179355590872</c:v>
                </c:pt>
                <c:pt idx="33">
                  <c:v>329.55032341167646</c:v>
                </c:pt>
                <c:pt idx="34">
                  <c:v>356.81889117361993</c:v>
                </c:pt>
                <c:pt idx="35">
                  <c:v>384.04184826296768</c:v>
                </c:pt>
                <c:pt idx="36">
                  <c:v>411.22287909086322</c:v>
                </c:pt>
                <c:pt idx="37">
                  <c:v>438.36514154393308</c:v>
                </c:pt>
                <c:pt idx="38">
                  <c:v>394.20159315580548</c:v>
                </c:pt>
                <c:pt idx="39">
                  <c:v>419.98968010727327</c:v>
                </c:pt>
                <c:pt idx="40">
                  <c:v>445.74367122576996</c:v>
                </c:pt>
                <c:pt idx="41">
                  <c:v>471.46581141120981</c:v>
                </c:pt>
                <c:pt idx="42">
                  <c:v>497.59132076910754</c:v>
                </c:pt>
                <c:pt idx="43">
                  <c:v>523.68779015923326</c:v>
                </c:pt>
                <c:pt idx="44">
                  <c:v>549.75686849194506</c:v>
                </c:pt>
                <c:pt idx="45">
                  <c:v>575.80003571503119</c:v>
                </c:pt>
                <c:pt idx="46">
                  <c:v>601.81862713859357</c:v>
                </c:pt>
                <c:pt idx="47">
                  <c:v>506.5400029007132</c:v>
                </c:pt>
                <c:pt idx="48">
                  <c:v>528.83871919819615</c:v>
                </c:pt>
                <c:pt idx="49">
                  <c:v>551.11765041685078</c:v>
                </c:pt>
                <c:pt idx="50">
                  <c:v>573.37770811696282</c:v>
                </c:pt>
                <c:pt idx="51">
                  <c:v>596.09612790395624</c:v>
                </c:pt>
                <c:pt idx="52">
                  <c:v>618.79654510083196</c:v>
                </c:pt>
                <c:pt idx="53">
                  <c:v>641.47971233217879</c:v>
                </c:pt>
                <c:pt idx="54">
                  <c:v>664.14632471536174</c:v>
                </c:pt>
                <c:pt idx="55">
                  <c:v>686.79702610651418</c:v>
                </c:pt>
                <c:pt idx="56">
                  <c:v>709.43241448048059</c:v>
                </c:pt>
                <c:pt idx="57">
                  <c:v>632.23999168627631</c:v>
                </c:pt>
                <c:pt idx="58">
                  <c:v>652.00154138490313</c:v>
                </c:pt>
                <c:pt idx="59">
                  <c:v>671.75074866286002</c:v>
                </c:pt>
                <c:pt idx="60">
                  <c:v>691.27714232149219</c:v>
                </c:pt>
                <c:pt idx="61">
                  <c:v>710.79223670196086</c:v>
                </c:pt>
                <c:pt idx="62">
                  <c:v>730.2963853903326</c:v>
                </c:pt>
                <c:pt idx="63">
                  <c:v>749.78992156646348</c:v>
                </c:pt>
                <c:pt idx="64">
                  <c:v>769.2731596922963</c:v>
                </c:pt>
                <c:pt idx="65">
                  <c:v>788.74639702040906</c:v>
                </c:pt>
                <c:pt idx="66">
                  <c:v>808.20991494600241</c:v>
                </c:pt>
                <c:pt idx="67">
                  <c:v>714.72590161821392</c:v>
                </c:pt>
                <c:pt idx="68">
                  <c:v>730.5010493755093</c:v>
                </c:pt>
                <c:pt idx="69">
                  <c:v>746.69477779915371</c:v>
                </c:pt>
                <c:pt idx="70">
                  <c:v>762.88136676195211</c:v>
                </c:pt>
                <c:pt idx="71">
                  <c:v>779.06098894972001</c:v>
                </c:pt>
                <c:pt idx="72">
                  <c:v>795.23380929745065</c:v>
                </c:pt>
                <c:pt idx="73">
                  <c:v>811.39998549097754</c:v>
                </c:pt>
                <c:pt idx="74">
                  <c:v>827.55966842661417</c:v>
                </c:pt>
                <c:pt idx="75">
                  <c:v>843.71300263306648</c:v>
                </c:pt>
                <c:pt idx="76">
                  <c:v>859.86012665938733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1.5201107871777362</c:v>
                </c:pt>
                <c:pt idx="2">
                  <c:v>1.992573229563436</c:v>
                </c:pt>
                <c:pt idx="3">
                  <c:v>2.6124920095399164</c:v>
                </c:pt>
                <c:pt idx="4">
                  <c:v>3.426068783173843</c:v>
                </c:pt>
                <c:pt idx="5">
                  <c:v>4.494034257448285</c:v>
                </c:pt>
                <c:pt idx="6">
                  <c:v>5.896232636390625</c:v>
                </c:pt>
                <c:pt idx="7">
                  <c:v>7.737657142654716</c:v>
                </c:pt>
                <c:pt idx="8">
                  <c:v>10.15639722274914</c:v>
                </c:pt>
                <c:pt idx="9">
                  <c:v>13.334104632710369</c:v>
                </c:pt>
                <c:pt idx="10">
                  <c:v>17.509778951164108</c:v>
                </c:pt>
                <c:pt idx="11">
                  <c:v>22.997928126854415</c:v>
                </c:pt>
                <c:pt idx="12">
                  <c:v>30.212496174014731</c:v>
                </c:pt>
                <c:pt idx="13">
                  <c:v>39.698394141307396</c:v>
                </c:pt>
                <c:pt idx="14">
                  <c:v>52.173056411658138</c:v>
                </c:pt>
                <c:pt idx="15">
                  <c:v>68.581217689529225</c:v>
                </c:pt>
                <c:pt idx="16">
                  <c:v>93.584221924507901</c:v>
                </c:pt>
                <c:pt idx="17">
                  <c:v>118.41906376841473</c:v>
                </c:pt>
                <c:pt idx="18">
                  <c:v>143.1262759973624</c:v>
                </c:pt>
                <c:pt idx="19">
                  <c:v>167.73108360761083</c:v>
                </c:pt>
                <c:pt idx="20">
                  <c:v>192.25065332331272</c:v>
                </c:pt>
                <c:pt idx="21">
                  <c:v>153.90233005028915</c:v>
                </c:pt>
                <c:pt idx="22">
                  <c:v>186.51081276883824</c:v>
                </c:pt>
                <c:pt idx="23">
                  <c:v>218.98589856656301</c:v>
                </c:pt>
                <c:pt idx="24">
                  <c:v>251.35018250509077</c:v>
                </c:pt>
                <c:pt idx="25">
                  <c:v>283.61994287439455</c:v>
                </c:pt>
                <c:pt idx="26">
                  <c:v>239.36814609151156</c:v>
                </c:pt>
                <c:pt idx="27">
                  <c:v>274.89669858819849</c:v>
                </c:pt>
                <c:pt idx="28">
                  <c:v>310.32201375635157</c:v>
                </c:pt>
                <c:pt idx="29">
                  <c:v>345.65752741904265</c:v>
                </c:pt>
                <c:pt idx="30">
                  <c:v>380.91370150872643</c:v>
                </c:pt>
                <c:pt idx="31">
                  <c:v>336.59539404232521</c:v>
                </c:pt>
                <c:pt idx="32">
                  <c:v>371.4941833703777</c:v>
                </c:pt>
                <c:pt idx="33">
                  <c:v>406.32148880719052</c:v>
                </c:pt>
                <c:pt idx="34">
                  <c:v>441.08429055375774</c:v>
                </c:pt>
                <c:pt idx="35">
                  <c:v>475.78837940265356</c:v>
                </c:pt>
                <c:pt idx="36">
                  <c:v>428.87729921461749</c:v>
                </c:pt>
                <c:pt idx="37">
                  <c:v>460.78807982104064</c:v>
                </c:pt>
                <c:pt idx="38">
                  <c:v>492.65171161322957</c:v>
                </c:pt>
                <c:pt idx="39">
                  <c:v>524.47166827471267</c:v>
                </c:pt>
                <c:pt idx="40">
                  <c:v>556.25096808745991</c:v>
                </c:pt>
                <c:pt idx="41">
                  <c:v>506.32074034451671</c:v>
                </c:pt>
                <c:pt idx="42">
                  <c:v>534.9444976178803</c:v>
                </c:pt>
                <c:pt idx="43">
                  <c:v>563.53606377120934</c:v>
                </c:pt>
                <c:pt idx="44">
                  <c:v>592.09729944083642</c:v>
                </c:pt>
                <c:pt idx="45">
                  <c:v>620.62987134965499</c:v>
                </c:pt>
                <c:pt idx="46">
                  <c:v>581.83357169395538</c:v>
                </c:pt>
                <c:pt idx="47">
                  <c:v>607.39273139699276</c:v>
                </c:pt>
                <c:pt idx="48">
                  <c:v>632.92957124167344</c:v>
                </c:pt>
                <c:pt idx="49">
                  <c:v>658.44511728602208</c:v>
                </c:pt>
                <c:pt idx="50">
                  <c:v>683.9403096843057</c:v>
                </c:pt>
                <c:pt idx="51">
                  <c:v>651.55610138697932</c:v>
                </c:pt>
                <c:pt idx="52">
                  <c:v>674.07956329907574</c:v>
                </c:pt>
                <c:pt idx="53">
                  <c:v>696.58756909064925</c:v>
                </c:pt>
                <c:pt idx="54">
                  <c:v>719.08068786949445</c:v>
                </c:pt>
                <c:pt idx="55">
                  <c:v>741.55945028038957</c:v>
                </c:pt>
                <c:pt idx="56">
                  <c:v>713.69110254766326</c:v>
                </c:pt>
                <c:pt idx="57">
                  <c:v>733.20122457015805</c:v>
                </c:pt>
                <c:pt idx="58">
                  <c:v>752.70077387013305</c:v>
                </c:pt>
                <c:pt idx="59">
                  <c:v>772.19006261413824</c:v>
                </c:pt>
                <c:pt idx="60">
                  <c:v>791.66938594429928</c:v>
                </c:pt>
                <c:pt idx="61">
                  <c:v>766.2515388815159</c:v>
                </c:pt>
                <c:pt idx="62">
                  <c:v>782.5802570716578</c:v>
                </c:pt>
                <c:pt idx="63">
                  <c:v>798.90208178312059</c:v>
                </c:pt>
                <c:pt idx="64">
                  <c:v>815.21717355559383</c:v>
                </c:pt>
                <c:pt idx="65">
                  <c:v>831.52568598545849</c:v>
                </c:pt>
                <c:pt idx="66">
                  <c:v>807.98744227959924</c:v>
                </c:pt>
                <c:pt idx="67">
                  <c:v>821.51896146213005</c:v>
                </c:pt>
                <c:pt idx="68">
                  <c:v>835.04599283417645</c:v>
                </c:pt>
                <c:pt idx="69">
                  <c:v>848.5686192774391</c:v>
                </c:pt>
                <c:pt idx="70">
                  <c:v>862.08692081896686</c:v>
                </c:pt>
                <c:pt idx="71">
                  <c:v>840.78901144374925</c:v>
                </c:pt>
                <c:pt idx="72">
                  <c:v>851.90229781195706</c:v>
                </c:pt>
                <c:pt idx="73">
                  <c:v>863.01267559176995</c:v>
                </c:pt>
                <c:pt idx="74">
                  <c:v>874.12018747859702</c:v>
                </c:pt>
                <c:pt idx="75">
                  <c:v>885.22487499512147</c:v>
                </c:pt>
                <c:pt idx="76">
                  <c:v>873.19466992841524</c:v>
                </c:pt>
                <c:pt idx="77">
                  <c:v>879.67288173249142</c:v>
                </c:pt>
                <c:pt idx="78">
                  <c:v>886.15013940674532</c:v>
                </c:pt>
                <c:pt idx="79">
                  <c:v>892.62645090553258</c:v>
                </c:pt>
                <c:pt idx="80">
                  <c:v>899.10182405842761</c:v>
                </c:pt>
                <c:pt idx="81">
                  <c:v>4.0228505074329168E-12</c:v>
                </c:pt>
                <c:pt idx="82">
                  <c:v>4.0228505074329168E-12</c:v>
                </c:pt>
                <c:pt idx="83">
                  <c:v>4.0228505074329168E-12</c:v>
                </c:pt>
                <c:pt idx="84">
                  <c:v>4.0228505074329168E-12</c:v>
                </c:pt>
                <c:pt idx="85">
                  <c:v>4.0228505074329168E-12</c:v>
                </c:pt>
                <c:pt idx="86">
                  <c:v>4.0228505074329168E-12</c:v>
                </c:pt>
                <c:pt idx="87">
                  <c:v>4.0228505074329168E-12</c:v>
                </c:pt>
                <c:pt idx="88">
                  <c:v>4.0228505074329168E-12</c:v>
                </c:pt>
                <c:pt idx="89">
                  <c:v>4.0228505074329168E-12</c:v>
                </c:pt>
                <c:pt idx="90">
                  <c:v>4.0228505074329168E-12</c:v>
                </c:pt>
                <c:pt idx="91">
                  <c:v>4.0228505074329168E-12</c:v>
                </c:pt>
                <c:pt idx="92">
                  <c:v>4.0228505074329168E-12</c:v>
                </c:pt>
                <c:pt idx="93">
                  <c:v>4.0228505074329168E-12</c:v>
                </c:pt>
                <c:pt idx="94">
                  <c:v>4.0228505074329168E-12</c:v>
                </c:pt>
                <c:pt idx="95">
                  <c:v>4.0228505074329168E-12</c:v>
                </c:pt>
                <c:pt idx="96">
                  <c:v>4.0228505074329168E-12</c:v>
                </c:pt>
                <c:pt idx="97">
                  <c:v>4.0228505074329168E-12</c:v>
                </c:pt>
                <c:pt idx="98">
                  <c:v>4.0228505074329168E-12</c:v>
                </c:pt>
                <c:pt idx="99">
                  <c:v>4.0228505074329168E-12</c:v>
                </c:pt>
                <c:pt idx="100">
                  <c:v>4.0228505074329168E-12</c:v>
                </c:pt>
                <c:pt idx="101">
                  <c:v>4.0228505074329168E-12</c:v>
                </c:pt>
                <c:pt idx="102">
                  <c:v>4.0228505074329168E-12</c:v>
                </c:pt>
                <c:pt idx="103">
                  <c:v>4.0228505074329168E-12</c:v>
                </c:pt>
                <c:pt idx="104">
                  <c:v>4.0228505074329168E-12</c:v>
                </c:pt>
                <c:pt idx="105">
                  <c:v>4.0228505074329168E-12</c:v>
                </c:pt>
                <c:pt idx="106">
                  <c:v>4.0228505074329168E-12</c:v>
                </c:pt>
                <c:pt idx="107">
                  <c:v>4.0228505074329168E-12</c:v>
                </c:pt>
                <c:pt idx="108">
                  <c:v>4.0228505074329168E-12</c:v>
                </c:pt>
                <c:pt idx="109">
                  <c:v>4.0228505074329168E-12</c:v>
                </c:pt>
                <c:pt idx="110">
                  <c:v>4.0228505074329168E-12</c:v>
                </c:pt>
                <c:pt idx="111">
                  <c:v>4.0228505074329168E-12</c:v>
                </c:pt>
                <c:pt idx="112">
                  <c:v>4.0228505074329168E-12</c:v>
                </c:pt>
                <c:pt idx="113">
                  <c:v>4.0228505074329168E-12</c:v>
                </c:pt>
                <c:pt idx="114">
                  <c:v>4.0228505074329168E-12</c:v>
                </c:pt>
                <c:pt idx="115">
                  <c:v>4.0228505074329168E-12</c:v>
                </c:pt>
                <c:pt idx="116">
                  <c:v>4.0228505074329168E-12</c:v>
                </c:pt>
                <c:pt idx="117">
                  <c:v>4.0228505074329168E-12</c:v>
                </c:pt>
                <c:pt idx="118">
                  <c:v>4.0228505074329168E-12</c:v>
                </c:pt>
                <c:pt idx="119">
                  <c:v>4.0228505074329168E-12</c:v>
                </c:pt>
                <c:pt idx="120">
                  <c:v>4.0228505074329168E-12</c:v>
                </c:pt>
                <c:pt idx="121">
                  <c:v>4.0228505074329168E-12</c:v>
                </c:pt>
                <c:pt idx="122">
                  <c:v>4.0228505074329168E-12</c:v>
                </c:pt>
                <c:pt idx="123">
                  <c:v>4.0228505074329168E-12</c:v>
                </c:pt>
                <c:pt idx="124">
                  <c:v>4.0228505074329168E-12</c:v>
                </c:pt>
                <c:pt idx="125">
                  <c:v>4.0228505074329168E-12</c:v>
                </c:pt>
                <c:pt idx="126">
                  <c:v>4.0228505074329168E-12</c:v>
                </c:pt>
                <c:pt idx="127">
                  <c:v>4.0228505074329168E-12</c:v>
                </c:pt>
                <c:pt idx="128">
                  <c:v>4.0228505074329168E-12</c:v>
                </c:pt>
                <c:pt idx="129">
                  <c:v>4.0228505074329168E-12</c:v>
                </c:pt>
                <c:pt idx="130">
                  <c:v>4.0228505074329168E-12</c:v>
                </c:pt>
                <c:pt idx="131">
                  <c:v>4.0228505074329168E-12</c:v>
                </c:pt>
                <c:pt idx="132">
                  <c:v>4.0228505074329168E-12</c:v>
                </c:pt>
                <c:pt idx="133">
                  <c:v>4.0228505074329168E-12</c:v>
                </c:pt>
                <c:pt idx="134">
                  <c:v>4.0228505074329168E-12</c:v>
                </c:pt>
                <c:pt idx="135">
                  <c:v>4.0228505074329168E-12</c:v>
                </c:pt>
                <c:pt idx="136">
                  <c:v>4.0228505074329168E-12</c:v>
                </c:pt>
                <c:pt idx="137">
                  <c:v>4.0228505074329168E-12</c:v>
                </c:pt>
                <c:pt idx="138">
                  <c:v>4.0228505074329168E-12</c:v>
                </c:pt>
                <c:pt idx="139">
                  <c:v>4.0228505074329168E-12</c:v>
                </c:pt>
                <c:pt idx="140">
                  <c:v>4.0228505074329168E-12</c:v>
                </c:pt>
                <c:pt idx="141">
                  <c:v>4.0228505074329168E-12</c:v>
                </c:pt>
                <c:pt idx="142">
                  <c:v>4.0228505074329168E-12</c:v>
                </c:pt>
                <c:pt idx="143">
                  <c:v>4.0228505074329168E-12</c:v>
                </c:pt>
                <c:pt idx="144">
                  <c:v>4.0228505074329168E-12</c:v>
                </c:pt>
                <c:pt idx="145">
                  <c:v>4.0228505074329168E-12</c:v>
                </c:pt>
                <c:pt idx="146">
                  <c:v>4.0228505074329168E-12</c:v>
                </c:pt>
                <c:pt idx="147">
                  <c:v>4.0228505074329168E-12</c:v>
                </c:pt>
                <c:pt idx="148">
                  <c:v>4.0228505074329168E-12</c:v>
                </c:pt>
                <c:pt idx="149">
                  <c:v>4.0228505074329168E-12</c:v>
                </c:pt>
                <c:pt idx="150">
                  <c:v>4.0228505074329168E-12</c:v>
                </c:pt>
                <c:pt idx="151">
                  <c:v>4.0228505074329168E-12</c:v>
                </c:pt>
                <c:pt idx="152">
                  <c:v>4.0228505074329168E-12</c:v>
                </c:pt>
                <c:pt idx="153">
                  <c:v>4.0228505074329168E-12</c:v>
                </c:pt>
                <c:pt idx="154">
                  <c:v>4.0228505074329168E-12</c:v>
                </c:pt>
                <c:pt idx="155">
                  <c:v>4.0228505074329168E-12</c:v>
                </c:pt>
                <c:pt idx="156">
                  <c:v>4.0228505074329168E-12</c:v>
                </c:pt>
                <c:pt idx="157">
                  <c:v>4.0228505074329168E-12</c:v>
                </c:pt>
                <c:pt idx="158">
                  <c:v>4.0228505074329168E-12</c:v>
                </c:pt>
                <c:pt idx="159">
                  <c:v>4.0228505074329168E-12</c:v>
                </c:pt>
                <c:pt idx="160">
                  <c:v>4.0228505074329168E-12</c:v>
                </c:pt>
                <c:pt idx="161">
                  <c:v>4.0228505074329168E-12</c:v>
                </c:pt>
                <c:pt idx="162">
                  <c:v>4.0228505074329168E-12</c:v>
                </c:pt>
                <c:pt idx="163">
                  <c:v>4.0228505074329168E-12</c:v>
                </c:pt>
                <c:pt idx="164">
                  <c:v>4.0228505074329168E-12</c:v>
                </c:pt>
                <c:pt idx="165">
                  <c:v>4.0228505074329168E-12</c:v>
                </c:pt>
                <c:pt idx="166">
                  <c:v>4.0228505074329168E-12</c:v>
                </c:pt>
                <c:pt idx="167">
                  <c:v>4.0228505074329168E-12</c:v>
                </c:pt>
                <c:pt idx="168">
                  <c:v>4.0228505074329168E-12</c:v>
                </c:pt>
                <c:pt idx="169">
                  <c:v>4.0228505074329168E-12</c:v>
                </c:pt>
                <c:pt idx="170">
                  <c:v>4.0228505074329168E-12</c:v>
                </c:pt>
                <c:pt idx="171">
                  <c:v>4.0228505074329168E-12</c:v>
                </c:pt>
                <c:pt idx="172">
                  <c:v>4.0228505074329168E-12</c:v>
                </c:pt>
                <c:pt idx="173">
                  <c:v>4.0228505074329168E-12</c:v>
                </c:pt>
                <c:pt idx="174">
                  <c:v>4.0228505074329168E-12</c:v>
                </c:pt>
                <c:pt idx="175">
                  <c:v>4.0228505074329168E-12</c:v>
                </c:pt>
                <c:pt idx="176">
                  <c:v>4.0228505074329168E-12</c:v>
                </c:pt>
                <c:pt idx="177">
                  <c:v>4.0228505074329168E-12</c:v>
                </c:pt>
                <c:pt idx="178">
                  <c:v>4.0228505074329168E-12</c:v>
                </c:pt>
                <c:pt idx="179">
                  <c:v>4.0228505074329168E-12</c:v>
                </c:pt>
                <c:pt idx="180">
                  <c:v>4.0228505074329168E-12</c:v>
                </c:pt>
                <c:pt idx="181">
                  <c:v>4.0228505074329168E-12</c:v>
                </c:pt>
                <c:pt idx="182">
                  <c:v>4.0228505074329168E-12</c:v>
                </c:pt>
                <c:pt idx="183">
                  <c:v>4.0228505074329168E-12</c:v>
                </c:pt>
                <c:pt idx="184">
                  <c:v>4.0228505074329168E-12</c:v>
                </c:pt>
                <c:pt idx="185">
                  <c:v>4.0228505074329168E-12</c:v>
                </c:pt>
                <c:pt idx="186">
                  <c:v>4.0228505074329168E-12</c:v>
                </c:pt>
                <c:pt idx="187">
                  <c:v>4.0228505074329168E-12</c:v>
                </c:pt>
                <c:pt idx="188">
                  <c:v>4.0228505074329168E-12</c:v>
                </c:pt>
                <c:pt idx="189">
                  <c:v>4.0228505074329168E-12</c:v>
                </c:pt>
                <c:pt idx="190">
                  <c:v>4.0228505074329168E-12</c:v>
                </c:pt>
                <c:pt idx="191">
                  <c:v>4.0228505074329168E-12</c:v>
                </c:pt>
                <c:pt idx="192">
                  <c:v>4.0228505074329168E-12</c:v>
                </c:pt>
                <c:pt idx="193">
                  <c:v>4.0228505074329168E-12</c:v>
                </c:pt>
                <c:pt idx="194">
                  <c:v>4.0228505074329168E-12</c:v>
                </c:pt>
                <c:pt idx="195">
                  <c:v>4.0228505074329168E-12</c:v>
                </c:pt>
                <c:pt idx="196">
                  <c:v>4.0228505074329168E-12</c:v>
                </c:pt>
                <c:pt idx="197">
                  <c:v>4.0228505074329168E-12</c:v>
                </c:pt>
                <c:pt idx="198">
                  <c:v>4.0228505074329168E-12</c:v>
                </c:pt>
                <c:pt idx="199">
                  <c:v>4.0228505074329168E-12</c:v>
                </c:pt>
                <c:pt idx="200">
                  <c:v>4.0228505074329168E-12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4" zoomScale="80" zoomScaleNormal="80" workbookViewId="0">
      <selection activeCell="B12" sqref="B12:M16"/>
    </sheetView>
  </sheetViews>
  <sheetFormatPr baseColWidth="10" defaultRowHeight="15" x14ac:dyDescent="0.2"/>
  <cols>
    <col min="1" max="1" width="6.5" customWidth="1"/>
    <col min="2" max="13" width="15.83203125" customWidth="1"/>
  </cols>
  <sheetData>
    <row r="12" spans="2:13" ht="15" customHeight="1" x14ac:dyDescent="0.2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4" zoomScale="80" zoomScaleNormal="80" workbookViewId="0">
      <selection activeCell="C12" sqref="C12"/>
    </sheetView>
  </sheetViews>
  <sheetFormatPr baseColWidth="10" defaultColWidth="11.5" defaultRowHeight="15" x14ac:dyDescent="0.2"/>
  <cols>
    <col min="1" max="1" width="13.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5" style="23" customWidth="1"/>
    <col min="6" max="6" width="28.83203125" style="23" bestFit="1" customWidth="1"/>
    <col min="7" max="8" width="14.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61" t="s">
        <v>190</v>
      </c>
      <c r="D1" s="261"/>
      <c r="E1" s="26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7" t="s">
        <v>231</v>
      </c>
      <c r="B5" s="267"/>
      <c r="C5" s="24">
        <v>4.3899999999999997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14</v>
      </c>
      <c r="C9" s="32">
        <v>0.36821100000000001</v>
      </c>
      <c r="D9" s="33">
        <f t="shared" ref="D9:D18" si="0">C9*$C$5</f>
        <v>1.6164462899999998</v>
      </c>
      <c r="E9" s="34">
        <v>120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 t="s">
        <v>6</v>
      </c>
      <c r="C10" s="32">
        <v>0.105272</v>
      </c>
      <c r="D10" s="33">
        <f t="shared" si="0"/>
        <v>0.46214408000000001</v>
      </c>
      <c r="E10" s="34">
        <v>120</v>
      </c>
      <c r="F10" s="35" t="str">
        <f t="array" ref="F10">IF(E10="","",IF(INDEX(A:A,MAX(IF(ISNUMBER($A$62:$A$81),ROW($A$62:$A$81),"")))&lt;&gt;E10,"Corrigez : révolution incorrecte","OK"))</f>
        <v>OK</v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 t="s">
        <v>29</v>
      </c>
      <c r="C11" s="32">
        <v>1.3217E-2</v>
      </c>
      <c r="D11" s="33">
        <f t="shared" si="0"/>
        <v>5.8022629999999992E-2</v>
      </c>
      <c r="E11" s="34">
        <v>69</v>
      </c>
      <c r="F11" s="35" t="str">
        <f t="array" ref="F11">IF(E11="","",IF(INDEX(A:A,MAX(IF(ISNUMBER($A$88:$A$107),ROW($A$88:$A$107),"")))&lt;&gt;E11,"Corrigez : révolution incorrecte","OK"))</f>
        <v>OK</v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 t="s">
        <v>52</v>
      </c>
      <c r="C12" s="32">
        <v>1.3219E-2</v>
      </c>
      <c r="D12" s="33">
        <f t="shared" si="0"/>
        <v>5.8031409999999999E-2</v>
      </c>
      <c r="E12" s="34">
        <v>120</v>
      </c>
      <c r="F12" s="35" t="str">
        <f t="array" ref="F12">IF(E12="","",IF(INDEX(A:A,MAX(IF(ISNUMBER($A$114:$A$133),ROW($A$114:$A$133),"")))&lt;&gt;E12,"Corrigez : révolution incorrecte","OK"))</f>
        <v>OK</v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 t="s">
        <v>52</v>
      </c>
      <c r="C13" s="32">
        <v>1.3219E-2</v>
      </c>
      <c r="D13" s="33">
        <f t="shared" si="0"/>
        <v>5.8031409999999999E-2</v>
      </c>
      <c r="E13" s="34">
        <v>120</v>
      </c>
      <c r="F13" s="35" t="str">
        <f t="array" ref="F13">IF(E13="","",IF(INDEX(A:A,MAX(IF(ISNUMBER($A$140:$A$159),ROW($A$140:$A$159),"")))&lt;&gt;E13,"Corrigez : révolution incorrecte","OK"))</f>
        <v>OK</v>
      </c>
      <c r="G13" s="23" t="s">
        <v>324</v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 t="s">
        <v>1</v>
      </c>
      <c r="C14" s="32">
        <v>1.3219E-2</v>
      </c>
      <c r="D14" s="33">
        <f t="shared" si="0"/>
        <v>5.8031409999999999E-2</v>
      </c>
      <c r="E14" s="34">
        <v>120</v>
      </c>
      <c r="F14" s="35" t="str">
        <f t="array" ref="F14">IF(E14="","",IF(INDEX(A:A,MAX(IF(ISNUMBER($A$166:$A$185),ROW($A$166:$A$185),"")))&lt;&gt;E14,"Corrigez : révolution incorrecte","OK"))</f>
        <v>OK</v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 t="s">
        <v>35</v>
      </c>
      <c r="C15" s="32">
        <v>0.426342</v>
      </c>
      <c r="D15" s="33">
        <f t="shared" si="0"/>
        <v>1.8716413799999998</v>
      </c>
      <c r="E15" s="34">
        <v>76</v>
      </c>
      <c r="F15" s="35" t="str">
        <f t="array" ref="F15">IF(E15="","",IF(INDEX(A:A,MAX(IF(ISNUMBER($A$192:$A$211),ROW($A$192:$A$211),"")))&lt;&gt;E15,"Corrigez : révolution incorrecte","OK"))</f>
        <v>OK</v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 t="s">
        <v>156</v>
      </c>
      <c r="C16" s="32">
        <v>4.7301000000000003E-2</v>
      </c>
      <c r="D16" s="33">
        <f t="shared" si="0"/>
        <v>0.20765138999999999</v>
      </c>
      <c r="E16" s="34">
        <v>80</v>
      </c>
      <c r="F16" s="35" t="str">
        <f t="array" ref="F16">IF(E16="","",IF(INDEX(A:A,MAX(IF(ISNUMBER($A$218:$A$237),ROW($A$218:$A$237),"")))&lt;&gt;E16,"Corrigez : révolution incorrecte","OK"))</f>
        <v>OK</v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1</v>
      </c>
      <c r="D19" s="38">
        <f>SUM(D9:D18)</f>
        <v>4.3899999999999988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Chêne sessile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57" t="s">
        <v>186</v>
      </c>
      <c r="D34" s="257"/>
      <c r="E34" s="258" t="s">
        <v>187</v>
      </c>
      <c r="F34" s="259"/>
      <c r="G34" s="259"/>
      <c r="H34" s="260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20</v>
      </c>
      <c r="B36" s="60">
        <v>73</v>
      </c>
      <c r="C36" s="60">
        <v>1</v>
      </c>
      <c r="D36" s="60">
        <v>0</v>
      </c>
      <c r="E36" s="51">
        <v>0</v>
      </c>
      <c r="F36" s="51"/>
      <c r="G36" s="51"/>
      <c r="H36" s="51">
        <v>1</v>
      </c>
      <c r="I36" s="49">
        <f>IFERROR(B36/A36,"")</f>
        <v>3.65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25</v>
      </c>
      <c r="B37" s="60">
        <v>103</v>
      </c>
      <c r="C37" s="60">
        <v>2</v>
      </c>
      <c r="D37" s="60">
        <v>0</v>
      </c>
      <c r="E37" s="51">
        <v>0</v>
      </c>
      <c r="F37" s="51"/>
      <c r="G37" s="51"/>
      <c r="H37" s="51">
        <v>1</v>
      </c>
      <c r="I37" s="53">
        <f t="shared" ref="I37:I55" si="1">IF(A37&lt;&gt;0,(B37-(B36-D36))/(A37-A36),"")</f>
        <v>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30</v>
      </c>
      <c r="B38" s="60">
        <v>121</v>
      </c>
      <c r="C38" s="60">
        <v>3</v>
      </c>
      <c r="D38" s="60">
        <v>28</v>
      </c>
      <c r="E38" s="51">
        <v>0</v>
      </c>
      <c r="F38" s="51"/>
      <c r="G38" s="51"/>
      <c r="H38" s="51">
        <v>1</v>
      </c>
      <c r="I38" s="53">
        <f t="shared" si="1"/>
        <v>3.6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35</v>
      </c>
      <c r="B39" s="60">
        <v>147</v>
      </c>
      <c r="C39" s="60">
        <v>4</v>
      </c>
      <c r="D39" s="60">
        <v>28</v>
      </c>
      <c r="E39" s="51">
        <v>0</v>
      </c>
      <c r="F39" s="51"/>
      <c r="G39" s="51"/>
      <c r="H39" s="51">
        <v>1</v>
      </c>
      <c r="I39" s="49">
        <f t="shared" si="1"/>
        <v>10.8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40</v>
      </c>
      <c r="B40" s="60">
        <v>175</v>
      </c>
      <c r="C40" s="60">
        <v>5</v>
      </c>
      <c r="D40" s="60">
        <v>28</v>
      </c>
      <c r="E40" s="51">
        <v>0.2</v>
      </c>
      <c r="F40" s="51"/>
      <c r="G40" s="51"/>
      <c r="H40" s="51">
        <v>0.8</v>
      </c>
      <c r="I40" s="49">
        <f t="shared" si="1"/>
        <v>11.2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>
        <v>45</v>
      </c>
      <c r="B41" s="60">
        <v>204</v>
      </c>
      <c r="C41" s="60">
        <v>6</v>
      </c>
      <c r="D41" s="60">
        <v>28</v>
      </c>
      <c r="E41" s="51">
        <v>0.2</v>
      </c>
      <c r="F41" s="51"/>
      <c r="G41" s="51"/>
      <c r="H41" s="51">
        <v>0.8</v>
      </c>
      <c r="I41" s="53">
        <f t="shared" si="1"/>
        <v>11.4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>
        <v>50</v>
      </c>
      <c r="B42" s="60">
        <v>231</v>
      </c>
      <c r="C42" s="60">
        <v>7</v>
      </c>
      <c r="D42" s="60">
        <v>28</v>
      </c>
      <c r="E42" s="51">
        <v>0.3</v>
      </c>
      <c r="F42" s="51"/>
      <c r="G42" s="51"/>
      <c r="H42" s="51">
        <v>0.7</v>
      </c>
      <c r="I42" s="53">
        <f t="shared" si="1"/>
        <v>11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>
        <v>55</v>
      </c>
      <c r="B43" s="60">
        <v>254</v>
      </c>
      <c r="C43" s="60">
        <v>8</v>
      </c>
      <c r="D43" s="60">
        <v>28</v>
      </c>
      <c r="E43" s="51">
        <v>0.3</v>
      </c>
      <c r="F43" s="51"/>
      <c r="G43" s="51"/>
      <c r="H43" s="51">
        <v>0.7</v>
      </c>
      <c r="I43" s="49">
        <f t="shared" si="1"/>
        <v>10.199999999999999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>
        <v>60</v>
      </c>
      <c r="B44" s="60">
        <v>273</v>
      </c>
      <c r="C44" s="60">
        <v>9</v>
      </c>
      <c r="D44" s="60">
        <v>28</v>
      </c>
      <c r="E44" s="51">
        <v>0.4</v>
      </c>
      <c r="F44" s="51"/>
      <c r="G44" s="51"/>
      <c r="H44" s="51">
        <v>0.6</v>
      </c>
      <c r="I44" s="49">
        <f t="shared" si="1"/>
        <v>9.4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>
        <v>65</v>
      </c>
      <c r="B45" s="60">
        <v>289</v>
      </c>
      <c r="C45" s="60">
        <v>10</v>
      </c>
      <c r="D45" s="60">
        <v>28</v>
      </c>
      <c r="E45" s="51">
        <v>0.4</v>
      </c>
      <c r="F45" s="51"/>
      <c r="G45" s="51"/>
      <c r="H45" s="51">
        <v>0.6</v>
      </c>
      <c r="I45" s="49">
        <f t="shared" si="1"/>
        <v>8.8000000000000007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>
        <v>70</v>
      </c>
      <c r="B46" s="60">
        <v>302</v>
      </c>
      <c r="C46" s="60">
        <v>11</v>
      </c>
      <c r="D46" s="60">
        <v>28</v>
      </c>
      <c r="E46" s="51">
        <v>0.5</v>
      </c>
      <c r="F46" s="51"/>
      <c r="G46" s="51"/>
      <c r="H46" s="51">
        <v>0.5</v>
      </c>
      <c r="I46" s="49">
        <f t="shared" si="1"/>
        <v>8.1999999999999993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>
        <v>75</v>
      </c>
      <c r="B47" s="60">
        <v>312</v>
      </c>
      <c r="C47" s="60">
        <v>12</v>
      </c>
      <c r="D47" s="60">
        <v>28</v>
      </c>
      <c r="E47" s="51">
        <v>0.5</v>
      </c>
      <c r="F47" s="51"/>
      <c r="G47" s="51"/>
      <c r="H47" s="51">
        <v>0.5</v>
      </c>
      <c r="I47" s="49">
        <f t="shared" si="1"/>
        <v>7.6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>
        <v>80</v>
      </c>
      <c r="B48" s="60">
        <v>320</v>
      </c>
      <c r="C48" s="60">
        <v>13</v>
      </c>
      <c r="D48" s="60">
        <v>28</v>
      </c>
      <c r="E48" s="51">
        <v>0.6</v>
      </c>
      <c r="F48" s="51"/>
      <c r="G48" s="51"/>
      <c r="H48" s="51">
        <v>0.4</v>
      </c>
      <c r="I48" s="49">
        <f t="shared" si="1"/>
        <v>7.2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>
        <v>90</v>
      </c>
      <c r="B49" s="60">
        <v>358</v>
      </c>
      <c r="C49" s="60">
        <v>15</v>
      </c>
      <c r="D49" s="60">
        <v>56</v>
      </c>
      <c r="E49" s="51">
        <v>0.7</v>
      </c>
      <c r="F49" s="51"/>
      <c r="G49" s="51"/>
      <c r="H49" s="51">
        <v>0.3</v>
      </c>
      <c r="I49" s="49">
        <f t="shared" si="1"/>
        <v>6.6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>
        <v>100</v>
      </c>
      <c r="B50" s="50">
        <v>362</v>
      </c>
      <c r="C50" s="50">
        <v>17</v>
      </c>
      <c r="D50" s="50">
        <v>56</v>
      </c>
      <c r="E50" s="51">
        <v>0.8</v>
      </c>
      <c r="F50" s="51"/>
      <c r="G50" s="51"/>
      <c r="H50" s="51">
        <v>0.2</v>
      </c>
      <c r="I50" s="49">
        <f t="shared" si="1"/>
        <v>6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>
        <v>110</v>
      </c>
      <c r="B51" s="50">
        <v>358</v>
      </c>
      <c r="C51" s="50">
        <v>19</v>
      </c>
      <c r="D51" s="50">
        <v>51</v>
      </c>
      <c r="E51" s="51">
        <v>0.8</v>
      </c>
      <c r="F51" s="51"/>
      <c r="G51" s="51"/>
      <c r="H51" s="51">
        <v>0.2</v>
      </c>
      <c r="I51" s="49">
        <f t="shared" si="1"/>
        <v>5.2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>
        <v>120</v>
      </c>
      <c r="B52" s="50">
        <v>352</v>
      </c>
      <c r="C52" s="50">
        <v>21</v>
      </c>
      <c r="D52" s="50">
        <v>352</v>
      </c>
      <c r="E52" s="51">
        <v>0.9</v>
      </c>
      <c r="F52" s="51"/>
      <c r="G52" s="51"/>
      <c r="H52" s="51">
        <v>0.1</v>
      </c>
      <c r="I52" s="49">
        <f t="shared" si="1"/>
        <v>4.5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>Charme</v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57" t="s">
        <v>186</v>
      </c>
      <c r="D60" s="257"/>
      <c r="E60" s="258" t="s">
        <v>187</v>
      </c>
      <c r="F60" s="259"/>
      <c r="G60" s="259"/>
      <c r="H60" s="260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>
        <v>20</v>
      </c>
      <c r="B62" s="60">
        <v>42</v>
      </c>
      <c r="C62" s="60">
        <v>1</v>
      </c>
      <c r="D62" s="60">
        <v>0</v>
      </c>
      <c r="E62" s="51">
        <v>0</v>
      </c>
      <c r="F62" s="51"/>
      <c r="G62" s="51"/>
      <c r="H62" s="51">
        <v>1</v>
      </c>
      <c r="I62" s="53">
        <f>IFERROR(B62/A62,"")</f>
        <v>2.1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>
        <v>25</v>
      </c>
      <c r="B63" s="60">
        <v>70</v>
      </c>
      <c r="C63" s="60">
        <v>2</v>
      </c>
      <c r="D63" s="60">
        <v>0</v>
      </c>
      <c r="E63" s="51">
        <v>0</v>
      </c>
      <c r="F63" s="51"/>
      <c r="G63" s="51"/>
      <c r="H63" s="51">
        <v>1</v>
      </c>
      <c r="I63" s="49">
        <f>IF(A63&lt;&gt;0,(B63-(B62-D62))/(A63-A62),"")</f>
        <v>5.6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>
        <v>30</v>
      </c>
      <c r="B64" s="60">
        <v>97</v>
      </c>
      <c r="C64" s="60">
        <v>3</v>
      </c>
      <c r="D64" s="60">
        <v>21</v>
      </c>
      <c r="E64" s="51">
        <v>0</v>
      </c>
      <c r="F64" s="51"/>
      <c r="G64" s="51"/>
      <c r="H64" s="51">
        <v>1</v>
      </c>
      <c r="I64" s="49">
        <f>IF(A64&lt;&gt;0,(B64-(B63-D63))/(A64-A63),"")</f>
        <v>5.4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>
        <v>35</v>
      </c>
      <c r="B65" s="60">
        <v>116</v>
      </c>
      <c r="C65" s="60">
        <v>4</v>
      </c>
      <c r="D65" s="60">
        <v>21</v>
      </c>
      <c r="E65" s="51">
        <v>0</v>
      </c>
      <c r="F65" s="51"/>
      <c r="G65" s="51"/>
      <c r="H65" s="51">
        <v>1</v>
      </c>
      <c r="I65" s="49">
        <f>IF(A65&lt;&gt;0,(B65-(B64-D64))/(A65-A64),"")</f>
        <v>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>
        <v>40</v>
      </c>
      <c r="B66" s="60">
        <v>137</v>
      </c>
      <c r="C66" s="60">
        <v>5</v>
      </c>
      <c r="D66" s="60">
        <v>21</v>
      </c>
      <c r="E66" s="51">
        <v>0.2</v>
      </c>
      <c r="F66" s="51"/>
      <c r="G66" s="51"/>
      <c r="H66" s="51">
        <v>0.8</v>
      </c>
      <c r="I66" s="49">
        <f t="shared" ref="I66:I81" si="2">IF(A66&lt;&gt;0,(B66-(B65-D65))/(A66-A65),"")</f>
        <v>8.4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>
        <v>45</v>
      </c>
      <c r="B67" s="60">
        <v>158</v>
      </c>
      <c r="C67" s="60">
        <v>6</v>
      </c>
      <c r="D67" s="60">
        <v>21</v>
      </c>
      <c r="E67" s="51">
        <v>0.2</v>
      </c>
      <c r="F67" s="51"/>
      <c r="G67" s="51"/>
      <c r="H67" s="51">
        <v>0.8</v>
      </c>
      <c r="I67" s="49">
        <f t="shared" si="2"/>
        <v>8.4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>
        <v>50</v>
      </c>
      <c r="B68" s="60">
        <v>178</v>
      </c>
      <c r="C68" s="60">
        <v>7</v>
      </c>
      <c r="D68" s="60">
        <v>21</v>
      </c>
      <c r="E68" s="51">
        <v>0.3</v>
      </c>
      <c r="F68" s="51"/>
      <c r="G68" s="51"/>
      <c r="H68" s="51">
        <v>0.7</v>
      </c>
      <c r="I68" s="49">
        <f t="shared" si="2"/>
        <v>8.1999999999999993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>
        <v>55</v>
      </c>
      <c r="B69" s="50">
        <v>197</v>
      </c>
      <c r="C69" s="50">
        <v>8</v>
      </c>
      <c r="D69" s="50">
        <v>21</v>
      </c>
      <c r="E69" s="51">
        <v>0.3</v>
      </c>
      <c r="F69" s="51"/>
      <c r="G69" s="51"/>
      <c r="H69" s="51">
        <v>0.7</v>
      </c>
      <c r="I69" s="49">
        <f t="shared" si="2"/>
        <v>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>
        <v>60</v>
      </c>
      <c r="B70" s="50">
        <v>214</v>
      </c>
      <c r="C70" s="50">
        <v>9</v>
      </c>
      <c r="D70" s="50">
        <v>21</v>
      </c>
      <c r="E70" s="51">
        <v>0.4</v>
      </c>
      <c r="F70" s="51"/>
      <c r="G70" s="51"/>
      <c r="H70" s="51">
        <v>0.6</v>
      </c>
      <c r="I70" s="49">
        <f t="shared" si="2"/>
        <v>7.6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>
        <v>65</v>
      </c>
      <c r="B71" s="50">
        <v>229</v>
      </c>
      <c r="C71" s="50">
        <v>10</v>
      </c>
      <c r="D71" s="50">
        <v>21</v>
      </c>
      <c r="E71" s="51">
        <v>0.4</v>
      </c>
      <c r="F71" s="51"/>
      <c r="G71" s="51"/>
      <c r="H71" s="51">
        <v>0.6</v>
      </c>
      <c r="I71" s="49">
        <f t="shared" si="2"/>
        <v>7.2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>
        <v>70</v>
      </c>
      <c r="B72" s="50">
        <v>242</v>
      </c>
      <c r="C72" s="50">
        <v>11</v>
      </c>
      <c r="D72" s="50">
        <v>21</v>
      </c>
      <c r="E72" s="51">
        <v>0.5</v>
      </c>
      <c r="F72" s="51"/>
      <c r="G72" s="51"/>
      <c r="H72" s="51">
        <v>0.5</v>
      </c>
      <c r="I72" s="49">
        <f t="shared" si="2"/>
        <v>6.8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>
        <v>75</v>
      </c>
      <c r="B73" s="50">
        <v>252</v>
      </c>
      <c r="C73" s="50">
        <v>12</v>
      </c>
      <c r="D73" s="50">
        <v>21</v>
      </c>
      <c r="E73" s="51">
        <v>0.5</v>
      </c>
      <c r="F73" s="51"/>
      <c r="G73" s="51"/>
      <c r="H73" s="51">
        <v>0.5</v>
      </c>
      <c r="I73" s="49">
        <f t="shared" si="2"/>
        <v>6.2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>
        <v>80</v>
      </c>
      <c r="B74" s="50">
        <v>261</v>
      </c>
      <c r="C74" s="50">
        <v>13</v>
      </c>
      <c r="D74" s="50">
        <v>21</v>
      </c>
      <c r="E74" s="51">
        <v>0.6</v>
      </c>
      <c r="F74" s="51"/>
      <c r="G74" s="51"/>
      <c r="H74" s="51">
        <v>0.4</v>
      </c>
      <c r="I74" s="49">
        <f t="shared" si="2"/>
        <v>6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>
        <v>85</v>
      </c>
      <c r="B75" s="50">
        <v>269</v>
      </c>
      <c r="C75" s="50">
        <v>14</v>
      </c>
      <c r="D75" s="50">
        <v>21</v>
      </c>
      <c r="E75" s="51">
        <v>0.6</v>
      </c>
      <c r="F75" s="51"/>
      <c r="G75" s="51"/>
      <c r="H75" s="51">
        <v>0.4</v>
      </c>
      <c r="I75" s="49">
        <f t="shared" si="2"/>
        <v>5.8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>
        <v>90</v>
      </c>
      <c r="B76" s="50">
        <v>275</v>
      </c>
      <c r="C76" s="50">
        <v>15</v>
      </c>
      <c r="D76" s="50">
        <v>21</v>
      </c>
      <c r="E76" s="51">
        <v>0.7</v>
      </c>
      <c r="F76" s="51"/>
      <c r="G76" s="51"/>
      <c r="H76" s="51">
        <v>0.3</v>
      </c>
      <c r="I76" s="49">
        <f t="shared" si="2"/>
        <v>5.4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>
        <v>100</v>
      </c>
      <c r="B77" s="50">
        <v>282</v>
      </c>
      <c r="C77" s="50">
        <v>16</v>
      </c>
      <c r="D77" s="50">
        <v>21</v>
      </c>
      <c r="E77" s="51">
        <v>0.7</v>
      </c>
      <c r="F77" s="51"/>
      <c r="G77" s="51"/>
      <c r="H77" s="51">
        <v>0.3</v>
      </c>
      <c r="I77" s="49">
        <f t="shared" si="2"/>
        <v>2.8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>
        <v>110</v>
      </c>
      <c r="B78" s="50">
        <v>285</v>
      </c>
      <c r="C78" s="50">
        <v>17</v>
      </c>
      <c r="D78" s="50">
        <v>19</v>
      </c>
      <c r="E78" s="51">
        <v>0.8</v>
      </c>
      <c r="F78" s="51"/>
      <c r="G78" s="51"/>
      <c r="H78" s="51">
        <v>0.2</v>
      </c>
      <c r="I78" s="49">
        <f t="shared" si="2"/>
        <v>2.4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>
        <v>120</v>
      </c>
      <c r="B79" s="50">
        <v>285</v>
      </c>
      <c r="C79" s="50">
        <v>18</v>
      </c>
      <c r="D79" s="50">
        <v>285</v>
      </c>
      <c r="E79" s="51">
        <v>0.8</v>
      </c>
      <c r="F79" s="51"/>
      <c r="G79" s="51"/>
      <c r="H79" s="51">
        <v>0.2</v>
      </c>
      <c r="I79" s="49">
        <f t="shared" si="2"/>
        <v>1.9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>Merisier</v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57" t="s">
        <v>186</v>
      </c>
      <c r="D86" s="257"/>
      <c r="E86" s="258" t="s">
        <v>187</v>
      </c>
      <c r="F86" s="259"/>
      <c r="G86" s="259"/>
      <c r="H86" s="260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>
        <v>15</v>
      </c>
      <c r="B88" s="60">
        <v>40</v>
      </c>
      <c r="C88" s="60">
        <v>1</v>
      </c>
      <c r="D88" s="60">
        <v>3</v>
      </c>
      <c r="E88" s="51">
        <v>0</v>
      </c>
      <c r="F88" s="51"/>
      <c r="G88" s="51"/>
      <c r="H88" s="87">
        <v>1</v>
      </c>
      <c r="I88" s="53">
        <f>IFERROR(B88/A88,"")</f>
        <v>2.6666666666666665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>
        <v>20</v>
      </c>
      <c r="B89" s="60">
        <v>85</v>
      </c>
      <c r="C89" s="60">
        <v>2</v>
      </c>
      <c r="D89" s="60">
        <v>25</v>
      </c>
      <c r="E89" s="51">
        <v>0</v>
      </c>
      <c r="F89" s="51"/>
      <c r="G89" s="51"/>
      <c r="H89" s="87">
        <v>1</v>
      </c>
      <c r="I89" s="53">
        <f t="shared" ref="I89:I107" si="3">IF(A89&lt;&gt;0,(B89-(B88-D88))/(A89-A88),"")</f>
        <v>9.6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>
        <v>25</v>
      </c>
      <c r="B90" s="60">
        <v>113</v>
      </c>
      <c r="C90" s="60">
        <v>3</v>
      </c>
      <c r="D90" s="60">
        <v>27</v>
      </c>
      <c r="E90" s="87">
        <v>0.2</v>
      </c>
      <c r="F90" s="87"/>
      <c r="G90" s="87"/>
      <c r="H90" s="87">
        <v>0.8</v>
      </c>
      <c r="I90" s="53">
        <f t="shared" si="3"/>
        <v>10.6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>
        <v>31</v>
      </c>
      <c r="B91" s="60">
        <v>155</v>
      </c>
      <c r="C91" s="60">
        <v>4</v>
      </c>
      <c r="D91" s="60">
        <v>36</v>
      </c>
      <c r="E91" s="87">
        <v>0.3</v>
      </c>
      <c r="F91" s="87"/>
      <c r="G91" s="87"/>
      <c r="H91" s="87">
        <v>0.7</v>
      </c>
      <c r="I91" s="53">
        <f t="shared" si="3"/>
        <v>11.5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>
        <v>37</v>
      </c>
      <c r="B92" s="60">
        <v>188</v>
      </c>
      <c r="C92" s="60">
        <v>5</v>
      </c>
      <c r="D92" s="60">
        <v>36</v>
      </c>
      <c r="E92" s="87">
        <v>0.3</v>
      </c>
      <c r="F92" s="87"/>
      <c r="G92" s="87"/>
      <c r="H92" s="87">
        <v>0.7</v>
      </c>
      <c r="I92" s="53">
        <f t="shared" si="3"/>
        <v>11.5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>
        <v>44</v>
      </c>
      <c r="B93" s="60">
        <v>230</v>
      </c>
      <c r="C93" s="60">
        <v>6</v>
      </c>
      <c r="D93" s="60">
        <v>43</v>
      </c>
      <c r="E93" s="87">
        <v>0.4</v>
      </c>
      <c r="F93" s="87"/>
      <c r="G93" s="87"/>
      <c r="H93" s="87">
        <v>0.6</v>
      </c>
      <c r="I93" s="53">
        <f t="shared" si="3"/>
        <v>11.142857142857142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>
        <v>52</v>
      </c>
      <c r="B94" s="60">
        <v>270</v>
      </c>
      <c r="C94" s="60">
        <v>7</v>
      </c>
      <c r="D94" s="60">
        <v>48</v>
      </c>
      <c r="E94" s="87">
        <v>0.4</v>
      </c>
      <c r="F94" s="87"/>
      <c r="G94" s="87"/>
      <c r="H94" s="87">
        <v>0.6</v>
      </c>
      <c r="I94" s="53">
        <f t="shared" si="3"/>
        <v>10.375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>
        <v>60</v>
      </c>
      <c r="B95" s="60">
        <v>297</v>
      </c>
      <c r="C95" s="60">
        <v>8</v>
      </c>
      <c r="D95" s="60">
        <v>47</v>
      </c>
      <c r="E95" s="87">
        <v>0.5</v>
      </c>
      <c r="F95" s="87"/>
      <c r="G95" s="87"/>
      <c r="H95" s="87">
        <v>0.5</v>
      </c>
      <c r="I95" s="53">
        <f t="shared" si="3"/>
        <v>9.375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>
        <v>69</v>
      </c>
      <c r="B96" s="60">
        <v>328</v>
      </c>
      <c r="C96" s="60">
        <v>9</v>
      </c>
      <c r="D96" s="60">
        <v>328</v>
      </c>
      <c r="E96" s="87">
        <v>0.6</v>
      </c>
      <c r="F96" s="87"/>
      <c r="G96" s="87"/>
      <c r="H96" s="87">
        <v>0.4</v>
      </c>
      <c r="I96" s="53">
        <f t="shared" si="3"/>
        <v>8.6666666666666661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>Cormier</v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57" t="s">
        <v>186</v>
      </c>
      <c r="D112" s="257"/>
      <c r="E112" s="258" t="s">
        <v>187</v>
      </c>
      <c r="F112" s="259"/>
      <c r="G112" s="259"/>
      <c r="H112" s="260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>
        <v>20</v>
      </c>
      <c r="B114" s="60">
        <v>42</v>
      </c>
      <c r="C114" s="50">
        <v>1</v>
      </c>
      <c r="D114" s="60">
        <v>0</v>
      </c>
      <c r="E114" s="51">
        <v>0</v>
      </c>
      <c r="F114" s="51"/>
      <c r="G114" s="51"/>
      <c r="H114" s="51">
        <v>1</v>
      </c>
      <c r="I114" s="53">
        <f>IFERROR(B114/A114,"")</f>
        <v>2.1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>
        <v>25</v>
      </c>
      <c r="B115" s="60">
        <v>70</v>
      </c>
      <c r="C115" s="50">
        <v>2</v>
      </c>
      <c r="D115" s="60">
        <v>0</v>
      </c>
      <c r="E115" s="51">
        <v>0</v>
      </c>
      <c r="F115" s="51"/>
      <c r="G115" s="51"/>
      <c r="H115" s="51">
        <v>1</v>
      </c>
      <c r="I115" s="53">
        <f t="shared" ref="I115:I133" si="4">IF(A115&lt;&gt;0,(B115-(B114-D114))/(A115-A114),"")</f>
        <v>5.6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>
        <v>30</v>
      </c>
      <c r="B116" s="60">
        <v>97</v>
      </c>
      <c r="C116" s="50">
        <v>3</v>
      </c>
      <c r="D116" s="60">
        <v>21</v>
      </c>
      <c r="E116" s="51">
        <v>0</v>
      </c>
      <c r="F116" s="51"/>
      <c r="G116" s="51"/>
      <c r="H116" s="51">
        <v>1</v>
      </c>
      <c r="I116" s="53">
        <f t="shared" si="4"/>
        <v>5.4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>
        <v>35</v>
      </c>
      <c r="B117" s="60">
        <v>116</v>
      </c>
      <c r="C117" s="50">
        <v>4</v>
      </c>
      <c r="D117" s="60">
        <v>21</v>
      </c>
      <c r="E117" s="51">
        <v>0</v>
      </c>
      <c r="F117" s="51"/>
      <c r="G117" s="51"/>
      <c r="H117" s="51">
        <v>1</v>
      </c>
      <c r="I117" s="53">
        <f t="shared" si="4"/>
        <v>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>
        <v>40</v>
      </c>
      <c r="B118" s="60">
        <v>137</v>
      </c>
      <c r="C118" s="50">
        <v>5</v>
      </c>
      <c r="D118" s="60">
        <v>21</v>
      </c>
      <c r="E118" s="51">
        <v>0.2</v>
      </c>
      <c r="F118" s="51"/>
      <c r="G118" s="51"/>
      <c r="H118" s="51">
        <v>0.8</v>
      </c>
      <c r="I118" s="53">
        <f t="shared" si="4"/>
        <v>8.4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>
        <v>45</v>
      </c>
      <c r="B119" s="60">
        <v>158</v>
      </c>
      <c r="C119" s="50">
        <v>6</v>
      </c>
      <c r="D119" s="60">
        <v>21</v>
      </c>
      <c r="E119" s="51">
        <v>0.2</v>
      </c>
      <c r="F119" s="51"/>
      <c r="G119" s="51"/>
      <c r="H119" s="51">
        <v>0.8</v>
      </c>
      <c r="I119" s="53">
        <f t="shared" si="4"/>
        <v>8.4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>
        <v>50</v>
      </c>
      <c r="B120" s="60">
        <v>178</v>
      </c>
      <c r="C120" s="60">
        <v>7</v>
      </c>
      <c r="D120" s="60">
        <v>21</v>
      </c>
      <c r="E120" s="87">
        <v>0.3</v>
      </c>
      <c r="F120" s="87"/>
      <c r="G120" s="87"/>
      <c r="H120" s="87">
        <v>0.7</v>
      </c>
      <c r="I120" s="53">
        <f t="shared" si="4"/>
        <v>8.1999999999999993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>
        <v>55</v>
      </c>
      <c r="B121" s="60">
        <v>197</v>
      </c>
      <c r="C121" s="60">
        <v>8</v>
      </c>
      <c r="D121" s="60">
        <v>21</v>
      </c>
      <c r="E121" s="87">
        <v>0.3</v>
      </c>
      <c r="F121" s="87"/>
      <c r="G121" s="87"/>
      <c r="H121" s="87">
        <v>0.7</v>
      </c>
      <c r="I121" s="53">
        <f t="shared" si="4"/>
        <v>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>
        <v>60</v>
      </c>
      <c r="B122" s="60">
        <v>214</v>
      </c>
      <c r="C122" s="60">
        <v>9</v>
      </c>
      <c r="D122" s="60">
        <v>21</v>
      </c>
      <c r="E122" s="87">
        <v>0.4</v>
      </c>
      <c r="F122" s="87"/>
      <c r="G122" s="87"/>
      <c r="H122" s="87">
        <v>0.6</v>
      </c>
      <c r="I122" s="53">
        <f t="shared" si="4"/>
        <v>7.6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>
        <v>65</v>
      </c>
      <c r="B123" s="60">
        <v>229</v>
      </c>
      <c r="C123" s="60">
        <v>10</v>
      </c>
      <c r="D123" s="60">
        <v>21</v>
      </c>
      <c r="E123" s="87">
        <v>0.4</v>
      </c>
      <c r="F123" s="87"/>
      <c r="G123" s="87"/>
      <c r="H123" s="87">
        <v>0.6</v>
      </c>
      <c r="I123" s="53">
        <f t="shared" si="4"/>
        <v>7.2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>
        <v>70</v>
      </c>
      <c r="B124" s="60">
        <v>242</v>
      </c>
      <c r="C124" s="60">
        <v>11</v>
      </c>
      <c r="D124" s="60">
        <v>21</v>
      </c>
      <c r="E124" s="87">
        <v>0.5</v>
      </c>
      <c r="F124" s="87"/>
      <c r="G124" s="87"/>
      <c r="H124" s="87">
        <v>0.5</v>
      </c>
      <c r="I124" s="53">
        <f t="shared" si="4"/>
        <v>6.8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>
        <v>75</v>
      </c>
      <c r="B125" s="60">
        <v>252</v>
      </c>
      <c r="C125" s="60">
        <v>12</v>
      </c>
      <c r="D125" s="60">
        <v>21</v>
      </c>
      <c r="E125" s="87">
        <v>0.5</v>
      </c>
      <c r="F125" s="87"/>
      <c r="G125" s="87"/>
      <c r="H125" s="87">
        <v>0.5</v>
      </c>
      <c r="I125" s="53">
        <f t="shared" si="4"/>
        <v>6.2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>
        <v>80</v>
      </c>
      <c r="B126" s="60">
        <v>261</v>
      </c>
      <c r="C126" s="60">
        <v>13</v>
      </c>
      <c r="D126" s="60">
        <v>21</v>
      </c>
      <c r="E126" s="65">
        <v>0.6</v>
      </c>
      <c r="F126" s="65"/>
      <c r="G126" s="65"/>
      <c r="H126" s="65">
        <v>0.4</v>
      </c>
      <c r="I126" s="53">
        <f t="shared" si="4"/>
        <v>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>
        <v>85</v>
      </c>
      <c r="B127" s="60">
        <v>269</v>
      </c>
      <c r="C127" s="60">
        <v>14</v>
      </c>
      <c r="D127" s="60">
        <v>21</v>
      </c>
      <c r="E127" s="65">
        <v>0.6</v>
      </c>
      <c r="F127" s="65"/>
      <c r="G127" s="65"/>
      <c r="H127" s="65">
        <v>0.4</v>
      </c>
      <c r="I127" s="53">
        <f t="shared" si="4"/>
        <v>5.8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>
        <v>90</v>
      </c>
      <c r="B128" s="50">
        <v>275</v>
      </c>
      <c r="C128" s="50">
        <v>15</v>
      </c>
      <c r="D128" s="50">
        <v>21</v>
      </c>
      <c r="E128" s="54">
        <v>0.7</v>
      </c>
      <c r="F128" s="54"/>
      <c r="G128" s="54"/>
      <c r="H128" s="54">
        <v>0.3</v>
      </c>
      <c r="I128" s="53">
        <f t="shared" si="4"/>
        <v>5.4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>
        <v>100</v>
      </c>
      <c r="B129" s="50">
        <v>282</v>
      </c>
      <c r="C129" s="50">
        <v>16</v>
      </c>
      <c r="D129" s="50">
        <v>21</v>
      </c>
      <c r="E129" s="54">
        <v>0.7</v>
      </c>
      <c r="F129" s="54"/>
      <c r="G129" s="54"/>
      <c r="H129" s="54">
        <v>0.3</v>
      </c>
      <c r="I129" s="53">
        <f t="shared" si="4"/>
        <v>2.8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>
        <v>110</v>
      </c>
      <c r="B130" s="50">
        <v>285</v>
      </c>
      <c r="C130" s="50">
        <v>17</v>
      </c>
      <c r="D130" s="50">
        <v>19</v>
      </c>
      <c r="E130" s="54">
        <v>0.8</v>
      </c>
      <c r="F130" s="54"/>
      <c r="G130" s="54"/>
      <c r="H130" s="54">
        <v>0.2</v>
      </c>
      <c r="I130" s="53">
        <f t="shared" si="4"/>
        <v>2.4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>
        <v>120</v>
      </c>
      <c r="B131" s="50">
        <v>285</v>
      </c>
      <c r="C131" s="50">
        <v>18</v>
      </c>
      <c r="D131" s="50">
        <v>285</v>
      </c>
      <c r="E131" s="54">
        <v>0.8</v>
      </c>
      <c r="F131" s="54"/>
      <c r="G131" s="54"/>
      <c r="H131" s="54">
        <v>0.2</v>
      </c>
      <c r="I131" s="53">
        <f t="shared" si="4"/>
        <v>1.9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>Cormier</v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57" t="s">
        <v>186</v>
      </c>
      <c r="D138" s="257"/>
      <c r="E138" s="258" t="s">
        <v>187</v>
      </c>
      <c r="F138" s="259"/>
      <c r="G138" s="259"/>
      <c r="H138" s="260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>
        <v>20</v>
      </c>
      <c r="B140" s="60">
        <v>42</v>
      </c>
      <c r="C140" s="50">
        <v>1</v>
      </c>
      <c r="D140" s="60">
        <v>0</v>
      </c>
      <c r="E140" s="51">
        <v>0</v>
      </c>
      <c r="F140" s="51"/>
      <c r="G140" s="51"/>
      <c r="H140" s="51">
        <v>1</v>
      </c>
      <c r="I140" s="57">
        <f>IFERROR(B140/A140,"")</f>
        <v>2.1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>
        <v>25</v>
      </c>
      <c r="B141" s="60">
        <v>70</v>
      </c>
      <c r="C141" s="50">
        <v>2</v>
      </c>
      <c r="D141" s="60">
        <v>0</v>
      </c>
      <c r="E141" s="51">
        <v>0</v>
      </c>
      <c r="F141" s="51"/>
      <c r="G141" s="51"/>
      <c r="H141" s="51">
        <v>1</v>
      </c>
      <c r="I141" s="57">
        <f t="shared" ref="I141:I159" si="5">IF(A141&lt;&gt;0,(B141-(B140-D140))/(A141-A140),"")</f>
        <v>5.6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>
        <v>30</v>
      </c>
      <c r="B142" s="60">
        <v>97</v>
      </c>
      <c r="C142" s="50">
        <v>3</v>
      </c>
      <c r="D142" s="60">
        <v>21</v>
      </c>
      <c r="E142" s="51">
        <v>0</v>
      </c>
      <c r="F142" s="51"/>
      <c r="G142" s="51"/>
      <c r="H142" s="51">
        <v>1</v>
      </c>
      <c r="I142" s="57">
        <f t="shared" si="5"/>
        <v>5.4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>
        <v>35</v>
      </c>
      <c r="B143" s="60">
        <v>116</v>
      </c>
      <c r="C143" s="50">
        <v>4</v>
      </c>
      <c r="D143" s="60">
        <v>21</v>
      </c>
      <c r="E143" s="51">
        <v>0</v>
      </c>
      <c r="F143" s="51"/>
      <c r="G143" s="51"/>
      <c r="H143" s="51">
        <v>1</v>
      </c>
      <c r="I143" s="57">
        <f t="shared" si="5"/>
        <v>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>
        <v>40</v>
      </c>
      <c r="B144" s="60">
        <v>137</v>
      </c>
      <c r="C144" s="50">
        <v>5</v>
      </c>
      <c r="D144" s="60">
        <v>21</v>
      </c>
      <c r="E144" s="51">
        <v>0.2</v>
      </c>
      <c r="F144" s="51"/>
      <c r="G144" s="51"/>
      <c r="H144" s="51">
        <v>0.8</v>
      </c>
      <c r="I144" s="57">
        <f t="shared" si="5"/>
        <v>8.4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>
        <v>45</v>
      </c>
      <c r="B145" s="60">
        <v>158</v>
      </c>
      <c r="C145" s="50">
        <v>6</v>
      </c>
      <c r="D145" s="60">
        <v>21</v>
      </c>
      <c r="E145" s="51">
        <v>0.2</v>
      </c>
      <c r="F145" s="51"/>
      <c r="G145" s="51"/>
      <c r="H145" s="51">
        <v>0.8</v>
      </c>
      <c r="I145" s="57">
        <f t="shared" si="5"/>
        <v>8.4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>
        <v>50</v>
      </c>
      <c r="B146" s="60">
        <v>178</v>
      </c>
      <c r="C146" s="50">
        <v>7</v>
      </c>
      <c r="D146" s="60">
        <v>21</v>
      </c>
      <c r="E146" s="51">
        <v>0.3</v>
      </c>
      <c r="F146" s="51"/>
      <c r="G146" s="51"/>
      <c r="H146" s="51">
        <v>0.7</v>
      </c>
      <c r="I146" s="57">
        <f t="shared" si="5"/>
        <v>8.1999999999999993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>
        <v>55</v>
      </c>
      <c r="B147" s="60">
        <v>197</v>
      </c>
      <c r="C147" s="50">
        <v>8</v>
      </c>
      <c r="D147" s="60">
        <v>21</v>
      </c>
      <c r="E147" s="51">
        <v>0.3</v>
      </c>
      <c r="F147" s="51"/>
      <c r="G147" s="51"/>
      <c r="H147" s="51">
        <v>0.7</v>
      </c>
      <c r="I147" s="57">
        <f>IF(A147&lt;&gt;0,(B147-(B146-D146))/(A147-A146),"")</f>
        <v>8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>
        <v>60</v>
      </c>
      <c r="B148" s="60">
        <v>214</v>
      </c>
      <c r="C148" s="50">
        <v>9</v>
      </c>
      <c r="D148" s="60">
        <v>21</v>
      </c>
      <c r="E148" s="51">
        <v>0.4</v>
      </c>
      <c r="F148" s="51"/>
      <c r="G148" s="51"/>
      <c r="H148" s="51">
        <v>0.6</v>
      </c>
      <c r="I148" s="57">
        <f t="shared" si="5"/>
        <v>7.6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>
        <v>65</v>
      </c>
      <c r="B149" s="60">
        <v>229</v>
      </c>
      <c r="C149" s="50">
        <v>10</v>
      </c>
      <c r="D149" s="60">
        <v>21</v>
      </c>
      <c r="E149" s="51">
        <v>0.4</v>
      </c>
      <c r="F149" s="51"/>
      <c r="G149" s="51"/>
      <c r="H149" s="51">
        <v>0.6</v>
      </c>
      <c r="I149" s="57">
        <f t="shared" si="5"/>
        <v>7.2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>
        <v>70</v>
      </c>
      <c r="B150" s="60">
        <v>242</v>
      </c>
      <c r="C150" s="50">
        <v>11</v>
      </c>
      <c r="D150" s="60">
        <v>21</v>
      </c>
      <c r="E150" s="51">
        <v>0.5</v>
      </c>
      <c r="F150" s="51"/>
      <c r="G150" s="51"/>
      <c r="H150" s="51">
        <v>0.5</v>
      </c>
      <c r="I150" s="57">
        <f t="shared" si="5"/>
        <v>6.8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>
        <v>75</v>
      </c>
      <c r="B151" s="60">
        <v>252</v>
      </c>
      <c r="C151" s="50">
        <v>12</v>
      </c>
      <c r="D151" s="60">
        <v>21</v>
      </c>
      <c r="E151" s="51">
        <v>0.5</v>
      </c>
      <c r="F151" s="51"/>
      <c r="G151" s="51"/>
      <c r="H151" s="51">
        <v>0.5</v>
      </c>
      <c r="I151" s="57">
        <f t="shared" si="5"/>
        <v>6.2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>
        <v>80</v>
      </c>
      <c r="B152" s="60">
        <v>261</v>
      </c>
      <c r="C152" s="50">
        <v>13</v>
      </c>
      <c r="D152" s="60">
        <v>21</v>
      </c>
      <c r="E152" s="54">
        <v>0.6</v>
      </c>
      <c r="F152" s="54"/>
      <c r="G152" s="54"/>
      <c r="H152" s="54">
        <v>0.4</v>
      </c>
      <c r="I152" s="57">
        <f t="shared" si="5"/>
        <v>6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>
        <v>85</v>
      </c>
      <c r="B153" s="60">
        <v>269</v>
      </c>
      <c r="C153" s="50">
        <v>14</v>
      </c>
      <c r="D153" s="60">
        <v>21</v>
      </c>
      <c r="E153" s="54">
        <v>0.6</v>
      </c>
      <c r="F153" s="54"/>
      <c r="G153" s="54"/>
      <c r="H153" s="54">
        <v>0.4</v>
      </c>
      <c r="I153" s="57">
        <f t="shared" si="5"/>
        <v>5.8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>
        <v>90</v>
      </c>
      <c r="B154" s="56">
        <v>275</v>
      </c>
      <c r="C154" s="50">
        <v>15</v>
      </c>
      <c r="D154" s="50">
        <v>21</v>
      </c>
      <c r="E154" s="54">
        <v>0.7</v>
      </c>
      <c r="F154" s="54"/>
      <c r="G154" s="54"/>
      <c r="H154" s="54">
        <v>0.3</v>
      </c>
      <c r="I154" s="57">
        <f t="shared" si="5"/>
        <v>5.4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>
        <v>100</v>
      </c>
      <c r="B155" s="56">
        <v>282</v>
      </c>
      <c r="C155" s="50">
        <v>16</v>
      </c>
      <c r="D155" s="50">
        <v>21</v>
      </c>
      <c r="E155" s="54">
        <v>0.7</v>
      </c>
      <c r="F155" s="54"/>
      <c r="G155" s="54"/>
      <c r="H155" s="54">
        <v>0.3</v>
      </c>
      <c r="I155" s="57">
        <f t="shared" si="5"/>
        <v>2.8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>
        <v>110</v>
      </c>
      <c r="B156" s="56">
        <v>285</v>
      </c>
      <c r="C156" s="50">
        <v>17</v>
      </c>
      <c r="D156" s="50">
        <v>19</v>
      </c>
      <c r="E156" s="54">
        <v>0.8</v>
      </c>
      <c r="F156" s="54"/>
      <c r="G156" s="54"/>
      <c r="H156" s="54">
        <v>0.2</v>
      </c>
      <c r="I156" s="57">
        <f t="shared" si="5"/>
        <v>2.4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>
        <v>120</v>
      </c>
      <c r="B157" s="56">
        <v>285</v>
      </c>
      <c r="C157" s="50">
        <v>18</v>
      </c>
      <c r="D157" s="50">
        <v>285</v>
      </c>
      <c r="E157" s="54">
        <v>0.8</v>
      </c>
      <c r="F157" s="54"/>
      <c r="G157" s="54"/>
      <c r="H157" s="54">
        <v>0.2</v>
      </c>
      <c r="I157" s="57">
        <f t="shared" si="5"/>
        <v>1.9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>Alisier torminal</v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57" t="s">
        <v>186</v>
      </c>
      <c r="D164" s="257"/>
      <c r="E164" s="258" t="s">
        <v>187</v>
      </c>
      <c r="F164" s="259"/>
      <c r="G164" s="259"/>
      <c r="H164" s="260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>
        <v>20</v>
      </c>
      <c r="B166" s="60">
        <v>42</v>
      </c>
      <c r="C166" s="60">
        <v>1</v>
      </c>
      <c r="D166" s="60">
        <v>0</v>
      </c>
      <c r="E166" s="51">
        <v>0</v>
      </c>
      <c r="F166" s="51"/>
      <c r="G166" s="51"/>
      <c r="H166" s="51">
        <v>1</v>
      </c>
      <c r="I166" s="49">
        <f>IFERROR(B166/A166,"")</f>
        <v>2.1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>
        <v>25</v>
      </c>
      <c r="B167" s="60">
        <v>70</v>
      </c>
      <c r="C167" s="60">
        <v>2</v>
      </c>
      <c r="D167" s="60">
        <v>0</v>
      </c>
      <c r="E167" s="51">
        <v>0</v>
      </c>
      <c r="F167" s="51"/>
      <c r="G167" s="51"/>
      <c r="H167" s="51">
        <v>1</v>
      </c>
      <c r="I167" s="49">
        <f t="shared" ref="I167:I185" si="6">IF(A167&lt;&gt;0,(B167-(B166-D166))/(A167-A166),"")</f>
        <v>5.6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>
        <v>30</v>
      </c>
      <c r="B168" s="60">
        <v>97</v>
      </c>
      <c r="C168" s="60">
        <v>3</v>
      </c>
      <c r="D168" s="60">
        <v>21</v>
      </c>
      <c r="E168" s="51">
        <v>0</v>
      </c>
      <c r="F168" s="51"/>
      <c r="G168" s="51"/>
      <c r="H168" s="51">
        <v>1</v>
      </c>
      <c r="I168" s="49">
        <f t="shared" si="6"/>
        <v>5.4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>
        <v>35</v>
      </c>
      <c r="B169" s="60">
        <v>116</v>
      </c>
      <c r="C169" s="60">
        <v>4</v>
      </c>
      <c r="D169" s="60">
        <v>21</v>
      </c>
      <c r="E169" s="51">
        <v>0</v>
      </c>
      <c r="F169" s="51"/>
      <c r="G169" s="51"/>
      <c r="H169" s="51">
        <v>1</v>
      </c>
      <c r="I169" s="49">
        <f t="shared" si="6"/>
        <v>8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>
        <v>40</v>
      </c>
      <c r="B170" s="60">
        <v>137</v>
      </c>
      <c r="C170" s="60">
        <v>5</v>
      </c>
      <c r="D170" s="60">
        <v>21</v>
      </c>
      <c r="E170" s="51">
        <v>0.2</v>
      </c>
      <c r="F170" s="51"/>
      <c r="G170" s="51"/>
      <c r="H170" s="51">
        <v>0.8</v>
      </c>
      <c r="I170" s="49">
        <f t="shared" si="6"/>
        <v>8.4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>
        <v>45</v>
      </c>
      <c r="B171" s="60">
        <v>158</v>
      </c>
      <c r="C171" s="60">
        <v>6</v>
      </c>
      <c r="D171" s="60">
        <v>21</v>
      </c>
      <c r="E171" s="51">
        <v>0.2</v>
      </c>
      <c r="F171" s="51"/>
      <c r="G171" s="51"/>
      <c r="H171" s="51">
        <v>0.8</v>
      </c>
      <c r="I171" s="49">
        <f t="shared" si="6"/>
        <v>8.4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>
        <v>50</v>
      </c>
      <c r="B172" s="60">
        <v>178</v>
      </c>
      <c r="C172" s="60">
        <v>7</v>
      </c>
      <c r="D172" s="60">
        <v>21</v>
      </c>
      <c r="E172" s="51">
        <v>0.3</v>
      </c>
      <c r="F172" s="51"/>
      <c r="G172" s="51"/>
      <c r="H172" s="51">
        <v>0.7</v>
      </c>
      <c r="I172" s="49">
        <f t="shared" si="6"/>
        <v>8.1999999999999993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>
        <v>55</v>
      </c>
      <c r="B173" s="50">
        <v>197</v>
      </c>
      <c r="C173" s="50">
        <v>8</v>
      </c>
      <c r="D173" s="50">
        <v>21</v>
      </c>
      <c r="E173" s="51">
        <v>0.3</v>
      </c>
      <c r="F173" s="51"/>
      <c r="G173" s="51"/>
      <c r="H173" s="51">
        <v>0.7</v>
      </c>
      <c r="I173" s="49">
        <f t="shared" si="6"/>
        <v>8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>
        <v>60</v>
      </c>
      <c r="B174" s="50">
        <v>214</v>
      </c>
      <c r="C174" s="50">
        <v>9</v>
      </c>
      <c r="D174" s="50">
        <v>21</v>
      </c>
      <c r="E174" s="51">
        <v>0.4</v>
      </c>
      <c r="F174" s="51"/>
      <c r="G174" s="51"/>
      <c r="H174" s="51">
        <v>0.6</v>
      </c>
      <c r="I174" s="49">
        <f t="shared" si="6"/>
        <v>7.6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>
        <v>65</v>
      </c>
      <c r="B175" s="50">
        <v>229</v>
      </c>
      <c r="C175" s="50">
        <v>10</v>
      </c>
      <c r="D175" s="50">
        <v>21</v>
      </c>
      <c r="E175" s="51">
        <v>0.4</v>
      </c>
      <c r="F175" s="51"/>
      <c r="G175" s="51"/>
      <c r="H175" s="51">
        <v>0.6</v>
      </c>
      <c r="I175" s="49">
        <f t="shared" si="6"/>
        <v>7.2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>
        <v>70</v>
      </c>
      <c r="B176" s="50">
        <v>242</v>
      </c>
      <c r="C176" s="50">
        <v>11</v>
      </c>
      <c r="D176" s="50">
        <v>21</v>
      </c>
      <c r="E176" s="51">
        <v>0.5</v>
      </c>
      <c r="F176" s="51"/>
      <c r="G176" s="51"/>
      <c r="H176" s="51">
        <v>0.5</v>
      </c>
      <c r="I176" s="49">
        <f t="shared" si="6"/>
        <v>6.8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>
        <v>75</v>
      </c>
      <c r="B177" s="50">
        <v>252</v>
      </c>
      <c r="C177" s="50">
        <v>12</v>
      </c>
      <c r="D177" s="50">
        <v>21</v>
      </c>
      <c r="E177" s="51">
        <v>0.5</v>
      </c>
      <c r="F177" s="51"/>
      <c r="G177" s="51"/>
      <c r="H177" s="51">
        <v>0.5</v>
      </c>
      <c r="I177" s="49">
        <f t="shared" si="6"/>
        <v>6.2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>
        <v>80</v>
      </c>
      <c r="B178" s="50">
        <v>261</v>
      </c>
      <c r="C178" s="50">
        <v>13</v>
      </c>
      <c r="D178" s="50">
        <v>21</v>
      </c>
      <c r="E178" s="51">
        <v>0.6</v>
      </c>
      <c r="F178" s="51"/>
      <c r="G178" s="51"/>
      <c r="H178" s="51">
        <v>0.4</v>
      </c>
      <c r="I178" s="49">
        <f t="shared" si="6"/>
        <v>6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>
        <v>85</v>
      </c>
      <c r="B179" s="50">
        <v>269</v>
      </c>
      <c r="C179" s="50">
        <v>14</v>
      </c>
      <c r="D179" s="50">
        <v>21</v>
      </c>
      <c r="E179" s="51">
        <v>0.6</v>
      </c>
      <c r="F179" s="51"/>
      <c r="G179" s="51"/>
      <c r="H179" s="51">
        <v>0.4</v>
      </c>
      <c r="I179" s="49">
        <f t="shared" si="6"/>
        <v>5.8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>
        <v>90</v>
      </c>
      <c r="B180" s="50">
        <v>275</v>
      </c>
      <c r="C180" s="50">
        <v>15</v>
      </c>
      <c r="D180" s="50">
        <v>21</v>
      </c>
      <c r="E180" s="51">
        <v>0.7</v>
      </c>
      <c r="F180" s="51"/>
      <c r="G180" s="51"/>
      <c r="H180" s="51">
        <v>0.3</v>
      </c>
      <c r="I180" s="49">
        <f t="shared" si="6"/>
        <v>5.4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>
        <v>100</v>
      </c>
      <c r="B181" s="50">
        <v>282</v>
      </c>
      <c r="C181" s="50">
        <v>16</v>
      </c>
      <c r="D181" s="50">
        <v>21</v>
      </c>
      <c r="E181" s="51">
        <v>0.7</v>
      </c>
      <c r="F181" s="51"/>
      <c r="G181" s="51"/>
      <c r="H181" s="51">
        <v>0.3</v>
      </c>
      <c r="I181" s="49">
        <f t="shared" si="6"/>
        <v>2.8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>
        <v>110</v>
      </c>
      <c r="B182" s="50">
        <v>285</v>
      </c>
      <c r="C182" s="50">
        <v>17</v>
      </c>
      <c r="D182" s="50">
        <v>19</v>
      </c>
      <c r="E182" s="51">
        <v>0.8</v>
      </c>
      <c r="F182" s="51"/>
      <c r="G182" s="51"/>
      <c r="H182" s="51">
        <v>0.2</v>
      </c>
      <c r="I182" s="49">
        <f t="shared" si="6"/>
        <v>2.4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>
        <v>120</v>
      </c>
      <c r="B183" s="50">
        <v>285</v>
      </c>
      <c r="C183" s="50">
        <v>18</v>
      </c>
      <c r="D183" s="50">
        <v>285</v>
      </c>
      <c r="E183" s="51">
        <v>0.8</v>
      </c>
      <c r="F183" s="51"/>
      <c r="G183" s="51"/>
      <c r="H183" s="51">
        <v>0.2</v>
      </c>
      <c r="I183" s="49">
        <f t="shared" si="6"/>
        <v>1.9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>Pin laricio</v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57" t="s">
        <v>186</v>
      </c>
      <c r="D190" s="257"/>
      <c r="E190" s="258" t="s">
        <v>187</v>
      </c>
      <c r="F190" s="259"/>
      <c r="G190" s="259"/>
      <c r="H190" s="260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>
        <v>15</v>
      </c>
      <c r="B192" s="60">
        <v>48.56</v>
      </c>
      <c r="C192" s="60">
        <v>1</v>
      </c>
      <c r="D192" s="60">
        <v>0</v>
      </c>
      <c r="E192" s="51"/>
      <c r="F192" s="51"/>
      <c r="G192" s="51"/>
      <c r="H192" s="51"/>
      <c r="I192" s="49">
        <f>IFERROR(B192/A192,"")</f>
        <v>3.2373333333333334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>
        <v>19</v>
      </c>
      <c r="B193" s="60">
        <v>127.82</v>
      </c>
      <c r="C193" s="60">
        <v>2</v>
      </c>
      <c r="D193" s="60">
        <v>46.3</v>
      </c>
      <c r="E193" s="51">
        <v>0.2</v>
      </c>
      <c r="F193" s="51">
        <v>0.45</v>
      </c>
      <c r="G193" s="51">
        <v>0.35</v>
      </c>
      <c r="H193" s="51"/>
      <c r="I193" s="49">
        <f t="shared" ref="I193:I211" si="7">IF(A193&lt;&gt;0,(B193-(B192-D192))/(A193-A192),"")</f>
        <v>19.814999999999998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>
        <v>24</v>
      </c>
      <c r="B194" s="60">
        <v>179.92</v>
      </c>
      <c r="C194" s="60">
        <v>3</v>
      </c>
      <c r="D194" s="60">
        <v>45</v>
      </c>
      <c r="E194" s="51">
        <v>0.2</v>
      </c>
      <c r="F194" s="51">
        <v>0.45</v>
      </c>
      <c r="G194" s="51">
        <v>0.35</v>
      </c>
      <c r="H194" s="51"/>
      <c r="I194" s="49">
        <f t="shared" si="7"/>
        <v>19.68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>
        <v>30</v>
      </c>
      <c r="B195" s="60">
        <v>260.10000000000002</v>
      </c>
      <c r="C195" s="60">
        <v>4</v>
      </c>
      <c r="D195" s="60">
        <v>66.989999999999995</v>
      </c>
      <c r="E195" s="51">
        <v>0.2</v>
      </c>
      <c r="F195" s="51">
        <v>0.45</v>
      </c>
      <c r="G195" s="51">
        <v>0.35</v>
      </c>
      <c r="H195" s="51"/>
      <c r="I195" s="49">
        <f t="shared" si="7"/>
        <v>20.86333333333334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>
        <v>32</v>
      </c>
      <c r="B196" s="60">
        <v>230.35</v>
      </c>
      <c r="C196" s="60">
        <v>5</v>
      </c>
      <c r="D196" s="60">
        <v>0</v>
      </c>
      <c r="E196" s="51"/>
      <c r="F196" s="51"/>
      <c r="G196" s="51"/>
      <c r="H196" s="51"/>
      <c r="I196" s="49">
        <f t="shared" si="7"/>
        <v>18.61999999999999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>
        <v>37</v>
      </c>
      <c r="B197" s="60">
        <v>337.12</v>
      </c>
      <c r="C197" s="60">
        <v>6</v>
      </c>
      <c r="D197" s="60">
        <v>55</v>
      </c>
      <c r="E197" s="51">
        <v>0.2</v>
      </c>
      <c r="F197" s="51">
        <v>0.45</v>
      </c>
      <c r="G197" s="51">
        <v>0.35</v>
      </c>
      <c r="H197" s="51"/>
      <c r="I197" s="49">
        <f t="shared" si="7"/>
        <v>21.354000000000003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>
        <v>41</v>
      </c>
      <c r="B198" s="60">
        <v>363.2</v>
      </c>
      <c r="C198" s="60">
        <v>8</v>
      </c>
      <c r="D198" s="60">
        <v>0</v>
      </c>
      <c r="E198" s="51"/>
      <c r="F198" s="51"/>
      <c r="G198" s="51"/>
      <c r="H198" s="51"/>
      <c r="I198" s="49">
        <f t="shared" si="7"/>
        <v>20.269999999999996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>
        <v>46</v>
      </c>
      <c r="B199" s="50">
        <v>466.26</v>
      </c>
      <c r="C199" s="50">
        <v>9</v>
      </c>
      <c r="D199" s="50">
        <v>93</v>
      </c>
      <c r="E199" s="51">
        <v>0.4</v>
      </c>
      <c r="F199" s="51">
        <v>0.34</v>
      </c>
      <c r="G199" s="51">
        <v>0.26</v>
      </c>
      <c r="H199" s="51"/>
      <c r="I199" s="49">
        <f t="shared" si="7"/>
        <v>20.612000000000002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>
        <v>50</v>
      </c>
      <c r="B200" s="50">
        <v>443.73</v>
      </c>
      <c r="C200" s="50">
        <v>10</v>
      </c>
      <c r="D200" s="50">
        <v>0</v>
      </c>
      <c r="E200" s="51"/>
      <c r="F200" s="51"/>
      <c r="G200" s="51"/>
      <c r="H200" s="51"/>
      <c r="I200" s="49">
        <f t="shared" si="7"/>
        <v>17.617500000000007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>
        <v>56</v>
      </c>
      <c r="B201" s="50">
        <v>551.70000000000005</v>
      </c>
      <c r="C201" s="50">
        <v>11</v>
      </c>
      <c r="D201" s="50">
        <v>77</v>
      </c>
      <c r="E201" s="51">
        <v>0.6</v>
      </c>
      <c r="F201" s="51">
        <v>0.22</v>
      </c>
      <c r="G201" s="51">
        <v>0.18</v>
      </c>
      <c r="H201" s="51"/>
      <c r="I201" s="49">
        <f t="shared" si="7"/>
        <v>17.995000000000005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>
        <v>59</v>
      </c>
      <c r="B202" s="50">
        <v>521.75</v>
      </c>
      <c r="C202" s="50">
        <v>12</v>
      </c>
      <c r="D202" s="50">
        <v>0</v>
      </c>
      <c r="E202" s="51"/>
      <c r="F202" s="51"/>
      <c r="G202" s="51"/>
      <c r="H202" s="51"/>
      <c r="I202" s="49">
        <f t="shared" si="7"/>
        <v>15.683333333333318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>
        <v>66</v>
      </c>
      <c r="B203" s="50">
        <v>630.36</v>
      </c>
      <c r="C203" s="50">
        <v>13</v>
      </c>
      <c r="D203" s="50">
        <v>87</v>
      </c>
      <c r="E203" s="51">
        <v>0.8</v>
      </c>
      <c r="F203" s="51">
        <v>0.11</v>
      </c>
      <c r="G203" s="51">
        <v>0.09</v>
      </c>
      <c r="H203" s="51"/>
      <c r="I203" s="49">
        <f t="shared" si="7"/>
        <v>15.515714285714287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>
        <v>68</v>
      </c>
      <c r="B204" s="50">
        <v>568.46</v>
      </c>
      <c r="C204" s="50">
        <v>14</v>
      </c>
      <c r="D204" s="50">
        <v>0</v>
      </c>
      <c r="E204" s="51"/>
      <c r="F204" s="51"/>
      <c r="G204" s="51"/>
      <c r="H204" s="51"/>
      <c r="I204" s="49">
        <f t="shared" si="7"/>
        <v>12.550000000000011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>
        <v>76</v>
      </c>
      <c r="B205" s="50">
        <v>671.57</v>
      </c>
      <c r="C205" s="50">
        <v>15</v>
      </c>
      <c r="D205" s="50">
        <v>671.57</v>
      </c>
      <c r="E205" s="51">
        <v>0.8</v>
      </c>
      <c r="F205" s="51">
        <v>0.11</v>
      </c>
      <c r="G205" s="51">
        <v>0.09</v>
      </c>
      <c r="H205" s="51"/>
      <c r="I205" s="49">
        <f t="shared" si="7"/>
        <v>12.888750000000002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>Séquoia toujours vert</v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57" t="s">
        <v>186</v>
      </c>
      <c r="D216" s="257"/>
      <c r="E216" s="258" t="s">
        <v>187</v>
      </c>
      <c r="F216" s="259"/>
      <c r="G216" s="259"/>
      <c r="H216" s="260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>
        <v>15</v>
      </c>
      <c r="B218" s="60">
        <v>68</v>
      </c>
      <c r="C218" s="50">
        <v>1</v>
      </c>
      <c r="D218" s="60">
        <v>0</v>
      </c>
      <c r="E218" s="63">
        <v>0</v>
      </c>
      <c r="F218" s="63">
        <v>0.56000000000000005</v>
      </c>
      <c r="G218" s="63">
        <v>0.44</v>
      </c>
      <c r="H218" s="63"/>
      <c r="I218" s="53">
        <f>IFERROR(B218/A218,"")</f>
        <v>4.5333333333333332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>
        <v>20</v>
      </c>
      <c r="B219" s="60">
        <v>196</v>
      </c>
      <c r="C219" s="50">
        <v>2</v>
      </c>
      <c r="D219" s="60">
        <v>74</v>
      </c>
      <c r="E219" s="63">
        <v>0</v>
      </c>
      <c r="F219" s="63">
        <v>0.56000000000000005</v>
      </c>
      <c r="G219" s="63">
        <v>0.44</v>
      </c>
      <c r="H219" s="63"/>
      <c r="I219" s="53">
        <f t="shared" ref="I219:I237" si="8">IF(A219&lt;&gt;0,(B219-(B218-D218))/(A219-A218),"")</f>
        <v>25.6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>
        <v>25</v>
      </c>
      <c r="B220" s="60">
        <v>292</v>
      </c>
      <c r="C220" s="50">
        <v>3</v>
      </c>
      <c r="D220" s="60">
        <v>84</v>
      </c>
      <c r="E220" s="63">
        <v>0</v>
      </c>
      <c r="F220" s="63">
        <v>0.56000000000000005</v>
      </c>
      <c r="G220" s="63">
        <v>0.44</v>
      </c>
      <c r="H220" s="63"/>
      <c r="I220" s="53">
        <f t="shared" si="8"/>
        <v>34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>
        <v>30</v>
      </c>
      <c r="B221" s="55">
        <v>395</v>
      </c>
      <c r="C221" s="55">
        <v>4</v>
      </c>
      <c r="D221" s="55">
        <v>84</v>
      </c>
      <c r="E221" s="63">
        <v>0</v>
      </c>
      <c r="F221" s="63">
        <v>0.56000000000000005</v>
      </c>
      <c r="G221" s="63">
        <v>0.44</v>
      </c>
      <c r="H221" s="63"/>
      <c r="I221" s="53">
        <f t="shared" si="8"/>
        <v>37.4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>
        <v>35</v>
      </c>
      <c r="B222" s="55">
        <v>496</v>
      </c>
      <c r="C222" s="55">
        <v>5</v>
      </c>
      <c r="D222" s="55">
        <v>84</v>
      </c>
      <c r="E222" s="63">
        <v>0</v>
      </c>
      <c r="F222" s="63">
        <v>0.56000000000000005</v>
      </c>
      <c r="G222" s="63">
        <v>0.44</v>
      </c>
      <c r="H222" s="63"/>
      <c r="I222" s="53">
        <f t="shared" si="8"/>
        <v>37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>
        <v>40</v>
      </c>
      <c r="B223" s="55">
        <v>582</v>
      </c>
      <c r="C223" s="55">
        <v>6</v>
      </c>
      <c r="D223" s="55">
        <v>84</v>
      </c>
      <c r="E223" s="63">
        <v>0.2</v>
      </c>
      <c r="F223" s="63">
        <v>0.45</v>
      </c>
      <c r="G223" s="63">
        <v>0.35</v>
      </c>
      <c r="H223" s="63"/>
      <c r="I223" s="53">
        <f t="shared" si="8"/>
        <v>34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>
        <v>45</v>
      </c>
      <c r="B224" s="55">
        <v>651</v>
      </c>
      <c r="C224" s="55">
        <v>7</v>
      </c>
      <c r="D224" s="55">
        <v>69</v>
      </c>
      <c r="E224" s="63">
        <v>0.2</v>
      </c>
      <c r="F224" s="63">
        <v>0.45</v>
      </c>
      <c r="G224" s="63">
        <v>0.35</v>
      </c>
      <c r="H224" s="63"/>
      <c r="I224" s="53">
        <f t="shared" si="8"/>
        <v>30.6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>
        <v>50</v>
      </c>
      <c r="B225" s="55">
        <v>719</v>
      </c>
      <c r="C225" s="55">
        <v>8</v>
      </c>
      <c r="D225" s="55">
        <v>59</v>
      </c>
      <c r="E225" s="63">
        <v>0.2</v>
      </c>
      <c r="F225" s="63">
        <v>0.45</v>
      </c>
      <c r="G225" s="63">
        <v>0.35</v>
      </c>
      <c r="H225" s="63"/>
      <c r="I225" s="53">
        <f t="shared" si="8"/>
        <v>27.4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>
        <v>55</v>
      </c>
      <c r="B226" s="55">
        <v>781</v>
      </c>
      <c r="C226" s="55">
        <v>9</v>
      </c>
      <c r="D226" s="55">
        <v>51</v>
      </c>
      <c r="E226" s="63">
        <v>0.4</v>
      </c>
      <c r="F226" s="63">
        <v>0.34</v>
      </c>
      <c r="G226" s="63">
        <v>0.26</v>
      </c>
      <c r="H226" s="63"/>
      <c r="I226" s="53">
        <f t="shared" si="8"/>
        <v>24.2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>
        <v>60</v>
      </c>
      <c r="B227" s="55">
        <v>835</v>
      </c>
      <c r="C227" s="55">
        <v>10</v>
      </c>
      <c r="D227" s="55">
        <v>45</v>
      </c>
      <c r="E227" s="63">
        <v>0.4</v>
      </c>
      <c r="F227" s="63">
        <v>0.34</v>
      </c>
      <c r="G227" s="63">
        <v>0.26</v>
      </c>
      <c r="H227" s="63"/>
      <c r="I227" s="53">
        <f t="shared" si="8"/>
        <v>21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>
        <v>65</v>
      </c>
      <c r="B228" s="55">
        <v>878</v>
      </c>
      <c r="C228" s="55">
        <v>11</v>
      </c>
      <c r="D228" s="55">
        <v>40</v>
      </c>
      <c r="E228" s="63">
        <v>0.6</v>
      </c>
      <c r="F228" s="63">
        <v>0.22</v>
      </c>
      <c r="G228" s="63">
        <v>0.18</v>
      </c>
      <c r="H228" s="63"/>
      <c r="I228" s="53">
        <f t="shared" si="8"/>
        <v>17.600000000000001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>
        <v>70</v>
      </c>
      <c r="B229" s="55">
        <v>911</v>
      </c>
      <c r="C229" s="55">
        <v>12</v>
      </c>
      <c r="D229" s="55">
        <v>35</v>
      </c>
      <c r="E229" s="63">
        <v>0.8</v>
      </c>
      <c r="F229" s="63">
        <v>0.11</v>
      </c>
      <c r="G229" s="63">
        <v>0.09</v>
      </c>
      <c r="H229" s="63"/>
      <c r="I229" s="53">
        <f t="shared" si="8"/>
        <v>14.6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>
        <v>75</v>
      </c>
      <c r="B230" s="55">
        <v>936</v>
      </c>
      <c r="C230" s="55">
        <v>13</v>
      </c>
      <c r="D230" s="55">
        <v>20</v>
      </c>
      <c r="E230" s="64">
        <v>0.8</v>
      </c>
      <c r="F230" s="64">
        <v>0.11</v>
      </c>
      <c r="G230" s="64">
        <v>0.09</v>
      </c>
      <c r="H230" s="64"/>
      <c r="I230" s="53">
        <f t="shared" si="8"/>
        <v>12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>
        <v>80</v>
      </c>
      <c r="B231" s="60">
        <v>951</v>
      </c>
      <c r="C231" s="88">
        <v>14</v>
      </c>
      <c r="D231" s="60">
        <v>951</v>
      </c>
      <c r="E231" s="54">
        <v>0.8</v>
      </c>
      <c r="F231" s="54">
        <v>0.11</v>
      </c>
      <c r="G231" s="54">
        <v>0.09</v>
      </c>
      <c r="H231" s="54"/>
      <c r="I231" s="53">
        <f t="shared" si="8"/>
        <v>7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57" t="s">
        <v>186</v>
      </c>
      <c r="D242" s="257"/>
      <c r="E242" s="258" t="s">
        <v>187</v>
      </c>
      <c r="F242" s="259"/>
      <c r="G242" s="259"/>
      <c r="H242" s="260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57" t="s">
        <v>186</v>
      </c>
      <c r="D268" s="257"/>
      <c r="E268" s="258" t="s">
        <v>187</v>
      </c>
      <c r="F268" s="259"/>
      <c r="G268" s="259"/>
      <c r="H268" s="260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8" sqref="B18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5" style="1" customWidth="1"/>
    <col min="6" max="6" width="14.5" style="1" customWidth="1"/>
    <col min="7" max="7" width="73.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0.27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0.73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5" style="4" bestFit="1" customWidth="1"/>
    <col min="25" max="25" width="14.5" style="4" bestFit="1" customWidth="1"/>
    <col min="26" max="26" width="12.5" style="4" bestFit="1" customWidth="1"/>
    <col min="27" max="27" width="9.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5" style="4" bestFit="1" customWidth="1"/>
    <col min="45" max="45" width="11.5" style="4" bestFit="1" customWidth="1"/>
    <col min="46" max="46" width="8.5" style="4" bestFit="1" customWidth="1"/>
    <col min="47" max="48" width="9.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5" style="4" bestFit="1" customWidth="1"/>
    <col min="66" max="66" width="11.5" style="4" bestFit="1" customWidth="1"/>
    <col min="67" max="67" width="8.5" style="4" bestFit="1" customWidth="1"/>
    <col min="68" max="69" width="9.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5" style="4" bestFit="1" customWidth="1"/>
    <col min="87" max="87" width="11.5" style="4" bestFit="1" customWidth="1"/>
    <col min="88" max="88" width="8.5" style="4" bestFit="1" customWidth="1"/>
    <col min="89" max="90" width="9.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5" style="4" bestFit="1" customWidth="1"/>
    <col min="108" max="108" width="11.5" style="4" bestFit="1" customWidth="1"/>
    <col min="109" max="109" width="8.5" style="4" bestFit="1" customWidth="1"/>
    <col min="110" max="111" width="9.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5" style="4" bestFit="1" customWidth="1"/>
    <col min="129" max="129" width="11.5" style="4" bestFit="1" customWidth="1"/>
    <col min="130" max="130" width="8.5" style="4" bestFit="1" customWidth="1"/>
    <col min="131" max="132" width="9.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5" style="4" bestFit="1" customWidth="1"/>
    <col min="150" max="150" width="11.5" style="4" bestFit="1" customWidth="1"/>
    <col min="151" max="151" width="8.5" style="4" bestFit="1" customWidth="1"/>
    <col min="152" max="153" width="9.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5" style="4" bestFit="1" customWidth="1"/>
    <col min="171" max="171" width="11.5" style="4" bestFit="1" customWidth="1"/>
    <col min="172" max="172" width="8.1640625" style="4" bestFit="1" customWidth="1"/>
    <col min="173" max="174" width="9.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5" style="4" bestFit="1" customWidth="1"/>
    <col min="192" max="192" width="11.5" style="4"/>
    <col min="193" max="193" width="8.5" style="4" bestFit="1" customWidth="1"/>
    <col min="194" max="195" width="9.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5" style="4" bestFit="1" customWidth="1"/>
    <col min="213" max="213" width="11.5" style="4" bestFit="1" customWidth="1"/>
    <col min="214" max="214" width="8.5" style="4" bestFit="1" customWidth="1"/>
    <col min="215" max="216" width="9.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Chêne sessile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>Charme</v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>Merisier</v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>Cormier</v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>Cormier</v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>Alisier torminal</v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>Pin laricio</v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>Séquoia toujours vert</v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/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/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1.35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4.95</v>
      </c>
      <c r="H3" s="67">
        <f>(B3+E3+F3)*44/12+(C3+D3)*0.475*44/12</f>
        <v>236.86666666666665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63.25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231.91666666666666</v>
      </c>
      <c r="S3" s="59">
        <f ca="1">AVERAGE(OFFSET($R$3,0,0,'Données projet'!$E$9+1,1))-AVERAGE(OFFSET($H$3,0,0,'Données projet'!$E$9+1,1))</f>
        <v>466.90449882701591</v>
      </c>
      <c r="T3" s="59">
        <f>IF('Données projet'!E9&gt;30,$R$33-$H$33,LOOKUP('Données projet'!$E$9,$A$3:$A$203,R3:R203)-LOOKUP('Données projet'!$E$9,$A$3:$A$203,$H$3:$H$203))</f>
        <v>283.37641704892053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63.25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231.91666666666666</v>
      </c>
      <c r="AN3" s="59">
        <f ca="1">AVERAGE(OFFSET($AM$3,0,0,'Données projet'!$E$10+1,1))-AVERAGE(OFFSET($H$3,0,0,'Données projet'!$E$10+1,1))</f>
        <v>399.5572791581468</v>
      </c>
      <c r="AO3" s="59">
        <f>IF('Données projet'!E10&gt;30,$AM$33-$H$33,LOOKUP('Données projet'!$E$10,$A$3:$A$203,AM3:AM203)-LOOKUP('Données projet'!$E$10,$A$3:$A$203,$H$3:$H$203))</f>
        <v>246.34185986079777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63.25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231.91666666666666</v>
      </c>
      <c r="BI3" s="59">
        <f ca="1">AVERAGE(OFFSET($BH$3,0,0,'Données projet'!$E$11+1,1))-AVERAGE(OFFSET($H$3,0,0,'Données projet'!$E$11+1,1))</f>
        <v>294.23449029791681</v>
      </c>
      <c r="BJ3" s="59">
        <f>IF('Données projet'!E11&gt;30,$BH$33-$H$33,LOOKUP('Données projet'!$E$11,$A$3:$A$203,BH3:BH203)-LOOKUP('Données projet'!$E$11,$A$3:$A$203,$H$3:$H$203))</f>
        <v>288.64639202306159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63.25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231.91666666666666</v>
      </c>
      <c r="CD3" s="59">
        <f ca="1">AVERAGE(OFFSET($CC$3,0,0,'Données projet'!$E$12+1,1))-AVERAGE(OFFSET($H$3,0,0,'Données projet'!$E$12+1,1))</f>
        <v>445.38112098358147</v>
      </c>
      <c r="CE3" s="59">
        <f>IF('Données projet'!E12&gt;30,$CC$33-$H$33,LOOKUP('Données projet'!$E$12,$A$3:$A$203,CC3:CC203)-LOOKUP('Données projet'!$E$12,$A$3:$A$203,$H$3:$H$203))</f>
        <v>272.45883568548516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63.25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231.91666666666666</v>
      </c>
      <c r="CY3" s="59">
        <f ca="1">AVERAGE(OFFSET($CX$3,0,0,'Données projet'!$E$13+1,1))-AVERAGE(OFFSET($H$3,0,0,'Données projet'!$E$13+1,1))</f>
        <v>445.38112098358147</v>
      </c>
      <c r="CZ3" s="59">
        <f>IF('Données projet'!E13&gt;30,$CX$33-$H$33,LOOKUP('Données projet'!$E$13,$A$3:$A$203,CX3:CX203)-LOOKUP('Données projet'!$E$13,$A$3:$A$203,$H$3:$H$203))</f>
        <v>272.45883568548516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63.25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231.91666666666666</v>
      </c>
      <c r="DT3" s="59">
        <f ca="1">AVERAGE(OFFSET($DS$3,0,0,'Données projet'!$E$14+1,1))-AVERAGE(OFFSET($H$3,0,0,'Données projet'!$E$14+1,1))</f>
        <v>405.29179902613089</v>
      </c>
      <c r="DU3" s="59">
        <f>IF('Données projet'!E14&gt;30,$DS$33-$H$33,LOOKUP('Données projet'!$E$14,$A$3:$A$203,DS3:DS203)-LOOKUP('Données projet'!$E$14,$A$3:$A$203,$H$3:$H$203))</f>
        <v>249.61049717638238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63.25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231.91666666666666</v>
      </c>
      <c r="EO3" s="59">
        <f ca="1">AVERAGE(OFFSET($EN$3,0,0,'Données projet'!$E$15+1,1))-AVERAGE(OFFSET($H$3,0,0,'Données projet'!$E$15+1,1))</f>
        <v>444.77624981561257</v>
      </c>
      <c r="EP3" s="59">
        <f>IF('Données projet'!E15&gt;30,$EN$33-$H$33,LOOKUP('Données projet'!$E$15,$A$3:$A$203,EN3:EN203)-LOOKUP('Données projet'!$E$15,$A$3:$A$203,$H$3:$H$203))</f>
        <v>382.10319641527587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63.25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231.91666666666666</v>
      </c>
      <c r="FJ3" s="59">
        <f ca="1">AVERAGE(OFFSET($FI$3,0,0,'Données projet'!$E$16+1,1))-AVERAGE(OFFSET($H$3,0,0,'Données projet'!$E$16+1,1))</f>
        <v>508.71179785154317</v>
      </c>
      <c r="FK3" s="59">
        <f>IF('Données projet'!E16&gt;30,$FI$33-$H$33,LOOKUP('Données projet'!$E$16,$A$3:$A$203,FI3:FI203)-LOOKUP('Données projet'!$E$16,$A$3:$A$203,$H$3:$H$203))</f>
        <v>422.73937290731442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63.25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63.25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1.35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4.95</v>
      </c>
      <c r="H4" s="67">
        <f t="shared" ref="H4:H67" si="1">(B4+E4+F4)*44/12+(C4+D4)*0.475*44/12</f>
        <v>236.86666666666665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63.367097409260758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3.65</v>
      </c>
      <c r="N4" s="13">
        <f>IF('Données projet'!$A$36&gt;35,N3+M4-V3,IF(A4&lt;'Données projet'!$A$36,$K$205^A4,IF(A4='Données projet'!$A$36,'Données projet'!$B$36,N3+M4-V3)))</f>
        <v>1.2392705892426346</v>
      </c>
      <c r="O4" s="13">
        <f>N4*VLOOKUP('Données projet'!$B$9,Paramètres!$A$1:$I$89,3,0)*VLOOKUP('Données projet'!$B$9,Paramètres!$A$1:$I$89,5,0)</f>
        <v>1.1212920291467359</v>
      </c>
      <c r="P4" s="13">
        <f>EXP(-1.0587+0.8836*LN(O4)+0.284)</f>
        <v>0.50989827066551541</v>
      </c>
      <c r="Q4" s="20">
        <f t="shared" ref="Q4:Q34" si="2">(O4+P4)*0.475*44/12</f>
        <v>2.8409897721730037</v>
      </c>
      <c r="R4" s="59">
        <f t="shared" si="0"/>
        <v>236.40923582835137</v>
      </c>
      <c r="S4" s="59">
        <f ca="1">AVERAGE(OFFSET($R$3,0,0,'Données projet'!$E$9+1,1))-AVERAGE(OFFSET($H$3,0,0,'Données projet'!$E$9+1,1))</f>
        <v>466.90449882701591</v>
      </c>
      <c r="T4" s="59">
        <f>$T$3</f>
        <v>283.37641704892053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63.367097409260758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2.1</v>
      </c>
      <c r="AI4" s="13">
        <f>IF('Données projet'!$A$62&gt;35,AI3+AH4-AQ3,IF(A4&lt;'Données projet'!$A$62,$AF$205^A4,IF(A4='Données projet'!$A$62,'Données projet'!$B$62,AI3+AH4-AQ3)))</f>
        <v>1.2054868146447177</v>
      </c>
      <c r="AJ4" s="13">
        <f>AI4*VLOOKUP('Données projet'!$B$10,Paramètres!$A$1:$I$89,3,0)*VLOOKUP('Données projet'!$B$10,Paramètres!$A$1:$I$89,5,0)</f>
        <v>1.1471412528159133</v>
      </c>
      <c r="AK4" s="13">
        <f>EXP(-1.0587+0.8836*LN(AJ4)+0.284)</f>
        <v>0.52027092443628509</v>
      </c>
      <c r="AL4" s="20">
        <f t="shared" ref="AL4:AL67" si="4">(AJ4+AK4)*0.475*44/12</f>
        <v>2.9040762087142453</v>
      </c>
      <c r="AM4" s="59">
        <f t="shared" ref="AM4:AM67" si="5">AL4+(AD4+AE4)*44/12</f>
        <v>236.47232226489263</v>
      </c>
      <c r="AN4" s="59">
        <f ca="1">AVERAGE(OFFSET($AM$3,0,0,'Données projet'!$E$10+1,1))-AVERAGE(OFFSET($H$3,0,0,'Données projet'!$E$10+1,1))</f>
        <v>399.5572791581468</v>
      </c>
      <c r="AO4" s="59">
        <f>$AO$3</f>
        <v>246.34185986079777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63.367097409260758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2.6666666666666665</v>
      </c>
      <c r="BD4" s="12">
        <f>IF('Données projet'!$A$88&gt;35,BD3+BC4-BL3,IF(A4&lt;'Données projet'!$A$88,$BA$205^A4,IF(A4='Données projet'!$A$88,'Données projet'!$B$88,BD3+BC4-BL3)))</f>
        <v>1.2788040393997409</v>
      </c>
      <c r="BE4" s="13">
        <f>BD4*VLOOKUP('Données projet'!$B$11,Paramètres!$A$1:$I$89,3,0)*VLOOKUP('Données projet'!$B$11,Paramètres!$A$1:$I$89,5,0)</f>
        <v>0.99746715073179792</v>
      </c>
      <c r="BF4" s="13">
        <f>EXP(-1.0587+0.8836*LN(BE4)+0.284)</f>
        <v>0.45981048445793882</v>
      </c>
      <c r="BG4" s="20">
        <f t="shared" ref="BG4:BG67" si="7">(BE4+BF4)*0.475*44/12</f>
        <v>2.5380918812887914</v>
      </c>
      <c r="BH4" s="59">
        <f t="shared" ref="BH4:BH67" si="8">BG4+(AY4+AZ4)*44/12</f>
        <v>236.10633793746715</v>
      </c>
      <c r="BI4" s="59">
        <f ca="1">AVERAGE(OFFSET($BH$3,0,0,'Données projet'!$E$11+1,1))-AVERAGE(OFFSET($H$3,0,0,'Données projet'!$E$11+1,1))</f>
        <v>294.23449029791681</v>
      </c>
      <c r="BJ4" s="59">
        <f>$BJ$3</f>
        <v>288.64639202306159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63.367097409260758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2.1</v>
      </c>
      <c r="BY4" s="12">
        <f>IF('Données projet'!$A$114&gt;35,BY3+BX4-CG3,IF(A4&lt;'Données projet'!$A$114,$BV$205^A4,IF(A4='Données projet'!$A$114,'Données projet'!$B$114,BY3+BX4-CG3)))</f>
        <v>1.2054868146447177</v>
      </c>
      <c r="BZ4" s="13">
        <f>BY4*VLOOKUP('Données projet'!$B$12,Paramètres!$A$1:$I$89,3,0)*VLOOKUP('Données projet'!$B$12,Paramètres!$A$1:$I$89,5,0)</f>
        <v>1.2975860072835741</v>
      </c>
      <c r="CA4" s="13">
        <f>EXP(-1.0587+0.8836*LN(BZ4)+0.284)</f>
        <v>0.58012177912374829</v>
      </c>
      <c r="CB4" s="20">
        <f t="shared" ref="CB4:CB67" si="10">(BZ4+CA4)*0.475*44/12</f>
        <v>3.2703410613260862</v>
      </c>
      <c r="CC4" s="59">
        <f t="shared" ref="CC4:CC67" si="11">CB4+(BT4+BU4)*44/12</f>
        <v>236.83858711750446</v>
      </c>
      <c r="CD4" s="59">
        <f ca="1">AVERAGE(OFFSET($CC$3,0,0,'Données projet'!$E$12+1,1))-AVERAGE(OFFSET($H$3,0,0,'Données projet'!$E$12+1,1))</f>
        <v>445.38112098358147</v>
      </c>
      <c r="CE4" s="59">
        <f>$CE$3</f>
        <v>272.45883568548516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63.367097409260758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2.1</v>
      </c>
      <c r="CT4" s="12">
        <f>IF('Données projet'!$A$140&gt;35,CT3+CS4-DB3,IF(A4&lt;'Données projet'!$A$140,$CQ$205^A4,IF(A4='Données projet'!$A$140,'Données projet'!$B$140,CT3+CS4-DB3)))</f>
        <v>1.2054868146447177</v>
      </c>
      <c r="CU4" s="17">
        <f>CT4*VLOOKUP('Données projet'!$B$13,Paramètres!$A$1:$I$89,3,0)*VLOOKUP('Données projet'!$B$13,Paramètres!$A$1:$I$89,5,0)</f>
        <v>1.2975860072835741</v>
      </c>
      <c r="CV4" s="13">
        <f>EXP(-1.0587+0.8836*LN(CU4)+0.284)</f>
        <v>0.58012177912374829</v>
      </c>
      <c r="CW4" s="20">
        <f t="shared" ref="CW4:CW67" si="13">(CU4+CV4)*0.475*44/12</f>
        <v>3.2703410613260862</v>
      </c>
      <c r="CX4" s="59">
        <f t="shared" ref="CX4:CX67" si="14">CW4+(CO4+CP4)*44/12</f>
        <v>236.83858711750446</v>
      </c>
      <c r="CY4" s="59">
        <f ca="1">AVERAGE(OFFSET($CX$3,0,0,'Données projet'!$E$13+1,1))-AVERAGE(OFFSET($H$3,0,0,'Données projet'!$E$13+1,1))</f>
        <v>445.38112098358147</v>
      </c>
      <c r="CZ4" s="59">
        <f>$CZ$3</f>
        <v>272.45883568548516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63.367097409260758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2.1</v>
      </c>
      <c r="DO4" s="12">
        <f>IF('Données projet'!$A$166&gt;35,DO3+DN4-DW3,IF(A4&lt;'Données projet'!$A$166,$DL$205^A4,IF(A4='Données projet'!$A$166,'Données projet'!$B$166,DO3+DN4-DW3)))</f>
        <v>1.2054868146447177</v>
      </c>
      <c r="DP4" s="17">
        <f>DO4*VLOOKUP('Données projet'!$B$14,Paramètres!$A$1:$I$89,3,0)*VLOOKUP('Données projet'!$B$14,Paramètres!$A$1:$I$89,5,0)</f>
        <v>1.165946847124371</v>
      </c>
      <c r="DQ4" s="13">
        <f>EXP(-1.0587+0.8836*LN(DP4)+0.284)</f>
        <v>0.52780002987456354</v>
      </c>
      <c r="DR4" s="20">
        <f t="shared" ref="DR4:DR67" si="16">(DP4+DQ4)*0.475*44/12</f>
        <v>2.9499424774398109</v>
      </c>
      <c r="DS4" s="59">
        <f t="shared" ref="DS4:DS67" si="17">DR4+(DJ4+DK4)*44/12</f>
        <v>236.51818853361817</v>
      </c>
      <c r="DT4" s="59">
        <f ca="1">AVERAGE(OFFSET($DS$3,0,0,'Données projet'!$E$14+1,1))-AVERAGE(OFFSET($H$3,0,0,'Données projet'!$E$14+1,1))</f>
        <v>405.29179902613089</v>
      </c>
      <c r="DU4" s="59">
        <f>$DU$3</f>
        <v>249.61049717638238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63.367097409260758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3.2373333333333334</v>
      </c>
      <c r="EJ4" s="12">
        <f>IF('Données projet'!$A$192&gt;35,EJ3+EI4-ER3,IF(A4&lt;'Données projet'!$A$192,$EG$205^A4,IF(A4='Données projet'!$A$192,'Données projet'!$B$192,EJ3+EI4-ER3)))</f>
        <v>1.2954438051451196</v>
      </c>
      <c r="EK4" s="17">
        <f>EJ4*VLOOKUP('Données projet'!$B$15,Paramètres!$A$1:$I$89,3,0)*VLOOKUP('Données projet'!$B$15,Paramètres!$A$1:$I$89,5,0)</f>
        <v>0.77467539547678155</v>
      </c>
      <c r="EL4" s="13">
        <f>EXP(-1.0587+0.8836*LN(EK4)+0.284)</f>
        <v>0.36777168287054751</v>
      </c>
      <c r="EM4" s="20">
        <f t="shared" ref="EM4:EM67" si="19">(EK4+EL4)*0.475*44/12</f>
        <v>1.9897619947882648</v>
      </c>
      <c r="EN4" s="59">
        <f t="shared" ref="EN4:EN67" si="20">EM4+(EE4+EF4)*44/12</f>
        <v>235.55800805096663</v>
      </c>
      <c r="EO4" s="59">
        <f ca="1">AVERAGE(OFFSET($EN$3,0,0,'Données projet'!$E$15+1,1))-AVERAGE(OFFSET($H$3,0,0,'Données projet'!$E$15+1,1))</f>
        <v>444.77624981561257</v>
      </c>
      <c r="EP4" s="59">
        <f>$EP$3</f>
        <v>382.10319641527587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63.367097409260758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4.5333333333333332</v>
      </c>
      <c r="FE4" s="12">
        <f>IF('Données projet'!$A$218&gt;35,FE3+FD4-FM3,IF(A4&lt;'Données projet'!$A$218,$FB$205^A4,IF(A4='Données projet'!$A$218,'Données projet'!$B$218,FE3+FD4-FM3)))</f>
        <v>1.3248516801703365</v>
      </c>
      <c r="FF4" s="17">
        <f>FE4*VLOOKUP('Données projet'!$B$16,Paramètres!$A$1:$I$89,3,0)*VLOOKUP('Données projet'!$B$16,Paramètres!$A$1:$I$89,5,0)</f>
        <v>0.58558444263528886</v>
      </c>
      <c r="FG4" s="13">
        <f>EXP(-1.0587+0.8836*LN(FF4)+0.284)</f>
        <v>0.287206439954799</v>
      </c>
      <c r="FH4" s="20">
        <f t="shared" ref="FH4:FH67" si="22">(FF4+FG4)*0.475*44/12</f>
        <v>1.5201107871777362</v>
      </c>
      <c r="FI4" s="59">
        <f t="shared" ref="FI4:FI67" si="23">FH4+(EZ4+FA4)*44/12</f>
        <v>235.08835684335611</v>
      </c>
      <c r="FJ4" s="59">
        <f ca="1">AVERAGE(OFFSET($FI$3,0,0,'Données projet'!$E$16+1,1))-AVERAGE(OFFSET($H$3,0,0,'Données projet'!$E$16+1,1))</f>
        <v>508.71179785154317</v>
      </c>
      <c r="FK4" s="59">
        <f>$FK$3</f>
        <v>422.73937290731442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63.367097409260758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63.367097409260758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1.35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4.95</v>
      </c>
      <c r="H5" s="67">
        <f t="shared" si="1"/>
        <v>236.86666666666665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63.482163440261431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3.65</v>
      </c>
      <c r="N5" s="13">
        <f>IF('Données projet'!$A$36&gt;35,N4+M5-V4,IF(A5&lt;'Données projet'!$A$36,$K$205^A5,IF(A5='Données projet'!$A$36,'Données projet'!$B$36,N4+M5-V4)))</f>
        <v>1.5357915933617867</v>
      </c>
      <c r="O5" s="13">
        <f>N5*VLOOKUP('Données projet'!$B$9,Paramètres!$A$1:$I$89,3,0)*VLOOKUP('Données projet'!$B$9,Paramètres!$A$1:$I$89,5,0)</f>
        <v>1.3895842336737447</v>
      </c>
      <c r="P5" s="13">
        <f t="shared" ref="P5:P68" si="33">EXP(-1.0587+0.8836*LN(O5)+0.284)</f>
        <v>0.61631841327304715</v>
      </c>
      <c r="Q5" s="20">
        <f t="shared" si="2"/>
        <v>3.4936137767656628</v>
      </c>
      <c r="R5" s="59">
        <f t="shared" si="0"/>
        <v>238.70599083550204</v>
      </c>
      <c r="S5" s="59">
        <f ca="1">AVERAGE(OFFSET($R$3,0,0,'Données projet'!$E$9+1,1))-AVERAGE(OFFSET($H$3,0,0,'Données projet'!$E$9+1,1))</f>
        <v>466.90449882701591</v>
      </c>
      <c r="T5" s="59">
        <f t="shared" ref="T5:T68" si="34">$T$3</f>
        <v>283.37641704892053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63.482163440261431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2.1</v>
      </c>
      <c r="AI5" s="13">
        <f>IF('Données projet'!$A$62&gt;35,AI4+AH5-AQ4,IF(A5&lt;'Données projet'!$A$62,$AF$205^A5,IF(A5='Données projet'!$A$62,'Données projet'!$B$62,AI4+AH5-AQ4)))</f>
        <v>1.4531984602822681</v>
      </c>
      <c r="AJ5" s="13">
        <f>AI5*VLOOKUP('Données projet'!$B$10,Paramètres!$A$1:$I$89,3,0)*VLOOKUP('Données projet'!$B$10,Paramètres!$A$1:$I$89,5,0)</f>
        <v>1.3828636548046063</v>
      </c>
      <c r="AK5" s="13">
        <f t="shared" ref="AK5:AK68" si="35">EXP(-1.0587+0.8836*LN(AJ5)+0.284)</f>
        <v>0.61368387142089176</v>
      </c>
      <c r="AL5" s="20">
        <f t="shared" si="4"/>
        <v>3.4773202748427425</v>
      </c>
      <c r="AM5" s="59">
        <f t="shared" si="5"/>
        <v>238.68969733357912</v>
      </c>
      <c r="AN5" s="59">
        <f ca="1">AVERAGE(OFFSET($AM$3,0,0,'Données projet'!$E$10+1,1))-AVERAGE(OFFSET($H$3,0,0,'Données projet'!$E$10+1,1))</f>
        <v>399.5572791581468</v>
      </c>
      <c r="AO5" s="59">
        <f t="shared" ref="AO5:AO68" si="36">$AO$3</f>
        <v>246.34185986079777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63.482163440261431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2.6666666666666665</v>
      </c>
      <c r="BD5" s="12">
        <f>IF('Données projet'!$A$88&gt;35,BD4+BC5-BL4,IF(A5&lt;'Données projet'!$A$88,$BA$205^A5,IF(A5='Données projet'!$A$88,'Données projet'!$B$88,BD4+BC5-BL4)))</f>
        <v>1.6353397711850939</v>
      </c>
      <c r="BE5" s="13">
        <f>BD5*VLOOKUP('Données projet'!$B$11,Paramètres!$A$1:$I$89,3,0)*VLOOKUP('Données projet'!$B$11,Paramètres!$A$1:$I$89,5,0)</f>
        <v>1.2755650215243732</v>
      </c>
      <c r="BF5" s="13">
        <f t="shared" ref="BF5:BF68" si="37">EXP(-1.0587+0.8836*LN(BE5)+0.284)</f>
        <v>0.57141400910743001</v>
      </c>
      <c r="BG5" s="20">
        <f t="shared" si="7"/>
        <v>3.2168218116837237</v>
      </c>
      <c r="BH5" s="59">
        <f t="shared" si="8"/>
        <v>238.42919887042009</v>
      </c>
      <c r="BI5" s="59">
        <f ca="1">AVERAGE(OFFSET($BH$3,0,0,'Données projet'!$E$11+1,1))-AVERAGE(OFFSET($H$3,0,0,'Données projet'!$E$11+1,1))</f>
        <v>294.23449029791681</v>
      </c>
      <c r="BJ5" s="59">
        <f t="shared" ref="BJ5:BJ68" si="38">$BJ$3</f>
        <v>288.64639202306159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63.482163440261431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2.1</v>
      </c>
      <c r="BY5" s="12">
        <f>IF('Données projet'!$A$114&gt;35,BY4+BX5-CG4,IF(A5&lt;'Données projet'!$A$114,$BV$205^A5,IF(A5='Données projet'!$A$114,'Données projet'!$B$114,BY4+BX5-CG4)))</f>
        <v>1.4531984602822681</v>
      </c>
      <c r="BZ5" s="13">
        <f>BY5*VLOOKUP('Données projet'!$B$12,Paramètres!$A$1:$I$89,3,0)*VLOOKUP('Données projet'!$B$12,Paramètres!$A$1:$I$89,5,0)</f>
        <v>1.5642228226478332</v>
      </c>
      <c r="CA5" s="13">
        <f t="shared" ref="CA5:CA68" si="39">EXP(-1.0587+0.8836*LN(BZ5)+0.284)</f>
        <v>0.68428075179095682</v>
      </c>
      <c r="CB5" s="20">
        <f t="shared" si="10"/>
        <v>3.9161437254808931</v>
      </c>
      <c r="CC5" s="59">
        <f t="shared" si="11"/>
        <v>239.12852078421724</v>
      </c>
      <c r="CD5" s="59">
        <f ca="1">AVERAGE(OFFSET($CC$3,0,0,'Données projet'!$E$12+1,1))-AVERAGE(OFFSET($H$3,0,0,'Données projet'!$E$12+1,1))</f>
        <v>445.38112098358147</v>
      </c>
      <c r="CE5" s="59">
        <f t="shared" ref="CE5:CE68" si="40">$CE$3</f>
        <v>272.45883568548516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63.482163440261431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2.1</v>
      </c>
      <c r="CT5" s="12">
        <f>IF('Données projet'!$A$140&gt;35,CT4+CS5-DB4,IF(A5&lt;'Données projet'!$A$140,$CQ$205^A5,IF(A5='Données projet'!$A$140,'Données projet'!$B$140,CT4+CS5-DB4)))</f>
        <v>1.4531984602822681</v>
      </c>
      <c r="CU5" s="17">
        <f>CT5*VLOOKUP('Données projet'!$B$13,Paramètres!$A$1:$I$89,3,0)*VLOOKUP('Données projet'!$B$13,Paramètres!$A$1:$I$89,5,0)</f>
        <v>1.5642228226478332</v>
      </c>
      <c r="CV5" s="13">
        <f t="shared" ref="CV5:CV68" si="41">EXP(-1.0587+0.8836*LN(CU5)+0.284)</f>
        <v>0.68428075179095682</v>
      </c>
      <c r="CW5" s="20">
        <f t="shared" si="13"/>
        <v>3.9161437254808931</v>
      </c>
      <c r="CX5" s="59">
        <f t="shared" si="14"/>
        <v>239.12852078421724</v>
      </c>
      <c r="CY5" s="59">
        <f ca="1">AVERAGE(OFFSET($CX$3,0,0,'Données projet'!$E$13+1,1))-AVERAGE(OFFSET($H$3,0,0,'Données projet'!$E$13+1,1))</f>
        <v>445.38112098358147</v>
      </c>
      <c r="CZ5" s="59">
        <f t="shared" ref="CZ5:CZ68" si="42">$CZ$3</f>
        <v>272.45883568548516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63.482163440261431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2.1</v>
      </c>
      <c r="DO5" s="12">
        <f>IF('Données projet'!$A$166&gt;35,DO4+DN5-DW4,IF(A5&lt;'Données projet'!$A$166,$DL$205^A5,IF(A5='Données projet'!$A$166,'Données projet'!$B$166,DO4+DN5-DW4)))</f>
        <v>1.4531984602822681</v>
      </c>
      <c r="DP5" s="17">
        <f>DO5*VLOOKUP('Données projet'!$B$14,Paramètres!$A$1:$I$89,3,0)*VLOOKUP('Données projet'!$B$14,Paramètres!$A$1:$I$89,5,0)</f>
        <v>1.4055335507850097</v>
      </c>
      <c r="DQ5" s="13">
        <f t="shared" ref="DQ5:DQ68" si="43">EXP(-1.0587+0.8836*LN(DP5)+0.284)</f>
        <v>0.62256480317525631</v>
      </c>
      <c r="DR5" s="20">
        <f t="shared" si="16"/>
        <v>3.5322712998141292</v>
      </c>
      <c r="DS5" s="59">
        <f t="shared" si="17"/>
        <v>238.74464835855051</v>
      </c>
      <c r="DT5" s="59">
        <f ca="1">AVERAGE(OFFSET($DS$3,0,0,'Données projet'!$E$14+1,1))-AVERAGE(OFFSET($H$3,0,0,'Données projet'!$E$14+1,1))</f>
        <v>405.29179902613089</v>
      </c>
      <c r="DU5" s="59">
        <f t="shared" ref="DU5:DU68" si="44">$DU$3</f>
        <v>249.61049717638238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63.482163440261431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3.2373333333333334</v>
      </c>
      <c r="EJ5" s="12">
        <f>IF('Données projet'!$A$192&gt;35,EJ4+EI5-ER4,IF(A5&lt;'Données projet'!$A$192,$EG$205^A5,IF(A5='Données projet'!$A$192,'Données projet'!$B$192,EJ4+EI5-ER4)))</f>
        <v>1.6781746522888665</v>
      </c>
      <c r="EK5" s="17">
        <f>EJ5*VLOOKUP('Données projet'!$B$15,Paramètres!$A$1:$I$89,3,0)*VLOOKUP('Données projet'!$B$15,Paramètres!$A$1:$I$89,5,0)</f>
        <v>1.0035484420687422</v>
      </c>
      <c r="EL5" s="13">
        <f t="shared" ref="EL5:EL68" si="45">EXP(-1.0587+0.8836*LN(EK5)+0.284)</f>
        <v>0.46228664047475304</v>
      </c>
      <c r="EM5" s="20">
        <f t="shared" si="19"/>
        <v>2.552996102096587</v>
      </c>
      <c r="EN5" s="59">
        <f t="shared" si="20"/>
        <v>237.76537316083295</v>
      </c>
      <c r="EO5" s="59">
        <f ca="1">AVERAGE(OFFSET($EN$3,0,0,'Données projet'!$E$15+1,1))-AVERAGE(OFFSET($H$3,0,0,'Données projet'!$E$15+1,1))</f>
        <v>444.77624981561257</v>
      </c>
      <c r="EP5" s="59">
        <f t="shared" ref="EP5:EP68" si="46">$EP$3</f>
        <v>382.10319641527587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63.482163440261431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4.5333333333333332</v>
      </c>
      <c r="FE5" s="12">
        <f>IF('Données projet'!$A$218&gt;35,FE4+FD5-FM4,IF(A5&lt;'Données projet'!$A$218,$FB$205^A5,IF(A5='Données projet'!$A$218,'Données projet'!$B$218,FE4+FD5-FM4)))</f>
        <v>1.7552319744501637</v>
      </c>
      <c r="FF5" s="17">
        <f>FE5*VLOOKUP('Données projet'!$B$16,Paramètres!$A$1:$I$89,3,0)*VLOOKUP('Données projet'!$B$16,Paramètres!$A$1:$I$89,5,0)</f>
        <v>0.77581253270697248</v>
      </c>
      <c r="FG5" s="13">
        <f t="shared" ref="FG5:FG68" si="47">EXP(-1.0587+0.8836*LN(FF5)+0.284)</f>
        <v>0.36824865173136384</v>
      </c>
      <c r="FH5" s="20">
        <f t="shared" si="22"/>
        <v>1.992573229563436</v>
      </c>
      <c r="FI5" s="59">
        <f t="shared" si="23"/>
        <v>237.20495028829981</v>
      </c>
      <c r="FJ5" s="59">
        <f ca="1">AVERAGE(OFFSET($FI$3,0,0,'Données projet'!$E$16+1,1))-AVERAGE(OFFSET($H$3,0,0,'Données projet'!$E$16+1,1))</f>
        <v>508.71179785154317</v>
      </c>
      <c r="FK5" s="59">
        <f t="shared" ref="FK5:FK68" si="48">$FK$3</f>
        <v>422.73937290731442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63.482163440261431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63.482163440261431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1.35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4.95</v>
      </c>
      <c r="H6" s="67">
        <f t="shared" si="1"/>
        <v>236.86666666666665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63.595233332873342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3.65</v>
      </c>
      <c r="N6" s="13">
        <f>IF('Données projet'!$A$36&gt;35,N5+M6-V5,IF(A6&lt;'Données projet'!$A$36,$K$205^A6,IF(A6='Données projet'!$A$36,'Données projet'!$B$36,N5+M6-V5)))</f>
        <v>1.9032613528593461</v>
      </c>
      <c r="O6" s="13">
        <f>N6*VLOOKUP('Données projet'!$B$9,Paramètres!$A$1:$I$89,3,0)*VLOOKUP('Données projet'!$B$9,Paramètres!$A$1:$I$89,5,0)</f>
        <v>1.7220708720671365</v>
      </c>
      <c r="P6" s="13">
        <f t="shared" si="33"/>
        <v>0.74494935243383209</v>
      </c>
      <c r="Q6" s="20">
        <f t="shared" si="2"/>
        <v>4.2967268910058536</v>
      </c>
      <c r="R6" s="59">
        <f t="shared" si="0"/>
        <v>241.14591577820806</v>
      </c>
      <c r="S6" s="59">
        <f ca="1">AVERAGE(OFFSET($R$3,0,0,'Données projet'!$E$9+1,1))-AVERAGE(OFFSET($H$3,0,0,'Données projet'!$E$9+1,1))</f>
        <v>466.90449882701591</v>
      </c>
      <c r="T6" s="59">
        <f t="shared" si="34"/>
        <v>283.37641704892053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63.595233332873342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2.1</v>
      </c>
      <c r="AI6" s="13">
        <f>IF('Données projet'!$A$62&gt;35,AI5+AH6-AQ5,IF(A6&lt;'Données projet'!$A$62,$AF$205^A6,IF(A6='Données projet'!$A$62,'Données projet'!$B$62,AI5+AH6-AQ5)))</f>
        <v>1.7518115829322798</v>
      </c>
      <c r="AJ6" s="13">
        <f>AI6*VLOOKUP('Données projet'!$B$10,Paramètres!$A$1:$I$89,3,0)*VLOOKUP('Données projet'!$B$10,Paramètres!$A$1:$I$89,5,0)</f>
        <v>1.6670239023183575</v>
      </c>
      <c r="AK6" s="13">
        <f t="shared" si="35"/>
        <v>0.72386880825637001</v>
      </c>
      <c r="AL6" s="20">
        <f t="shared" si="4"/>
        <v>4.1641381375843167</v>
      </c>
      <c r="AM6" s="59">
        <f t="shared" si="5"/>
        <v>241.01332702478652</v>
      </c>
      <c r="AN6" s="59">
        <f ca="1">AVERAGE(OFFSET($AM$3,0,0,'Données projet'!$E$10+1,1))-AVERAGE(OFFSET($H$3,0,0,'Données projet'!$E$10+1,1))</f>
        <v>399.5572791581468</v>
      </c>
      <c r="AO6" s="59">
        <f t="shared" si="36"/>
        <v>246.34185986079777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63.595233332873342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2.6666666666666665</v>
      </c>
      <c r="BD6" s="12">
        <f>IF('Données projet'!$A$88&gt;35,BD5+BC6-BL5,IF(A6&lt;'Données projet'!$A$88,$BA$205^A6,IF(A6='Données projet'!$A$88,'Données projet'!$B$88,BD5+BC6-BL5)))</f>
        <v>2.0912791051825459</v>
      </c>
      <c r="BE6" s="13">
        <f>BD6*VLOOKUP('Données projet'!$B$11,Paramètres!$A$1:$I$89,3,0)*VLOOKUP('Données projet'!$B$11,Paramètres!$A$1:$I$89,5,0)</f>
        <v>1.6311977020423858</v>
      </c>
      <c r="BF6" s="13">
        <f t="shared" si="37"/>
        <v>0.71010553443370616</v>
      </c>
      <c r="BG6" s="20">
        <f t="shared" si="7"/>
        <v>4.0777698035291934</v>
      </c>
      <c r="BH6" s="59">
        <f t="shared" si="8"/>
        <v>240.9269586907314</v>
      </c>
      <c r="BI6" s="59">
        <f ca="1">AVERAGE(OFFSET($BH$3,0,0,'Données projet'!$E$11+1,1))-AVERAGE(OFFSET($H$3,0,0,'Données projet'!$E$11+1,1))</f>
        <v>294.23449029791681</v>
      </c>
      <c r="BJ6" s="59">
        <f t="shared" si="38"/>
        <v>288.64639202306159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63.595233332873342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2.1</v>
      </c>
      <c r="BY6" s="12">
        <f>IF('Données projet'!$A$114&gt;35,BY5+BX6-CG5,IF(A6&lt;'Données projet'!$A$114,$BV$205^A6,IF(A6='Données projet'!$A$114,'Données projet'!$B$114,BY5+BX6-CG5)))</f>
        <v>1.7518115829322798</v>
      </c>
      <c r="BZ6" s="13">
        <f>BY6*VLOOKUP('Données projet'!$B$12,Paramètres!$A$1:$I$89,3,0)*VLOOKUP('Données projet'!$B$12,Paramètres!$A$1:$I$89,5,0)</f>
        <v>1.885649987868306</v>
      </c>
      <c r="CA6" s="13">
        <f t="shared" si="39"/>
        <v>0.8071411281590839</v>
      </c>
      <c r="CB6" s="20">
        <f t="shared" si="10"/>
        <v>4.6899445270810372</v>
      </c>
      <c r="CC6" s="59">
        <f t="shared" si="11"/>
        <v>241.53913341428324</v>
      </c>
      <c r="CD6" s="59">
        <f ca="1">AVERAGE(OFFSET($CC$3,0,0,'Données projet'!$E$12+1,1))-AVERAGE(OFFSET($H$3,0,0,'Données projet'!$E$12+1,1))</f>
        <v>445.38112098358147</v>
      </c>
      <c r="CE6" s="59">
        <f t="shared" si="40"/>
        <v>272.45883568548516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63.595233332873342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2.1</v>
      </c>
      <c r="CT6" s="12">
        <f>IF('Données projet'!$A$140&gt;35,CT5+CS6-DB5,IF(A6&lt;'Données projet'!$A$140,$CQ$205^A6,IF(A6='Données projet'!$A$140,'Données projet'!$B$140,CT5+CS6-DB5)))</f>
        <v>1.7518115829322798</v>
      </c>
      <c r="CU6" s="17">
        <f>CT6*VLOOKUP('Données projet'!$B$13,Paramètres!$A$1:$I$89,3,0)*VLOOKUP('Données projet'!$B$13,Paramètres!$A$1:$I$89,5,0)</f>
        <v>1.885649987868306</v>
      </c>
      <c r="CV6" s="13">
        <f t="shared" si="41"/>
        <v>0.8071411281590839</v>
      </c>
      <c r="CW6" s="20">
        <f t="shared" si="13"/>
        <v>4.6899445270810372</v>
      </c>
      <c r="CX6" s="59">
        <f t="shared" si="14"/>
        <v>241.53913341428324</v>
      </c>
      <c r="CY6" s="59">
        <f ca="1">AVERAGE(OFFSET($CX$3,0,0,'Données projet'!$E$13+1,1))-AVERAGE(OFFSET($H$3,0,0,'Données projet'!$E$13+1,1))</f>
        <v>445.38112098358147</v>
      </c>
      <c r="CZ6" s="59">
        <f t="shared" si="42"/>
        <v>272.45883568548516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63.595233332873342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2.1</v>
      </c>
      <c r="DO6" s="12">
        <f>IF('Données projet'!$A$166&gt;35,DO5+DN6-DW5,IF(A6&lt;'Données projet'!$A$166,$DL$205^A6,IF(A6='Données projet'!$A$166,'Données projet'!$B$166,DO5+DN6-DW5)))</f>
        <v>1.7518115829322798</v>
      </c>
      <c r="DP6" s="17">
        <f>DO6*VLOOKUP('Données projet'!$B$14,Paramètres!$A$1:$I$89,3,0)*VLOOKUP('Données projet'!$B$14,Paramètres!$A$1:$I$89,5,0)</f>
        <v>1.694352163012101</v>
      </c>
      <c r="DQ6" s="13">
        <f t="shared" si="43"/>
        <v>0.73434428233124405</v>
      </c>
      <c r="DR6" s="20">
        <f t="shared" si="16"/>
        <v>4.2299796423063247</v>
      </c>
      <c r="DS6" s="59">
        <f t="shared" si="17"/>
        <v>241.07916852950854</v>
      </c>
      <c r="DT6" s="59">
        <f ca="1">AVERAGE(OFFSET($DS$3,0,0,'Données projet'!$E$14+1,1))-AVERAGE(OFFSET($H$3,0,0,'Données projet'!$E$14+1,1))</f>
        <v>405.29179902613089</v>
      </c>
      <c r="DU6" s="59">
        <f t="shared" si="44"/>
        <v>249.61049717638238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63.595233332873342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3.2373333333333334</v>
      </c>
      <c r="EJ6" s="12">
        <f>IF('Données projet'!$A$192&gt;35,EJ5+EI6-ER5,IF(A6&lt;'Données projet'!$A$192,$EG$205^A6,IF(A6='Données projet'!$A$192,'Données projet'!$B$192,EJ5+EI6-ER5)))</f>
        <v>2.1739809572591771</v>
      </c>
      <c r="EK6" s="17">
        <f>EJ6*VLOOKUP('Données projet'!$B$15,Paramètres!$A$1:$I$89,3,0)*VLOOKUP('Données projet'!$B$15,Paramètres!$A$1:$I$89,5,0)</f>
        <v>1.300040612440988</v>
      </c>
      <c r="EL6" s="13">
        <f t="shared" si="45"/>
        <v>0.58109133442081051</v>
      </c>
      <c r="EM6" s="20">
        <f t="shared" si="19"/>
        <v>3.2763048074509658</v>
      </c>
      <c r="EN6" s="59">
        <f t="shared" si="20"/>
        <v>240.12549369465319</v>
      </c>
      <c r="EO6" s="59">
        <f ca="1">AVERAGE(OFFSET($EN$3,0,0,'Données projet'!$E$15+1,1))-AVERAGE(OFFSET($H$3,0,0,'Données projet'!$E$15+1,1))</f>
        <v>444.77624981561257</v>
      </c>
      <c r="EP6" s="59">
        <f t="shared" si="46"/>
        <v>382.10319641527587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63.595233332873342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4.5333333333333332</v>
      </c>
      <c r="FE6" s="12">
        <f>IF('Données projet'!$A$218&gt;35,FE5+FD6-FM5,IF(A6&lt;'Données projet'!$A$218,$FB$205^A6,IF(A6='Données projet'!$A$218,'Données projet'!$B$218,FE5+FD6-FM5)))</f>
        <v>2.3254220304389963</v>
      </c>
      <c r="FF6" s="17">
        <f>FE6*VLOOKUP('Données projet'!$B$16,Paramètres!$A$1:$I$89,3,0)*VLOOKUP('Données projet'!$B$16,Paramètres!$A$1:$I$89,5,0)</f>
        <v>1.0278365374540366</v>
      </c>
      <c r="FG6" s="13">
        <f t="shared" si="47"/>
        <v>0.47215887472199208</v>
      </c>
      <c r="FH6" s="20">
        <f t="shared" si="22"/>
        <v>2.6124920095399164</v>
      </c>
      <c r="FI6" s="59">
        <f t="shared" si="23"/>
        <v>239.46168089674214</v>
      </c>
      <c r="FJ6" s="59">
        <f ca="1">AVERAGE(OFFSET($FI$3,0,0,'Données projet'!$E$16+1,1))-AVERAGE(OFFSET($H$3,0,0,'Données projet'!$E$16+1,1))</f>
        <v>508.71179785154317</v>
      </c>
      <c r="FK6" s="59">
        <f t="shared" si="48"/>
        <v>422.73937290731442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63.595233332873342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63.595233332873342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1.35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4.95</v>
      </c>
      <c r="H7" s="67">
        <f t="shared" si="1"/>
        <v>236.86666666666665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63.706341715634849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3.65</v>
      </c>
      <c r="N7" s="13">
        <f>IF('Données projet'!$A$36&gt;35,N6+M7-V6,IF(A7&lt;'Données projet'!$A$36,$K$205^A7,IF(A7='Données projet'!$A$36,'Données projet'!$B$36,N6+M7-V6)))</f>
        <v>2.3586558182407358</v>
      </c>
      <c r="O7" s="13">
        <f>N7*VLOOKUP('Données projet'!$B$9,Paramètres!$A$1:$I$89,3,0)*VLOOKUP('Données projet'!$B$9,Paramètres!$A$1:$I$89,5,0)</f>
        <v>2.1341117843442179</v>
      </c>
      <c r="P7" s="13">
        <f t="shared" si="33"/>
        <v>0.90042667189585779</v>
      </c>
      <c r="Q7" s="20">
        <f t="shared" si="2"/>
        <v>5.2851544779514645</v>
      </c>
      <c r="R7" s="59">
        <f t="shared" si="0"/>
        <v>243.76396299083478</v>
      </c>
      <c r="S7" s="59">
        <f ca="1">AVERAGE(OFFSET($R$3,0,0,'Données projet'!$E$9+1,1))-AVERAGE(OFFSET($H$3,0,0,'Données projet'!$E$9+1,1))</f>
        <v>466.90449882701591</v>
      </c>
      <c r="T7" s="59">
        <f t="shared" si="34"/>
        <v>283.37641704892053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63.706341715634849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2.1</v>
      </c>
      <c r="AI7" s="13">
        <f>IF('Données projet'!$A$62&gt;35,AI6+AH7-AQ6,IF(A7&lt;'Données projet'!$A$62,$AF$205^A7,IF(A7='Données projet'!$A$62,'Données projet'!$B$62,AI6+AH7-AQ6)))</f>
        <v>2.1117857649667546</v>
      </c>
      <c r="AJ7" s="13">
        <f>AI7*VLOOKUP('Données projet'!$B$10,Paramètres!$A$1:$I$89,3,0)*VLOOKUP('Données projet'!$B$10,Paramètres!$A$1:$I$89,5,0)</f>
        <v>2.0095753339423639</v>
      </c>
      <c r="AK7" s="13">
        <f t="shared" si="35"/>
        <v>0.85383709099815042</v>
      </c>
      <c r="AL7" s="20">
        <f t="shared" si="4"/>
        <v>4.9871099734380619</v>
      </c>
      <c r="AM7" s="59">
        <f t="shared" si="5"/>
        <v>243.46591848632139</v>
      </c>
      <c r="AN7" s="59">
        <f ca="1">AVERAGE(OFFSET($AM$3,0,0,'Données projet'!$E$10+1,1))-AVERAGE(OFFSET($H$3,0,0,'Données projet'!$E$10+1,1))</f>
        <v>399.5572791581468</v>
      </c>
      <c r="AO7" s="59">
        <f t="shared" si="36"/>
        <v>246.34185986079777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63.706341715634849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2.6666666666666665</v>
      </c>
      <c r="BD7" s="12">
        <f>IF('Données projet'!$A$88&gt;35,BD6+BC7-BL6,IF(A7&lt;'Données projet'!$A$88,$BA$205^A7,IF(A7='Données projet'!$A$88,'Données projet'!$B$88,BD6+BC7-BL6)))</f>
        <v>2.6743361672197152</v>
      </c>
      <c r="BE7" s="13">
        <f>BD7*VLOOKUP('Données projet'!$B$11,Paramètres!$A$1:$I$89,3,0)*VLOOKUP('Données projet'!$B$11,Paramètres!$A$1:$I$89,5,0)</f>
        <v>2.0859822104313781</v>
      </c>
      <c r="BF7" s="13">
        <f t="shared" si="37"/>
        <v>0.88245976121767966</v>
      </c>
      <c r="BG7" s="20">
        <f t="shared" si="7"/>
        <v>5.1700364339554419</v>
      </c>
      <c r="BH7" s="59">
        <f t="shared" si="8"/>
        <v>243.64884494683875</v>
      </c>
      <c r="BI7" s="59">
        <f ca="1">AVERAGE(OFFSET($BH$3,0,0,'Données projet'!$E$11+1,1))-AVERAGE(OFFSET($H$3,0,0,'Données projet'!$E$11+1,1))</f>
        <v>294.23449029791681</v>
      </c>
      <c r="BJ7" s="59">
        <f t="shared" si="38"/>
        <v>288.64639202306159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63.706341715634849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2.1</v>
      </c>
      <c r="BY7" s="12">
        <f>IF('Données projet'!$A$114&gt;35,BY6+BX7-CG6,IF(A7&lt;'Données projet'!$A$114,$BV$205^A7,IF(A7='Données projet'!$A$114,'Données projet'!$B$114,BY6+BX7-CG6)))</f>
        <v>2.1117857649667546</v>
      </c>
      <c r="BZ7" s="13">
        <f>BY7*VLOOKUP('Données projet'!$B$12,Paramètres!$A$1:$I$89,3,0)*VLOOKUP('Données projet'!$B$12,Paramètres!$A$1:$I$89,5,0)</f>
        <v>2.2731261974102144</v>
      </c>
      <c r="CA7" s="13">
        <f t="shared" si="39"/>
        <v>0.95206068424520052</v>
      </c>
      <c r="CB7" s="20">
        <f t="shared" si="10"/>
        <v>5.617200485549847</v>
      </c>
      <c r="CC7" s="59">
        <f t="shared" si="11"/>
        <v>244.09600899843318</v>
      </c>
      <c r="CD7" s="59">
        <f ca="1">AVERAGE(OFFSET($CC$3,0,0,'Données projet'!$E$12+1,1))-AVERAGE(OFFSET($H$3,0,0,'Données projet'!$E$12+1,1))</f>
        <v>445.38112098358147</v>
      </c>
      <c r="CE7" s="59">
        <f t="shared" si="40"/>
        <v>272.45883568548516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63.706341715634849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2.1</v>
      </c>
      <c r="CT7" s="12">
        <f>IF('Données projet'!$A$140&gt;35,CT6+CS7-DB6,IF(A7&lt;'Données projet'!$A$140,$CQ$205^A7,IF(A7='Données projet'!$A$140,'Données projet'!$B$140,CT6+CS7-DB6)))</f>
        <v>2.1117857649667546</v>
      </c>
      <c r="CU7" s="17">
        <f>CT7*VLOOKUP('Données projet'!$B$13,Paramètres!$A$1:$I$89,3,0)*VLOOKUP('Données projet'!$B$13,Paramètres!$A$1:$I$89,5,0)</f>
        <v>2.2731261974102144</v>
      </c>
      <c r="CV7" s="13">
        <f t="shared" si="41"/>
        <v>0.95206068424520052</v>
      </c>
      <c r="CW7" s="20">
        <f t="shared" si="13"/>
        <v>5.617200485549847</v>
      </c>
      <c r="CX7" s="59">
        <f t="shared" si="14"/>
        <v>244.09600899843318</v>
      </c>
      <c r="CY7" s="59">
        <f ca="1">AVERAGE(OFFSET($CX$3,0,0,'Données projet'!$E$13+1,1))-AVERAGE(OFFSET($H$3,0,0,'Données projet'!$E$13+1,1))</f>
        <v>445.38112098358147</v>
      </c>
      <c r="CZ7" s="59">
        <f t="shared" si="42"/>
        <v>272.45883568548516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63.706341715634849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2.1</v>
      </c>
      <c r="DO7" s="12">
        <f>IF('Données projet'!$A$166&gt;35,DO6+DN7-DW6,IF(A7&lt;'Données projet'!$A$166,$DL$205^A7,IF(A7='Données projet'!$A$166,'Données projet'!$B$166,DO6+DN7-DW6)))</f>
        <v>2.1117857649667546</v>
      </c>
      <c r="DP7" s="17">
        <f>DO7*VLOOKUP('Données projet'!$B$14,Paramètres!$A$1:$I$89,3,0)*VLOOKUP('Données projet'!$B$14,Paramètres!$A$1:$I$89,5,0)</f>
        <v>2.042519191875845</v>
      </c>
      <c r="DQ7" s="13">
        <f t="shared" si="43"/>
        <v>0.86619340226463792</v>
      </c>
      <c r="DR7" s="20">
        <f t="shared" si="16"/>
        <v>5.0660077681280073</v>
      </c>
      <c r="DS7" s="59">
        <f t="shared" si="17"/>
        <v>243.54481628101132</v>
      </c>
      <c r="DT7" s="59">
        <f ca="1">AVERAGE(OFFSET($DS$3,0,0,'Données projet'!$E$14+1,1))-AVERAGE(OFFSET($H$3,0,0,'Données projet'!$E$14+1,1))</f>
        <v>405.29179902613089</v>
      </c>
      <c r="DU7" s="59">
        <f t="shared" si="44"/>
        <v>249.61049717638238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63.706341715634849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3.2373333333333334</v>
      </c>
      <c r="EJ7" s="12">
        <f>IF('Données projet'!$A$192&gt;35,EJ6+EI7-ER6,IF(A7&lt;'Données projet'!$A$192,$EG$205^A7,IF(A7='Données projet'!$A$192,'Données projet'!$B$192,EJ6+EI7-ER6)))</f>
        <v>2.8162701635848579</v>
      </c>
      <c r="EK7" s="17">
        <f>EJ7*VLOOKUP('Données projet'!$B$15,Paramètres!$A$1:$I$89,3,0)*VLOOKUP('Données projet'!$B$15,Paramètres!$A$1:$I$89,5,0)</f>
        <v>1.6841295578237452</v>
      </c>
      <c r="EL7" s="13">
        <f t="shared" si="45"/>
        <v>0.73042807075753979</v>
      </c>
      <c r="EM7" s="20">
        <f t="shared" si="19"/>
        <v>4.2053545364457383</v>
      </c>
      <c r="EN7" s="59">
        <f t="shared" si="20"/>
        <v>242.68416304932904</v>
      </c>
      <c r="EO7" s="59">
        <f ca="1">AVERAGE(OFFSET($EN$3,0,0,'Données projet'!$E$15+1,1))-AVERAGE(OFFSET($H$3,0,0,'Données projet'!$E$15+1,1))</f>
        <v>444.77624981561257</v>
      </c>
      <c r="EP7" s="59">
        <f t="shared" si="46"/>
        <v>382.10319641527587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63.706341715634849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4.5333333333333332</v>
      </c>
      <c r="FE7" s="12">
        <f>IF('Données projet'!$A$218&gt;35,FE6+FD7-FM6,IF(A7&lt;'Données projet'!$A$218,$FB$205^A7,IF(A7='Données projet'!$A$218,'Données projet'!$B$218,FE6+FD7-FM6)))</f>
        <v>3.0808392841322201</v>
      </c>
      <c r="FF7" s="17">
        <f>FE7*VLOOKUP('Données projet'!$B$16,Paramètres!$A$1:$I$89,3,0)*VLOOKUP('Données projet'!$B$16,Paramètres!$A$1:$I$89,5,0)</f>
        <v>1.3617309635864414</v>
      </c>
      <c r="FG7" s="13">
        <f t="shared" si="47"/>
        <v>0.60538986885787016</v>
      </c>
      <c r="FH7" s="20">
        <f t="shared" si="22"/>
        <v>3.426068783173843</v>
      </c>
      <c r="FI7" s="59">
        <f t="shared" si="23"/>
        <v>241.90487729605715</v>
      </c>
      <c r="FJ7" s="59">
        <f ca="1">AVERAGE(OFFSET($FI$3,0,0,'Données projet'!$E$16+1,1))-AVERAGE(OFFSET($H$3,0,0,'Données projet'!$E$16+1,1))</f>
        <v>508.71179785154317</v>
      </c>
      <c r="FK7" s="59">
        <f t="shared" si="48"/>
        <v>422.73937290731442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63.706341715634849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63.706341715634849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1.35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4.95</v>
      </c>
      <c r="H8" s="67">
        <f t="shared" si="1"/>
        <v>236.86666666666665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63.815522616356581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3.65</v>
      </c>
      <c r="N8" s="13">
        <f>IF('Données projet'!$A$36&gt;35,N7+M8-V7,IF(A8&lt;'Données projet'!$A$36,$K$205^A8,IF(A8='Données projet'!$A$36,'Données projet'!$B$36,N7+M8-V7)))</f>
        <v>2.9230127856917649</v>
      </c>
      <c r="O8" s="13">
        <f>N8*VLOOKUP('Données projet'!$B$9,Paramètres!$A$1:$I$89,3,0)*VLOOKUP('Données projet'!$B$9,Paramètres!$A$1:$I$89,5,0)</f>
        <v>2.6447419684939089</v>
      </c>
      <c r="P8" s="13">
        <f t="shared" si="33"/>
        <v>1.0883534414958294</v>
      </c>
      <c r="Q8" s="20">
        <f t="shared" si="2"/>
        <v>6.5018078390654601</v>
      </c>
      <c r="R8" s="59">
        <f t="shared" si="0"/>
        <v>246.60316854348403</v>
      </c>
      <c r="S8" s="59">
        <f ca="1">AVERAGE(OFFSET($R$3,0,0,'Données projet'!$E$9+1,1))-AVERAGE(OFFSET($H$3,0,0,'Données projet'!$E$9+1,1))</f>
        <v>466.90449882701591</v>
      </c>
      <c r="T8" s="59">
        <f t="shared" si="34"/>
        <v>283.37641704892053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63.815522616356581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2.1</v>
      </c>
      <c r="AI8" s="13">
        <f>IF('Données projet'!$A$62&gt;35,AI7+AH8-AQ7,IF(A8&lt;'Données projet'!$A$62,$AF$205^A8,IF(A8='Données projet'!$A$62,'Données projet'!$B$62,AI7+AH8-AQ7)))</f>
        <v>2.5457298950218314</v>
      </c>
      <c r="AJ8" s="13">
        <f>AI8*VLOOKUP('Données projet'!$B$10,Paramètres!$A$1:$I$89,3,0)*VLOOKUP('Données projet'!$B$10,Paramètres!$A$1:$I$89,5,0)</f>
        <v>2.4225165681027749</v>
      </c>
      <c r="AK8" s="13">
        <f t="shared" si="35"/>
        <v>1.0071407548562075</v>
      </c>
      <c r="AL8" s="20">
        <f t="shared" si="4"/>
        <v>5.9733198374868941</v>
      </c>
      <c r="AM8" s="59">
        <f t="shared" si="5"/>
        <v>246.07468054190545</v>
      </c>
      <c r="AN8" s="59">
        <f ca="1">AVERAGE(OFFSET($AM$3,0,0,'Données projet'!$E$10+1,1))-AVERAGE(OFFSET($H$3,0,0,'Données projet'!$E$10+1,1))</f>
        <v>399.5572791581468</v>
      </c>
      <c r="AO8" s="59">
        <f t="shared" si="36"/>
        <v>246.34185986079777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63.815522616356581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2.6666666666666665</v>
      </c>
      <c r="BD8" s="12">
        <f>IF('Données projet'!$A$88&gt;35,BD7+BC8-BL7,IF(A8&lt;'Données projet'!$A$88,$BA$205^A8,IF(A8='Données projet'!$A$88,'Données projet'!$B$88,BD7+BC8-BL7)))</f>
        <v>3.4199518933533928</v>
      </c>
      <c r="BE8" s="13">
        <f>BD8*VLOOKUP('Données projet'!$B$11,Paramètres!$A$1:$I$89,3,0)*VLOOKUP('Données projet'!$B$11,Paramètres!$A$1:$I$89,5,0)</f>
        <v>2.6675624768156463</v>
      </c>
      <c r="BF8" s="13">
        <f t="shared" si="37"/>
        <v>1.0966471776471767</v>
      </c>
      <c r="BG8" s="20">
        <f t="shared" si="7"/>
        <v>6.5559984815227494</v>
      </c>
      <c r="BH8" s="59">
        <f t="shared" si="8"/>
        <v>246.65735918594132</v>
      </c>
      <c r="BI8" s="59">
        <f ca="1">AVERAGE(OFFSET($BH$3,0,0,'Données projet'!$E$11+1,1))-AVERAGE(OFFSET($H$3,0,0,'Données projet'!$E$11+1,1))</f>
        <v>294.23449029791681</v>
      </c>
      <c r="BJ8" s="59">
        <f t="shared" si="38"/>
        <v>288.64639202306159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63.815522616356581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2.1</v>
      </c>
      <c r="BY8" s="12">
        <f>IF('Données projet'!$A$114&gt;35,BY7+BX8-CG7,IF(A8&lt;'Données projet'!$A$114,$BV$205^A8,IF(A8='Données projet'!$A$114,'Données projet'!$B$114,BY7+BX8-CG7)))</f>
        <v>2.5457298950218314</v>
      </c>
      <c r="BZ8" s="13">
        <f>BY8*VLOOKUP('Données projet'!$B$12,Paramètres!$A$1:$I$89,3,0)*VLOOKUP('Données projet'!$B$12,Paramètres!$A$1:$I$89,5,0)</f>
        <v>2.740223659001499</v>
      </c>
      <c r="CA8" s="13">
        <f t="shared" si="39"/>
        <v>1.1230000737947632</v>
      </c>
      <c r="CB8" s="20">
        <f t="shared" si="10"/>
        <v>6.7284480012868242</v>
      </c>
      <c r="CC8" s="59">
        <f t="shared" si="11"/>
        <v>246.8298087057054</v>
      </c>
      <c r="CD8" s="59">
        <f ca="1">AVERAGE(OFFSET($CC$3,0,0,'Données projet'!$E$12+1,1))-AVERAGE(OFFSET($H$3,0,0,'Données projet'!$E$12+1,1))</f>
        <v>445.38112098358147</v>
      </c>
      <c r="CE8" s="59">
        <f t="shared" si="40"/>
        <v>272.45883568548516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63.815522616356581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2.1</v>
      </c>
      <c r="CT8" s="12">
        <f>IF('Données projet'!$A$140&gt;35,CT7+CS8-DB7,IF(A8&lt;'Données projet'!$A$140,$CQ$205^A8,IF(A8='Données projet'!$A$140,'Données projet'!$B$140,CT7+CS8-DB7)))</f>
        <v>2.5457298950218314</v>
      </c>
      <c r="CU8" s="17">
        <f>CT8*VLOOKUP('Données projet'!$B$13,Paramètres!$A$1:$I$89,3,0)*VLOOKUP('Données projet'!$B$13,Paramètres!$A$1:$I$89,5,0)</f>
        <v>2.740223659001499</v>
      </c>
      <c r="CV8" s="13">
        <f t="shared" si="41"/>
        <v>1.1230000737947632</v>
      </c>
      <c r="CW8" s="20">
        <f t="shared" si="13"/>
        <v>6.7284480012868242</v>
      </c>
      <c r="CX8" s="59">
        <f t="shared" si="14"/>
        <v>246.8298087057054</v>
      </c>
      <c r="CY8" s="59">
        <f ca="1">AVERAGE(OFFSET($CX$3,0,0,'Données projet'!$E$13+1,1))-AVERAGE(OFFSET($H$3,0,0,'Données projet'!$E$13+1,1))</f>
        <v>445.38112098358147</v>
      </c>
      <c r="CZ8" s="59">
        <f t="shared" si="42"/>
        <v>272.45883568548516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63.815522616356581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2.1</v>
      </c>
      <c r="DO8" s="12">
        <f>IF('Données projet'!$A$166&gt;35,DO7+DN8-DW7,IF(A8&lt;'Données projet'!$A$166,$DL$205^A8,IF(A8='Données projet'!$A$166,'Données projet'!$B$166,DO7+DN8-DW7)))</f>
        <v>2.5457298950218314</v>
      </c>
      <c r="DP8" s="17">
        <f>DO8*VLOOKUP('Données projet'!$B$14,Paramètres!$A$1:$I$89,3,0)*VLOOKUP('Données projet'!$B$14,Paramètres!$A$1:$I$89,5,0)</f>
        <v>2.4622299544651152</v>
      </c>
      <c r="DQ8" s="13">
        <f t="shared" si="43"/>
        <v>1.021715601495419</v>
      </c>
      <c r="DR8" s="20">
        <f t="shared" si="16"/>
        <v>6.0678718432979295</v>
      </c>
      <c r="DS8" s="59">
        <f t="shared" si="17"/>
        <v>246.16923254771649</v>
      </c>
      <c r="DT8" s="59">
        <f ca="1">AVERAGE(OFFSET($DS$3,0,0,'Données projet'!$E$14+1,1))-AVERAGE(OFFSET($H$3,0,0,'Données projet'!$E$14+1,1))</f>
        <v>405.29179902613089</v>
      </c>
      <c r="DU8" s="59">
        <f t="shared" si="44"/>
        <v>249.61049717638238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63.815522616356581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3.2373333333333334</v>
      </c>
      <c r="EJ8" s="12">
        <f>IF('Données projet'!$A$192&gt;35,EJ7+EI8-ER7,IF(A8&lt;'Données projet'!$A$192,$EG$205^A8,IF(A8='Données projet'!$A$192,'Données projet'!$B$192,EJ7+EI8-ER7)))</f>
        <v>3.648319737031037</v>
      </c>
      <c r="EK8" s="17">
        <f>EJ8*VLOOKUP('Données projet'!$B$15,Paramètres!$A$1:$I$89,3,0)*VLOOKUP('Données projet'!$B$15,Paramètres!$A$1:$I$89,5,0)</f>
        <v>2.1816952027445602</v>
      </c>
      <c r="EL8" s="13">
        <f t="shared" si="45"/>
        <v>0.91814338804821549</v>
      </c>
      <c r="EM8" s="20">
        <f t="shared" si="19"/>
        <v>5.3988855456307512</v>
      </c>
      <c r="EN8" s="59">
        <f t="shared" si="20"/>
        <v>245.50024625004932</v>
      </c>
      <c r="EO8" s="59">
        <f ca="1">AVERAGE(OFFSET($EN$3,0,0,'Données projet'!$E$15+1,1))-AVERAGE(OFFSET($H$3,0,0,'Données projet'!$E$15+1,1))</f>
        <v>444.77624981561257</v>
      </c>
      <c r="EP8" s="59">
        <f t="shared" si="46"/>
        <v>382.10319641527587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63.815522616356581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4.5333333333333332</v>
      </c>
      <c r="FE8" s="12">
        <f>IF('Données projet'!$A$218&gt;35,FE7+FD8-FM7,IF(A8&lt;'Données projet'!$A$218,$FB$205^A8,IF(A8='Données projet'!$A$218,'Données projet'!$B$218,FE7+FD8-FM7)))</f>
        <v>4.0816551019173488</v>
      </c>
      <c r="FF8" s="17">
        <f>FE8*VLOOKUP('Données projet'!$B$16,Paramètres!$A$1:$I$89,3,0)*VLOOKUP('Données projet'!$B$16,Paramètres!$A$1:$I$89,5,0)</f>
        <v>1.8040915550474683</v>
      </c>
      <c r="FG8" s="13">
        <f t="shared" si="47"/>
        <v>0.77621519564054209</v>
      </c>
      <c r="FH8" s="20">
        <f t="shared" si="22"/>
        <v>4.494034257448285</v>
      </c>
      <c r="FI8" s="59">
        <f t="shared" si="23"/>
        <v>244.59539496186684</v>
      </c>
      <c r="FJ8" s="59">
        <f ca="1">AVERAGE(OFFSET($FI$3,0,0,'Données projet'!$E$16+1,1))-AVERAGE(OFFSET($H$3,0,0,'Données projet'!$E$16+1,1))</f>
        <v>508.71179785154317</v>
      </c>
      <c r="FK8" s="59">
        <f t="shared" si="48"/>
        <v>422.73937290731442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63.815522616356581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63.815522616356581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1.35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4.95</v>
      </c>
      <c r="H9" s="67">
        <f t="shared" si="1"/>
        <v>236.86666666666665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63.92280947254271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3.65</v>
      </c>
      <c r="N9" s="13">
        <f>IF('Données projet'!$A$36&gt;35,N8+M9-V8,IF(A9&lt;'Données projet'!$A$36,$K$205^A9,IF(A9='Données projet'!$A$36,'Données projet'!$B$36,N8+M9-V8)))</f>
        <v>3.6224037772879885</v>
      </c>
      <c r="O9" s="13">
        <f>N9*VLOOKUP('Données projet'!$B$9,Paramètres!$A$1:$I$89,3,0)*VLOOKUP('Données projet'!$B$9,Paramètres!$A$1:$I$89,5,0)</f>
        <v>3.2775509376901719</v>
      </c>
      <c r="P9" s="13">
        <f t="shared" si="33"/>
        <v>1.315502139804245</v>
      </c>
      <c r="Q9" s="20">
        <f t="shared" si="2"/>
        <v>7.9995674433027766</v>
      </c>
      <c r="R9" s="59">
        <f t="shared" si="0"/>
        <v>249.7165355092927</v>
      </c>
      <c r="S9" s="59">
        <f ca="1">AVERAGE(OFFSET($R$3,0,0,'Données projet'!$E$9+1,1))-AVERAGE(OFFSET($H$3,0,0,'Données projet'!$E$9+1,1))</f>
        <v>466.90449882701591</v>
      </c>
      <c r="T9" s="59">
        <f t="shared" si="34"/>
        <v>283.37641704892053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63.92280947254271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2.1</v>
      </c>
      <c r="AI9" s="13">
        <f>IF('Données projet'!$A$62&gt;35,AI8+AH9-AQ8,IF(A9&lt;'Données projet'!$A$62,$AF$205^A9,IF(A9='Données projet'!$A$62,'Données projet'!$B$62,AI8+AH9-AQ8)))</f>
        <v>3.0688438220956993</v>
      </c>
      <c r="AJ9" s="13">
        <f>AI9*VLOOKUP('Données projet'!$B$10,Paramètres!$A$1:$I$89,3,0)*VLOOKUP('Données projet'!$B$10,Paramètres!$A$1:$I$89,5,0)</f>
        <v>2.9203117811062675</v>
      </c>
      <c r="AK9" s="13">
        <f t="shared" si="35"/>
        <v>1.1879695913731732</v>
      </c>
      <c r="AL9" s="20">
        <f t="shared" si="4"/>
        <v>7.1552567237350262</v>
      </c>
      <c r="AM9" s="59">
        <f t="shared" si="5"/>
        <v>248.87222478972495</v>
      </c>
      <c r="AN9" s="59">
        <f ca="1">AVERAGE(OFFSET($AM$3,0,0,'Données projet'!$E$10+1,1))-AVERAGE(OFFSET($H$3,0,0,'Données projet'!$E$10+1,1))</f>
        <v>399.5572791581468</v>
      </c>
      <c r="AO9" s="59">
        <f t="shared" si="36"/>
        <v>246.34185986079777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63.92280947254271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2.6666666666666665</v>
      </c>
      <c r="BD9" s="12">
        <f>IF('Données projet'!$A$88&gt;35,BD8+BC9-BL8,IF(A9&lt;'Données projet'!$A$88,$BA$205^A9,IF(A9='Données projet'!$A$88,'Données projet'!$B$88,BD8+BC9-BL8)))</f>
        <v>4.3734482957731098</v>
      </c>
      <c r="BE9" s="13">
        <f>BD9*VLOOKUP('Données projet'!$B$11,Paramètres!$A$1:$I$89,3,0)*VLOOKUP('Données projet'!$B$11,Paramètres!$A$1:$I$89,5,0)</f>
        <v>3.4112896707030256</v>
      </c>
      <c r="BF9" s="13">
        <f t="shared" si="37"/>
        <v>1.3628213830192535</v>
      </c>
      <c r="BG9" s="20">
        <f t="shared" si="7"/>
        <v>8.3149100852329703</v>
      </c>
      <c r="BH9" s="59">
        <f t="shared" si="8"/>
        <v>250.03187815122291</v>
      </c>
      <c r="BI9" s="59">
        <f ca="1">AVERAGE(OFFSET($BH$3,0,0,'Données projet'!$E$11+1,1))-AVERAGE(OFFSET($H$3,0,0,'Données projet'!$E$11+1,1))</f>
        <v>294.23449029791681</v>
      </c>
      <c r="BJ9" s="59">
        <f t="shared" si="38"/>
        <v>288.64639202306159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63.92280947254271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2.1</v>
      </c>
      <c r="BY9" s="12">
        <f>IF('Données projet'!$A$114&gt;35,BY8+BX9-CG8,IF(A9&lt;'Données projet'!$A$114,$BV$205^A9,IF(A9='Données projet'!$A$114,'Données projet'!$B$114,BY8+BX9-CG8)))</f>
        <v>3.0688438220956993</v>
      </c>
      <c r="BZ9" s="13">
        <f>BY9*VLOOKUP('Données projet'!$B$12,Paramètres!$A$1:$I$89,3,0)*VLOOKUP('Données projet'!$B$12,Paramètres!$A$1:$I$89,5,0)</f>
        <v>3.3033034901038101</v>
      </c>
      <c r="CA9" s="13">
        <f t="shared" si="39"/>
        <v>1.3246310730107231</v>
      </c>
      <c r="CB9" s="20">
        <f t="shared" si="10"/>
        <v>8.0603193640911446</v>
      </c>
      <c r="CC9" s="59">
        <f t="shared" si="11"/>
        <v>249.77728743008109</v>
      </c>
      <c r="CD9" s="59">
        <f ca="1">AVERAGE(OFFSET($CC$3,0,0,'Données projet'!$E$12+1,1))-AVERAGE(OFFSET($H$3,0,0,'Données projet'!$E$12+1,1))</f>
        <v>445.38112098358147</v>
      </c>
      <c r="CE9" s="59">
        <f t="shared" si="40"/>
        <v>272.45883568548516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63.92280947254271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2.1</v>
      </c>
      <c r="CT9" s="12">
        <f>IF('Données projet'!$A$140&gt;35,CT8+CS9-DB8,IF(A9&lt;'Données projet'!$A$140,$CQ$205^A9,IF(A9='Données projet'!$A$140,'Données projet'!$B$140,CT8+CS9-DB8)))</f>
        <v>3.0688438220956993</v>
      </c>
      <c r="CU9" s="17">
        <f>CT9*VLOOKUP('Données projet'!$B$13,Paramètres!$A$1:$I$89,3,0)*VLOOKUP('Données projet'!$B$13,Paramètres!$A$1:$I$89,5,0)</f>
        <v>3.3033034901038101</v>
      </c>
      <c r="CV9" s="13">
        <f t="shared" si="41"/>
        <v>1.3246310730107231</v>
      </c>
      <c r="CW9" s="20">
        <f t="shared" si="13"/>
        <v>8.0603193640911446</v>
      </c>
      <c r="CX9" s="59">
        <f t="shared" si="14"/>
        <v>249.77728743008109</v>
      </c>
      <c r="CY9" s="59">
        <f ca="1">AVERAGE(OFFSET($CX$3,0,0,'Données projet'!$E$13+1,1))-AVERAGE(OFFSET($H$3,0,0,'Données projet'!$E$13+1,1))</f>
        <v>445.38112098358147</v>
      </c>
      <c r="CZ9" s="59">
        <f t="shared" si="42"/>
        <v>272.45883568548516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63.92280947254271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2.1</v>
      </c>
      <c r="DO9" s="12">
        <f>IF('Données projet'!$A$166&gt;35,DO8+DN9-DW8,IF(A9&lt;'Données projet'!$A$166,$DL$205^A9,IF(A9='Données projet'!$A$166,'Données projet'!$B$166,DO8+DN9-DW8)))</f>
        <v>3.0688438220956993</v>
      </c>
      <c r="DP9" s="17">
        <f>DO9*VLOOKUP('Données projet'!$B$14,Paramètres!$A$1:$I$89,3,0)*VLOOKUP('Données projet'!$B$14,Paramètres!$A$1:$I$89,5,0)</f>
        <v>2.9681857447309605</v>
      </c>
      <c r="DQ9" s="13">
        <f t="shared" si="43"/>
        <v>1.2051613041728233</v>
      </c>
      <c r="DR9" s="20">
        <f t="shared" si="16"/>
        <v>7.2685794435074236</v>
      </c>
      <c r="DS9" s="59">
        <f t="shared" si="17"/>
        <v>248.98554750949737</v>
      </c>
      <c r="DT9" s="59">
        <f ca="1">AVERAGE(OFFSET($DS$3,0,0,'Données projet'!$E$14+1,1))-AVERAGE(OFFSET($H$3,0,0,'Données projet'!$E$14+1,1))</f>
        <v>405.29179902613089</v>
      </c>
      <c r="DU9" s="59">
        <f t="shared" si="44"/>
        <v>249.61049717638238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63.92280947254271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3.2373333333333334</v>
      </c>
      <c r="EJ9" s="12">
        <f>IF('Données projet'!$A$192&gt;35,EJ8+EI9-ER8,IF(A9&lt;'Données projet'!$A$192,$EG$205^A9,IF(A9='Données projet'!$A$192,'Données projet'!$B$192,EJ8+EI9-ER8)))</f>
        <v>4.7261932025255282</v>
      </c>
      <c r="EK9" s="17">
        <f>EJ9*VLOOKUP('Données projet'!$B$15,Paramètres!$A$1:$I$89,3,0)*VLOOKUP('Données projet'!$B$15,Paramètres!$A$1:$I$89,5,0)</f>
        <v>2.8262635351102658</v>
      </c>
      <c r="EL9" s="13">
        <f t="shared" si="45"/>
        <v>1.1541003348110361</v>
      </c>
      <c r="EM9" s="20">
        <f t="shared" si="19"/>
        <v>6.9324670734462677</v>
      </c>
      <c r="EN9" s="59">
        <f t="shared" si="20"/>
        <v>248.64943513943621</v>
      </c>
      <c r="EO9" s="59">
        <f ca="1">AVERAGE(OFFSET($EN$3,0,0,'Données projet'!$E$15+1,1))-AVERAGE(OFFSET($H$3,0,0,'Données projet'!$E$15+1,1))</f>
        <v>444.77624981561257</v>
      </c>
      <c r="EP9" s="59">
        <f t="shared" si="46"/>
        <v>382.10319641527587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63.92280947254271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4.5333333333333332</v>
      </c>
      <c r="FE9" s="12">
        <f>IF('Données projet'!$A$218&gt;35,FE8+FD9-FM8,IF(A9&lt;'Données projet'!$A$218,$FB$205^A9,IF(A9='Données projet'!$A$218,'Données projet'!$B$218,FE8+FD9-FM8)))</f>
        <v>5.4075876196510251</v>
      </c>
      <c r="FF9" s="17">
        <f>FE9*VLOOKUP('Données projet'!$B$16,Paramètres!$A$1:$I$89,3,0)*VLOOKUP('Données projet'!$B$16,Paramètres!$A$1:$I$89,5,0)</f>
        <v>2.3901537278857532</v>
      </c>
      <c r="FG9" s="13">
        <f t="shared" si="47"/>
        <v>0.9952430011423572</v>
      </c>
      <c r="FH9" s="20">
        <f t="shared" si="22"/>
        <v>5.896232636390625</v>
      </c>
      <c r="FI9" s="59">
        <f t="shared" si="23"/>
        <v>247.61320070238057</v>
      </c>
      <c r="FJ9" s="59">
        <f ca="1">AVERAGE(OFFSET($FI$3,0,0,'Données projet'!$E$16+1,1))-AVERAGE(OFFSET($H$3,0,0,'Données projet'!$E$16+1,1))</f>
        <v>508.71179785154317</v>
      </c>
      <c r="FK9" s="59">
        <f t="shared" si="48"/>
        <v>422.73937290731442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63.92280947254271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63.92280947254271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1.35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4.95</v>
      </c>
      <c r="H10" s="67">
        <f t="shared" si="1"/>
        <v>236.86666666666665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64.028235141631484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3.65</v>
      </c>
      <c r="N10" s="13">
        <f>IF('Données projet'!$A$36&gt;35,N9+M10-V9,IF(A10&lt;'Données projet'!$A$36,$K$205^A10,IF(A10='Données projet'!$A$36,'Données projet'!$B$36,N9+M10-V9)))</f>
        <v>4.4891384635544309</v>
      </c>
      <c r="O10" s="13">
        <f>N10*VLOOKUP('Données projet'!$B$9,Paramètres!$A$1:$I$89,3,0)*VLOOKUP('Données projet'!$B$9,Paramètres!$A$1:$I$89,5,0)</f>
        <v>4.0617724818240486</v>
      </c>
      <c r="P10" s="13">
        <f t="shared" si="33"/>
        <v>1.590058719758437</v>
      </c>
      <c r="Q10" s="20">
        <f t="shared" si="2"/>
        <v>9.8436060094228282</v>
      </c>
      <c r="R10" s="59">
        <f t="shared" si="0"/>
        <v>253.16935708429378</v>
      </c>
      <c r="S10" s="59">
        <f ca="1">AVERAGE(OFFSET($R$3,0,0,'Données projet'!$E$9+1,1))-AVERAGE(OFFSET($H$3,0,0,'Données projet'!$E$9+1,1))</f>
        <v>466.90449882701591</v>
      </c>
      <c r="T10" s="59">
        <f t="shared" si="34"/>
        <v>283.37641704892053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64.028235141631484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2.1</v>
      </c>
      <c r="AI10" s="13">
        <f>IF('Données projet'!$A$62&gt;35,AI9+AH10-AQ9,IF(A10&lt;'Données projet'!$A$62,$AF$205^A10,IF(A10='Données projet'!$A$62,'Données projet'!$B$62,AI9+AH10-AQ9)))</f>
        <v>3.6994507637402658</v>
      </c>
      <c r="AJ10" s="13">
        <f>AI10*VLOOKUP('Données projet'!$B$10,Paramètres!$A$1:$I$89,3,0)*VLOOKUP('Données projet'!$B$10,Paramètres!$A$1:$I$89,5,0)</f>
        <v>3.520397346775237</v>
      </c>
      <c r="AK10" s="13">
        <f t="shared" si="35"/>
        <v>1.4012656554930452</v>
      </c>
      <c r="AL10" s="20">
        <f t="shared" si="4"/>
        <v>8.5718963956172569</v>
      </c>
      <c r="AM10" s="59">
        <f t="shared" si="5"/>
        <v>251.89764747048821</v>
      </c>
      <c r="AN10" s="59">
        <f ca="1">AVERAGE(OFFSET($AM$3,0,0,'Données projet'!$E$10+1,1))-AVERAGE(OFFSET($H$3,0,0,'Données projet'!$E$10+1,1))</f>
        <v>399.5572791581468</v>
      </c>
      <c r="AO10" s="59">
        <f t="shared" si="36"/>
        <v>246.34185986079777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64.028235141631484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2.6666666666666665</v>
      </c>
      <c r="BD10" s="12">
        <f>IF('Données projet'!$A$88&gt;35,BD9+BC10-BL9,IF(A10&lt;'Données projet'!$A$88,$BA$205^A10,IF(A10='Données projet'!$A$88,'Données projet'!$B$88,BD9+BC10-BL9)))</f>
        <v>5.5927833467405659</v>
      </c>
      <c r="BE10" s="13">
        <f>BD10*VLOOKUP('Données projet'!$B$11,Paramètres!$A$1:$I$89,3,0)*VLOOKUP('Données projet'!$B$11,Paramètres!$A$1:$I$89,5,0)</f>
        <v>4.3623710104576414</v>
      </c>
      <c r="BF10" s="13">
        <f t="shared" si="37"/>
        <v>1.6936004212396314</v>
      </c>
      <c r="BG10" s="20">
        <f t="shared" si="7"/>
        <v>10.54748357687275</v>
      </c>
      <c r="BH10" s="59">
        <f t="shared" si="8"/>
        <v>253.8732346517437</v>
      </c>
      <c r="BI10" s="59">
        <f ca="1">AVERAGE(OFFSET($BH$3,0,0,'Données projet'!$E$11+1,1))-AVERAGE(OFFSET($H$3,0,0,'Données projet'!$E$11+1,1))</f>
        <v>294.23449029791681</v>
      </c>
      <c r="BJ10" s="59">
        <f t="shared" si="38"/>
        <v>288.64639202306159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64.028235141631484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2.1</v>
      </c>
      <c r="BY10" s="12">
        <f>IF('Données projet'!$A$114&gt;35,BY9+BX10-CG9,IF(A10&lt;'Données projet'!$A$114,$BV$205^A10,IF(A10='Données projet'!$A$114,'Données projet'!$B$114,BY9+BX10-CG9)))</f>
        <v>3.6994507637402658</v>
      </c>
      <c r="BZ10" s="13">
        <f>BY10*VLOOKUP('Données projet'!$B$12,Paramètres!$A$1:$I$89,3,0)*VLOOKUP('Données projet'!$B$12,Paramètres!$A$1:$I$89,5,0)</f>
        <v>3.982088802090022</v>
      </c>
      <c r="CA10" s="13">
        <f t="shared" si="39"/>
        <v>1.5624642602705792</v>
      </c>
      <c r="CB10" s="20">
        <f t="shared" si="10"/>
        <v>9.6567632502780452</v>
      </c>
      <c r="CC10" s="59">
        <f t="shared" si="11"/>
        <v>252.982514325149</v>
      </c>
      <c r="CD10" s="59">
        <f ca="1">AVERAGE(OFFSET($CC$3,0,0,'Données projet'!$E$12+1,1))-AVERAGE(OFFSET($H$3,0,0,'Données projet'!$E$12+1,1))</f>
        <v>445.38112098358147</v>
      </c>
      <c r="CE10" s="59">
        <f t="shared" si="40"/>
        <v>272.45883568548516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64.028235141631484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2.1</v>
      </c>
      <c r="CT10" s="12">
        <f>IF('Données projet'!$A$140&gt;35,CT9+CS10-DB9,IF(A10&lt;'Données projet'!$A$140,$CQ$205^A10,IF(A10='Données projet'!$A$140,'Données projet'!$B$140,CT9+CS10-DB9)))</f>
        <v>3.6994507637402658</v>
      </c>
      <c r="CU10" s="17">
        <f>CT10*VLOOKUP('Données projet'!$B$13,Paramètres!$A$1:$I$89,3,0)*VLOOKUP('Données projet'!$B$13,Paramètres!$A$1:$I$89,5,0)</f>
        <v>3.982088802090022</v>
      </c>
      <c r="CV10" s="13">
        <f t="shared" si="41"/>
        <v>1.5624642602705792</v>
      </c>
      <c r="CW10" s="20">
        <f t="shared" si="13"/>
        <v>9.6567632502780452</v>
      </c>
      <c r="CX10" s="59">
        <f t="shared" si="14"/>
        <v>252.982514325149</v>
      </c>
      <c r="CY10" s="59">
        <f ca="1">AVERAGE(OFFSET($CX$3,0,0,'Données projet'!$E$13+1,1))-AVERAGE(OFFSET($H$3,0,0,'Données projet'!$E$13+1,1))</f>
        <v>445.38112098358147</v>
      </c>
      <c r="CZ10" s="59">
        <f t="shared" si="42"/>
        <v>272.45883568548516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64.028235141631484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2.1</v>
      </c>
      <c r="DO10" s="12">
        <f>IF('Données projet'!$A$166&gt;35,DO9+DN10-DW9,IF(A10&lt;'Données projet'!$A$166,$DL$205^A10,IF(A10='Données projet'!$A$166,'Données projet'!$B$166,DO9+DN10-DW9)))</f>
        <v>3.6994507637402658</v>
      </c>
      <c r="DP10" s="17">
        <f>DO10*VLOOKUP('Données projet'!$B$14,Paramètres!$A$1:$I$89,3,0)*VLOOKUP('Données projet'!$B$14,Paramètres!$A$1:$I$89,5,0)</f>
        <v>3.5781087786895851</v>
      </c>
      <c r="DQ10" s="13">
        <f t="shared" si="43"/>
        <v>1.4215440842341414</v>
      </c>
      <c r="DR10" s="20">
        <f t="shared" si="16"/>
        <v>8.707728736258824</v>
      </c>
      <c r="DS10" s="59">
        <f t="shared" si="17"/>
        <v>252.03347981112978</v>
      </c>
      <c r="DT10" s="59">
        <f ca="1">AVERAGE(OFFSET($DS$3,0,0,'Données projet'!$E$14+1,1))-AVERAGE(OFFSET($H$3,0,0,'Données projet'!$E$14+1,1))</f>
        <v>405.29179902613089</v>
      </c>
      <c r="DU10" s="59">
        <f t="shared" si="44"/>
        <v>249.61049717638238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64.028235141631484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3.2373333333333334</v>
      </c>
      <c r="EJ10" s="12">
        <f>IF('Données projet'!$A$192&gt;35,EJ9+EI10-ER9,IF(A10&lt;'Données projet'!$A$192,$EG$205^A10,IF(A10='Données projet'!$A$192,'Données projet'!$B$192,EJ9+EI10-ER9)))</f>
        <v>6.1225177061306688</v>
      </c>
      <c r="EK10" s="17">
        <f>EJ10*VLOOKUP('Données projet'!$B$15,Paramètres!$A$1:$I$89,3,0)*VLOOKUP('Données projet'!$B$15,Paramètres!$A$1:$I$89,5,0)</f>
        <v>3.66126558826614</v>
      </c>
      <c r="EL10" s="13">
        <f t="shared" si="45"/>
        <v>1.4506966996107142</v>
      </c>
      <c r="EM10" s="20">
        <f t="shared" si="19"/>
        <v>8.9033343180521864</v>
      </c>
      <c r="EN10" s="59">
        <f t="shared" si="20"/>
        <v>252.22908539292314</v>
      </c>
      <c r="EO10" s="59">
        <f ca="1">AVERAGE(OFFSET($EN$3,0,0,'Données projet'!$E$15+1,1))-AVERAGE(OFFSET($H$3,0,0,'Données projet'!$E$15+1,1))</f>
        <v>444.77624981561257</v>
      </c>
      <c r="EP10" s="59">
        <f t="shared" si="46"/>
        <v>382.10319641527587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64.028235141631484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4.5333333333333332</v>
      </c>
      <c r="FE10" s="12">
        <f>IF('Données projet'!$A$218&gt;35,FE9+FD10-FM9,IF(A10&lt;'Données projet'!$A$218,$FB$205^A10,IF(A10='Données projet'!$A$218,'Données projet'!$B$218,FE9+FD10-FM9)))</f>
        <v>7.1642515435629708</v>
      </c>
      <c r="FF10" s="17">
        <f>FE10*VLOOKUP('Données projet'!$B$16,Paramètres!$A$1:$I$89,3,0)*VLOOKUP('Données projet'!$B$16,Paramètres!$A$1:$I$89,5,0)</f>
        <v>3.1665991822548336</v>
      </c>
      <c r="FG10" s="13">
        <f t="shared" si="47"/>
        <v>1.2760747752502664</v>
      </c>
      <c r="FH10" s="20">
        <f t="shared" si="22"/>
        <v>7.737657142654716</v>
      </c>
      <c r="FI10" s="59">
        <f t="shared" si="23"/>
        <v>251.06340821752568</v>
      </c>
      <c r="FJ10" s="59">
        <f ca="1">AVERAGE(OFFSET($FI$3,0,0,'Données projet'!$E$16+1,1))-AVERAGE(OFFSET($H$3,0,0,'Données projet'!$E$16+1,1))</f>
        <v>508.71179785154317</v>
      </c>
      <c r="FK10" s="59">
        <f t="shared" si="48"/>
        <v>422.73937290731442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64.028235141631484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64.028235141631484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1.35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4.95</v>
      </c>
      <c r="H11" s="67">
        <f t="shared" si="1"/>
        <v>236.86666666666665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64.131831911058057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3.65</v>
      </c>
      <c r="N11" s="13">
        <f>IF('Données projet'!$A$36&gt;35,N10+M11-V10,IF(A11&lt;'Données projet'!$A$36,$K$205^A11,IF(A11='Données projet'!$A$36,'Données projet'!$B$36,N10+M11-V10)))</f>
        <v>5.563257268920875</v>
      </c>
      <c r="O11" s="13">
        <f>N11*VLOOKUP('Données projet'!$B$9,Paramètres!$A$1:$I$89,3,0)*VLOOKUP('Données projet'!$B$9,Paramètres!$A$1:$I$89,5,0)</f>
        <v>5.0336351769196082</v>
      </c>
      <c r="P11" s="13">
        <f t="shared" si="33"/>
        <v>1.9219176128866391</v>
      </c>
      <c r="Q11" s="20">
        <f t="shared" si="2"/>
        <v>12.11425444224588</v>
      </c>
      <c r="R11" s="59">
        <f t="shared" si="0"/>
        <v>257.04208256056984</v>
      </c>
      <c r="S11" s="59">
        <f ca="1">AVERAGE(OFFSET($R$3,0,0,'Données projet'!$E$9+1,1))-AVERAGE(OFFSET($H$3,0,0,'Données projet'!$E$9+1,1))</f>
        <v>466.90449882701591</v>
      </c>
      <c r="T11" s="59">
        <f t="shared" si="34"/>
        <v>283.37641704892053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64.131831911058057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2.1</v>
      </c>
      <c r="AI11" s="13">
        <f>IF('Données projet'!$A$62&gt;35,AI10+AH11-AQ10,IF(A11&lt;'Données projet'!$A$62,$AF$205^A11,IF(A11='Données projet'!$A$62,'Données projet'!$B$62,AI10+AH11-AQ10)))</f>
        <v>4.4596391171162209</v>
      </c>
      <c r="AJ11" s="13">
        <f>AI11*VLOOKUP('Données projet'!$B$10,Paramètres!$A$1:$I$89,3,0)*VLOOKUP('Données projet'!$B$10,Paramètres!$A$1:$I$89,5,0)</f>
        <v>4.2437925838477959</v>
      </c>
      <c r="AK11" s="13">
        <f t="shared" si="35"/>
        <v>1.6528583320004788</v>
      </c>
      <c r="AL11" s="20">
        <f t="shared" si="4"/>
        <v>10.27000034510241</v>
      </c>
      <c r="AM11" s="59">
        <f t="shared" si="5"/>
        <v>255.19782846342639</v>
      </c>
      <c r="AN11" s="59">
        <f ca="1">AVERAGE(OFFSET($AM$3,0,0,'Données projet'!$E$10+1,1))-AVERAGE(OFFSET($H$3,0,0,'Données projet'!$E$10+1,1))</f>
        <v>399.5572791581468</v>
      </c>
      <c r="AO11" s="59">
        <f t="shared" si="36"/>
        <v>246.34185986079777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64.131831911058057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2.6666666666666665</v>
      </c>
      <c r="BD11" s="12">
        <f>IF('Données projet'!$A$88&gt;35,BD10+BC11-BL10,IF(A11&lt;'Données projet'!$A$88,$BA$205^A11,IF(A11='Données projet'!$A$88,'Données projet'!$B$88,BD10+BC11-BL10)))</f>
        <v>7.1520739352994367</v>
      </c>
      <c r="BE11" s="13">
        <f>BD11*VLOOKUP('Données projet'!$B$11,Paramètres!$A$1:$I$89,3,0)*VLOOKUP('Données projet'!$B$11,Paramètres!$A$1:$I$89,5,0)</f>
        <v>5.5786176695335605</v>
      </c>
      <c r="BF11" s="13">
        <f t="shared" si="37"/>
        <v>2.1046649418345189</v>
      </c>
      <c r="BG11" s="20">
        <f t="shared" si="7"/>
        <v>13.381717214799407</v>
      </c>
      <c r="BH11" s="59">
        <f t="shared" si="8"/>
        <v>258.30954533312337</v>
      </c>
      <c r="BI11" s="59">
        <f ca="1">AVERAGE(OFFSET($BH$3,0,0,'Données projet'!$E$11+1,1))-AVERAGE(OFFSET($H$3,0,0,'Données projet'!$E$11+1,1))</f>
        <v>294.23449029791681</v>
      </c>
      <c r="BJ11" s="59">
        <f t="shared" si="38"/>
        <v>288.64639202306159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64.131831911058057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2.1</v>
      </c>
      <c r="BY11" s="12">
        <f>IF('Données projet'!$A$114&gt;35,BY10+BX11-CG10,IF(A11&lt;'Données projet'!$A$114,$BV$205^A11,IF(A11='Données projet'!$A$114,'Données projet'!$B$114,BY10+BX11-CG10)))</f>
        <v>4.4596391171162209</v>
      </c>
      <c r="BZ11" s="13">
        <f>BY11*VLOOKUP('Données projet'!$B$12,Paramètres!$A$1:$I$89,3,0)*VLOOKUP('Données projet'!$B$12,Paramètres!$A$1:$I$89,5,0)</f>
        <v>4.8003555456638995</v>
      </c>
      <c r="CA11" s="13">
        <f t="shared" si="39"/>
        <v>1.8429996203200378</v>
      </c>
      <c r="CB11" s="20">
        <f t="shared" si="10"/>
        <v>11.570510247422023</v>
      </c>
      <c r="CC11" s="59">
        <f t="shared" si="11"/>
        <v>256.49833836574601</v>
      </c>
      <c r="CD11" s="59">
        <f ca="1">AVERAGE(OFFSET($CC$3,0,0,'Données projet'!$E$12+1,1))-AVERAGE(OFFSET($H$3,0,0,'Données projet'!$E$12+1,1))</f>
        <v>445.38112098358147</v>
      </c>
      <c r="CE11" s="59">
        <f t="shared" si="40"/>
        <v>272.45883568548516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64.131831911058057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2.1</v>
      </c>
      <c r="CT11" s="12">
        <f>IF('Données projet'!$A$140&gt;35,CT10+CS11-DB10,IF(A11&lt;'Données projet'!$A$140,$CQ$205^A11,IF(A11='Données projet'!$A$140,'Données projet'!$B$140,CT10+CS11-DB10)))</f>
        <v>4.4596391171162209</v>
      </c>
      <c r="CU11" s="17">
        <f>CT11*VLOOKUP('Données projet'!$B$13,Paramètres!$A$1:$I$89,3,0)*VLOOKUP('Données projet'!$B$13,Paramètres!$A$1:$I$89,5,0)</f>
        <v>4.8003555456638995</v>
      </c>
      <c r="CV11" s="13">
        <f t="shared" si="41"/>
        <v>1.8429996203200378</v>
      </c>
      <c r="CW11" s="20">
        <f t="shared" si="13"/>
        <v>11.570510247422023</v>
      </c>
      <c r="CX11" s="59">
        <f t="shared" si="14"/>
        <v>256.49833836574601</v>
      </c>
      <c r="CY11" s="59">
        <f ca="1">AVERAGE(OFFSET($CX$3,0,0,'Données projet'!$E$13+1,1))-AVERAGE(OFFSET($H$3,0,0,'Données projet'!$E$13+1,1))</f>
        <v>445.38112098358147</v>
      </c>
      <c r="CZ11" s="59">
        <f t="shared" si="42"/>
        <v>272.45883568548516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64.131831911058057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2.1</v>
      </c>
      <c r="DO11" s="12">
        <f>IF('Données projet'!$A$166&gt;35,DO10+DN11-DW10,IF(A11&lt;'Données projet'!$A$166,$DL$205^A11,IF(A11='Données projet'!$A$166,'Données projet'!$B$166,DO10+DN11-DW10)))</f>
        <v>4.4596391171162209</v>
      </c>
      <c r="DP11" s="17">
        <f>DO11*VLOOKUP('Données projet'!$B$14,Paramètres!$A$1:$I$89,3,0)*VLOOKUP('Données projet'!$B$14,Paramètres!$A$1:$I$89,5,0)</f>
        <v>4.3133629540748091</v>
      </c>
      <c r="DQ11" s="13">
        <f t="shared" si="43"/>
        <v>1.6767776864592203</v>
      </c>
      <c r="DR11" s="20">
        <f t="shared" si="16"/>
        <v>10.432828282263435</v>
      </c>
      <c r="DS11" s="59">
        <f t="shared" si="17"/>
        <v>255.36065640058743</v>
      </c>
      <c r="DT11" s="59">
        <f ca="1">AVERAGE(OFFSET($DS$3,0,0,'Données projet'!$E$14+1,1))-AVERAGE(OFFSET($H$3,0,0,'Données projet'!$E$14+1,1))</f>
        <v>405.29179902613089</v>
      </c>
      <c r="DU11" s="59">
        <f t="shared" si="44"/>
        <v>249.61049717638238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64.131831911058057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3.2373333333333334</v>
      </c>
      <c r="EJ11" s="12">
        <f>IF('Données projet'!$A$192&gt;35,EJ10+EI11-ER10,IF(A11&lt;'Données projet'!$A$192,$EG$205^A11,IF(A11='Données projet'!$A$192,'Données projet'!$B$192,EJ10+EI11-ER10)))</f>
        <v>7.9313776342982827</v>
      </c>
      <c r="EK11" s="17">
        <f>EJ11*VLOOKUP('Données projet'!$B$15,Paramètres!$A$1:$I$89,3,0)*VLOOKUP('Données projet'!$B$15,Paramètres!$A$1:$I$89,5,0)</f>
        <v>4.7429638253103734</v>
      </c>
      <c r="EL11" s="13">
        <f t="shared" si="45"/>
        <v>1.8235164229512146</v>
      </c>
      <c r="EM11" s="20">
        <f t="shared" si="19"/>
        <v>11.436619765722265</v>
      </c>
      <c r="EN11" s="59">
        <f t="shared" si="20"/>
        <v>256.36444788404623</v>
      </c>
      <c r="EO11" s="59">
        <f ca="1">AVERAGE(OFFSET($EN$3,0,0,'Données projet'!$E$15+1,1))-AVERAGE(OFFSET($H$3,0,0,'Données projet'!$E$15+1,1))</f>
        <v>444.77624981561257</v>
      </c>
      <c r="EP11" s="59">
        <f t="shared" si="46"/>
        <v>382.10319641527587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64.131831911058057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4.5333333333333332</v>
      </c>
      <c r="FE11" s="12">
        <f>IF('Données projet'!$A$218&gt;35,FE10+FD11-FM10,IF(A11&lt;'Données projet'!$A$218,$FB$205^A11,IF(A11='Données projet'!$A$218,'Données projet'!$B$218,FE10+FD11-FM10)))</f>
        <v>9.4915706946523297</v>
      </c>
      <c r="FF11" s="17">
        <f>FE11*VLOOKUP('Données projet'!$B$16,Paramètres!$A$1:$I$89,3,0)*VLOOKUP('Données projet'!$B$16,Paramètres!$A$1:$I$89,5,0)</f>
        <v>4.1952742470363296</v>
      </c>
      <c r="FG11" s="13">
        <f t="shared" si="47"/>
        <v>1.6361499956904495</v>
      </c>
      <c r="FH11" s="20">
        <f t="shared" si="22"/>
        <v>10.15639722274914</v>
      </c>
      <c r="FI11" s="59">
        <f t="shared" si="23"/>
        <v>255.08422534107314</v>
      </c>
      <c r="FJ11" s="59">
        <f ca="1">AVERAGE(OFFSET($FI$3,0,0,'Données projet'!$E$16+1,1))-AVERAGE(OFFSET($H$3,0,0,'Données projet'!$E$16+1,1))</f>
        <v>508.71179785154317</v>
      </c>
      <c r="FK11" s="59">
        <f t="shared" si="48"/>
        <v>422.73937290731442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64.131831911058057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64.131831911058057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1.35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4.95</v>
      </c>
      <c r="H12" s="67">
        <f t="shared" si="1"/>
        <v>236.86666666666665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64.233631508142764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3.65</v>
      </c>
      <c r="N12" s="13">
        <f>IF('Données projet'!$A$36&gt;35,N11+M12-V11,IF(A12&lt;'Données projet'!$A$36,$K$205^A12,IF(A12='Données projet'!$A$36,'Données projet'!$B$36,N11+M12-V11)))</f>
        <v>6.8943811137639424</v>
      </c>
      <c r="O12" s="13">
        <f>N12*VLOOKUP('Données projet'!$B$9,Paramètres!$A$1:$I$89,3,0)*VLOOKUP('Données projet'!$B$9,Paramètres!$A$1:$I$89,5,0)</f>
        <v>6.2380360317336141</v>
      </c>
      <c r="P12" s="13">
        <f t="shared" si="33"/>
        <v>2.3230383034439352</v>
      </c>
      <c r="Q12" s="20">
        <f t="shared" si="2"/>
        <v>14.910537800434229</v>
      </c>
      <c r="R12" s="59">
        <f t="shared" si="0"/>
        <v>261.43385333029107</v>
      </c>
      <c r="S12" s="59">
        <f ca="1">AVERAGE(OFFSET($R$3,0,0,'Données projet'!$E$9+1,1))-AVERAGE(OFFSET($H$3,0,0,'Données projet'!$E$9+1,1))</f>
        <v>466.90449882701591</v>
      </c>
      <c r="T12" s="59">
        <f t="shared" si="34"/>
        <v>283.37641704892053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64.233631508142764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2.1</v>
      </c>
      <c r="AI12" s="13">
        <f>IF('Données projet'!$A$62&gt;35,AI11+AH12-AQ11,IF(A12&lt;'Données projet'!$A$62,$AF$205^A12,IF(A12='Données projet'!$A$62,'Données projet'!$B$62,AI11+AH12-AQ11)))</f>
        <v>5.3760361537574148</v>
      </c>
      <c r="AJ12" s="13">
        <f>AI12*VLOOKUP('Données projet'!$B$10,Paramètres!$A$1:$I$89,3,0)*VLOOKUP('Données projet'!$B$10,Paramètres!$A$1:$I$89,5,0)</f>
        <v>5.1158360039155557</v>
      </c>
      <c r="AK12" s="13">
        <f t="shared" si="35"/>
        <v>1.9496236526985691</v>
      </c>
      <c r="AL12" s="20">
        <f t="shared" si="4"/>
        <v>12.305675568602934</v>
      </c>
      <c r="AM12" s="59">
        <f t="shared" si="5"/>
        <v>258.82899109845977</v>
      </c>
      <c r="AN12" s="59">
        <f ca="1">AVERAGE(OFFSET($AM$3,0,0,'Données projet'!$E$10+1,1))-AVERAGE(OFFSET($H$3,0,0,'Données projet'!$E$10+1,1))</f>
        <v>399.5572791581468</v>
      </c>
      <c r="AO12" s="59">
        <f t="shared" si="36"/>
        <v>246.34185986079777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64.233631508142764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2.6666666666666665</v>
      </c>
      <c r="BD12" s="12">
        <f>IF('Données projet'!$A$88&gt;35,BD11+BC12-BL11,IF(A12&lt;'Données projet'!$A$88,$BA$205^A12,IF(A12='Données projet'!$A$88,'Données projet'!$B$88,BD11+BC12-BL11)))</f>
        <v>9.1461010385465205</v>
      </c>
      <c r="BE12" s="13">
        <f>BD12*VLOOKUP('Données projet'!$B$11,Paramètres!$A$1:$I$89,3,0)*VLOOKUP('Données projet'!$B$11,Paramètres!$A$1:$I$89,5,0)</f>
        <v>7.1339588100662858</v>
      </c>
      <c r="BF12" s="13">
        <f t="shared" si="37"/>
        <v>2.6155015444227643</v>
      </c>
      <c r="BG12" s="20">
        <f t="shared" si="7"/>
        <v>16.980310117401761</v>
      </c>
      <c r="BH12" s="59">
        <f t="shared" si="8"/>
        <v>263.50362564725862</v>
      </c>
      <c r="BI12" s="59">
        <f ca="1">AVERAGE(OFFSET($BH$3,0,0,'Données projet'!$E$11+1,1))-AVERAGE(OFFSET($H$3,0,0,'Données projet'!$E$11+1,1))</f>
        <v>294.23449029791681</v>
      </c>
      <c r="BJ12" s="59">
        <f t="shared" si="38"/>
        <v>288.64639202306159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64.233631508142764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2.1</v>
      </c>
      <c r="BY12" s="12">
        <f>IF('Données projet'!$A$114&gt;35,BY11+BX12-CG11,IF(A12&lt;'Données projet'!$A$114,$BV$205^A12,IF(A12='Données projet'!$A$114,'Données projet'!$B$114,BY11+BX12-CG11)))</f>
        <v>5.3760361537574148</v>
      </c>
      <c r="BZ12" s="13">
        <f>BY12*VLOOKUP('Données projet'!$B$12,Paramètres!$A$1:$I$89,3,0)*VLOOKUP('Données projet'!$B$12,Paramètres!$A$1:$I$89,5,0)</f>
        <v>5.7867653159044812</v>
      </c>
      <c r="CA12" s="13">
        <f t="shared" si="39"/>
        <v>2.1739041889582755</v>
      </c>
      <c r="CB12" s="20">
        <f t="shared" si="10"/>
        <v>13.864832720969302</v>
      </c>
      <c r="CC12" s="59">
        <f t="shared" si="11"/>
        <v>260.38814825082613</v>
      </c>
      <c r="CD12" s="59">
        <f ca="1">AVERAGE(OFFSET($CC$3,0,0,'Données projet'!$E$12+1,1))-AVERAGE(OFFSET($H$3,0,0,'Données projet'!$E$12+1,1))</f>
        <v>445.38112098358147</v>
      </c>
      <c r="CE12" s="59">
        <f t="shared" si="40"/>
        <v>272.45883568548516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64.233631508142764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2.1</v>
      </c>
      <c r="CT12" s="12">
        <f>IF('Données projet'!$A$140&gt;35,CT11+CS12-DB11,IF(A12&lt;'Données projet'!$A$140,$CQ$205^A12,IF(A12='Données projet'!$A$140,'Données projet'!$B$140,CT11+CS12-DB11)))</f>
        <v>5.3760361537574148</v>
      </c>
      <c r="CU12" s="17">
        <f>CT12*VLOOKUP('Données projet'!$B$13,Paramètres!$A$1:$I$89,3,0)*VLOOKUP('Données projet'!$B$13,Paramètres!$A$1:$I$89,5,0)</f>
        <v>5.7867653159044812</v>
      </c>
      <c r="CV12" s="13">
        <f t="shared" si="41"/>
        <v>2.1739041889582755</v>
      </c>
      <c r="CW12" s="20">
        <f t="shared" si="13"/>
        <v>13.864832720969302</v>
      </c>
      <c r="CX12" s="59">
        <f t="shared" si="14"/>
        <v>260.38814825082613</v>
      </c>
      <c r="CY12" s="59">
        <f ca="1">AVERAGE(OFFSET($CX$3,0,0,'Données projet'!$E$13+1,1))-AVERAGE(OFFSET($H$3,0,0,'Données projet'!$E$13+1,1))</f>
        <v>445.38112098358147</v>
      </c>
      <c r="CZ12" s="59">
        <f t="shared" si="42"/>
        <v>272.45883568548516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64.233631508142764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2.1</v>
      </c>
      <c r="DO12" s="12">
        <f>IF('Données projet'!$A$166&gt;35,DO11+DN12-DW11,IF(A12&lt;'Données projet'!$A$166,$DL$205^A12,IF(A12='Données projet'!$A$166,'Données projet'!$B$166,DO11+DN12-DW11)))</f>
        <v>5.3760361537574148</v>
      </c>
      <c r="DP12" s="17">
        <f>DO12*VLOOKUP('Données projet'!$B$14,Paramètres!$A$1:$I$89,3,0)*VLOOKUP('Données projet'!$B$14,Paramètres!$A$1:$I$89,5,0)</f>
        <v>5.1997021679141717</v>
      </c>
      <c r="DQ12" s="13">
        <f t="shared" si="43"/>
        <v>1.977837649208241</v>
      </c>
      <c r="DR12" s="20">
        <f t="shared" si="16"/>
        <v>12.500881848154869</v>
      </c>
      <c r="DS12" s="59">
        <f t="shared" si="17"/>
        <v>259.02419737801171</v>
      </c>
      <c r="DT12" s="59">
        <f ca="1">AVERAGE(OFFSET($DS$3,0,0,'Données projet'!$E$14+1,1))-AVERAGE(OFFSET($H$3,0,0,'Données projet'!$E$14+1,1))</f>
        <v>405.29179902613089</v>
      </c>
      <c r="DU12" s="59">
        <f t="shared" si="44"/>
        <v>249.61049717638238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64.233631508142764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3.2373333333333334</v>
      </c>
      <c r="EJ12" s="12">
        <f>IF('Données projet'!$A$192&gt;35,EJ11+EI12-ER11,IF(A12&lt;'Données projet'!$A$192,$EG$205^A12,IF(A12='Données projet'!$A$192,'Données projet'!$B$192,EJ11+EI12-ER11)))</f>
        <v>10.274654022618265</v>
      </c>
      <c r="EK12" s="17">
        <f>EJ12*VLOOKUP('Données projet'!$B$15,Paramètres!$A$1:$I$89,3,0)*VLOOKUP('Données projet'!$B$15,Paramètres!$A$1:$I$89,5,0)</f>
        <v>6.1442431055257218</v>
      </c>
      <c r="EL12" s="13">
        <f t="shared" si="45"/>
        <v>2.2921484178361289</v>
      </c>
      <c r="EM12" s="20">
        <f t="shared" si="19"/>
        <v>14.693381903188557</v>
      </c>
      <c r="EN12" s="59">
        <f t="shared" si="20"/>
        <v>261.2166974330454</v>
      </c>
      <c r="EO12" s="59">
        <f ca="1">AVERAGE(OFFSET($EN$3,0,0,'Données projet'!$E$15+1,1))-AVERAGE(OFFSET($H$3,0,0,'Données projet'!$E$15+1,1))</f>
        <v>444.77624981561257</v>
      </c>
      <c r="EP12" s="59">
        <f t="shared" si="46"/>
        <v>382.10319641527587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64.233631508142764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4.5333333333333332</v>
      </c>
      <c r="FE12" s="12">
        <f>IF('Données projet'!$A$218&gt;35,FE11+FD12-FM11,IF(A12&lt;'Données projet'!$A$218,$FB$205^A12,IF(A12='Données projet'!$A$218,'Données projet'!$B$218,FE11+FD12-FM11)))</f>
        <v>12.574923382265666</v>
      </c>
      <c r="FF12" s="17">
        <f>FE12*VLOOKUP('Données projet'!$B$16,Paramètres!$A$1:$I$89,3,0)*VLOOKUP('Données projet'!$B$16,Paramètres!$A$1:$I$89,5,0)</f>
        <v>5.5581161349614252</v>
      </c>
      <c r="FG12" s="13">
        <f t="shared" si="47"/>
        <v>2.0978291087000307</v>
      </c>
      <c r="FH12" s="20">
        <f t="shared" si="22"/>
        <v>13.334104632710369</v>
      </c>
      <c r="FI12" s="59">
        <f t="shared" si="23"/>
        <v>259.85742016256722</v>
      </c>
      <c r="FJ12" s="59">
        <f ca="1">AVERAGE(OFFSET($FI$3,0,0,'Données projet'!$E$16+1,1))-AVERAGE(OFFSET($H$3,0,0,'Données projet'!$E$16+1,1))</f>
        <v>508.71179785154317</v>
      </c>
      <c r="FK12" s="59">
        <f t="shared" si="48"/>
        <v>422.73937290731442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64.233631508142764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64.233631508142764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1.35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4.95</v>
      </c>
      <c r="H13" s="67">
        <f t="shared" si="1"/>
        <v>236.86666666666665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64.333665109807853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3.65</v>
      </c>
      <c r="N13" s="13">
        <f>IF('Données projet'!$A$36&gt;35,N12+M13-V12,IF(A13&lt;'Données projet'!$A$36,$K$205^A13,IF(A13='Données projet'!$A$36,'Données projet'!$B$36,N12+M13-V12)))</f>
        <v>8.5440037453175322</v>
      </c>
      <c r="O13" s="13">
        <f>N13*VLOOKUP('Données projet'!$B$9,Paramètres!$A$1:$I$89,3,0)*VLOOKUP('Données projet'!$B$9,Paramètres!$A$1:$I$89,5,0)</f>
        <v>7.7306145887633031</v>
      </c>
      <c r="P13" s="13">
        <f t="shared" si="33"/>
        <v>2.8078763226288115</v>
      </c>
      <c r="Q13" s="20">
        <f t="shared" si="2"/>
        <v>18.354538337341264</v>
      </c>
      <c r="R13" s="59">
        <f t="shared" si="0"/>
        <v>266.46686596219223</v>
      </c>
      <c r="S13" s="59">
        <f ca="1">AVERAGE(OFFSET($R$3,0,0,'Données projet'!$E$9+1,1))-AVERAGE(OFFSET($H$3,0,0,'Données projet'!$E$9+1,1))</f>
        <v>466.90449882701591</v>
      </c>
      <c r="T13" s="59">
        <f t="shared" si="34"/>
        <v>283.37641704892053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64.333665109807853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2.1</v>
      </c>
      <c r="AI13" s="13">
        <f>IF('Données projet'!$A$62&gt;35,AI12+AH13-AQ12,IF(A13&lt;'Données projet'!$A$62,$AF$205^A13,IF(A13='Données projet'!$A$62,'Données projet'!$B$62,AI12+AH13-AQ12)))</f>
        <v>6.4807406984078657</v>
      </c>
      <c r="AJ13" s="13">
        <f>AI13*VLOOKUP('Données projet'!$B$10,Paramètres!$A$1:$I$89,3,0)*VLOOKUP('Données projet'!$B$10,Paramètres!$A$1:$I$89,5,0)</f>
        <v>6.1670728486049251</v>
      </c>
      <c r="AK13" s="13">
        <f t="shared" si="35"/>
        <v>2.2996722184660952</v>
      </c>
      <c r="AL13" s="20">
        <f t="shared" si="4"/>
        <v>14.746247658482027</v>
      </c>
      <c r="AM13" s="59">
        <f t="shared" si="5"/>
        <v>262.85857528333304</v>
      </c>
      <c r="AN13" s="59">
        <f ca="1">AVERAGE(OFFSET($AM$3,0,0,'Données projet'!$E$10+1,1))-AVERAGE(OFFSET($H$3,0,0,'Données projet'!$E$10+1,1))</f>
        <v>399.5572791581468</v>
      </c>
      <c r="AO13" s="59">
        <f t="shared" si="36"/>
        <v>246.34185986079777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64.333665109807853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2.6666666666666665</v>
      </c>
      <c r="BD13" s="12">
        <f>IF('Données projet'!$A$88&gt;35,BD12+BC13-BL12,IF(A13&lt;'Données projet'!$A$88,$BA$205^A13,IF(A13='Données projet'!$A$88,'Données projet'!$B$88,BD12+BC13-BL12)))</f>
        <v>11.696070952851455</v>
      </c>
      <c r="BE13" s="13">
        <f>BD13*VLOOKUP('Données projet'!$B$11,Paramètres!$A$1:$I$89,3,0)*VLOOKUP('Données projet'!$B$11,Paramètres!$A$1:$I$89,5,0)</f>
        <v>9.1229353432241354</v>
      </c>
      <c r="BF13" s="13">
        <f t="shared" si="37"/>
        <v>3.2503265450485803</v>
      </c>
      <c r="BG13" s="20">
        <f t="shared" si="7"/>
        <v>21.550097788741649</v>
      </c>
      <c r="BH13" s="59">
        <f t="shared" si="8"/>
        <v>269.66242541359264</v>
      </c>
      <c r="BI13" s="59">
        <f ca="1">AVERAGE(OFFSET($BH$3,0,0,'Données projet'!$E$11+1,1))-AVERAGE(OFFSET($H$3,0,0,'Données projet'!$E$11+1,1))</f>
        <v>294.23449029791681</v>
      </c>
      <c r="BJ13" s="59">
        <f t="shared" si="38"/>
        <v>288.64639202306159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64.333665109807853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2.1</v>
      </c>
      <c r="BY13" s="12">
        <f>IF('Données projet'!$A$114&gt;35,BY12+BX13-CG12,IF(A13&lt;'Données projet'!$A$114,$BV$205^A13,IF(A13='Données projet'!$A$114,'Données projet'!$B$114,BY12+BX13-CG12)))</f>
        <v>6.4807406984078657</v>
      </c>
      <c r="BZ13" s="13">
        <f>BY13*VLOOKUP('Données projet'!$B$12,Paramètres!$A$1:$I$89,3,0)*VLOOKUP('Données projet'!$B$12,Paramètres!$A$1:$I$89,5,0)</f>
        <v>6.9758692877662263</v>
      </c>
      <c r="CA13" s="13">
        <f t="shared" si="39"/>
        <v>2.5642215932468222</v>
      </c>
      <c r="CB13" s="20">
        <f t="shared" si="10"/>
        <v>16.61565828443106</v>
      </c>
      <c r="CC13" s="59">
        <f t="shared" si="11"/>
        <v>264.72798590928204</v>
      </c>
      <c r="CD13" s="59">
        <f ca="1">AVERAGE(OFFSET($CC$3,0,0,'Données projet'!$E$12+1,1))-AVERAGE(OFFSET($H$3,0,0,'Données projet'!$E$12+1,1))</f>
        <v>445.38112098358147</v>
      </c>
      <c r="CE13" s="59">
        <f t="shared" si="40"/>
        <v>272.45883568548516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64.333665109807853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2.1</v>
      </c>
      <c r="CT13" s="12">
        <f>IF('Données projet'!$A$140&gt;35,CT12+CS13-DB12,IF(A13&lt;'Données projet'!$A$140,$CQ$205^A13,IF(A13='Données projet'!$A$140,'Données projet'!$B$140,CT12+CS13-DB12)))</f>
        <v>6.4807406984078657</v>
      </c>
      <c r="CU13" s="17">
        <f>CT13*VLOOKUP('Données projet'!$B$13,Paramètres!$A$1:$I$89,3,0)*VLOOKUP('Données projet'!$B$13,Paramètres!$A$1:$I$89,5,0)</f>
        <v>6.9758692877662263</v>
      </c>
      <c r="CV13" s="13">
        <f t="shared" si="41"/>
        <v>2.5642215932468222</v>
      </c>
      <c r="CW13" s="20">
        <f t="shared" si="13"/>
        <v>16.61565828443106</v>
      </c>
      <c r="CX13" s="59">
        <f t="shared" si="14"/>
        <v>264.72798590928204</v>
      </c>
      <c r="CY13" s="59">
        <f ca="1">AVERAGE(OFFSET($CX$3,0,0,'Données projet'!$E$13+1,1))-AVERAGE(OFFSET($H$3,0,0,'Données projet'!$E$13+1,1))</f>
        <v>445.38112098358147</v>
      </c>
      <c r="CZ13" s="59">
        <f t="shared" si="42"/>
        <v>272.45883568548516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64.333665109807853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2.1</v>
      </c>
      <c r="DO13" s="12">
        <f>IF('Données projet'!$A$166&gt;35,DO12+DN13-DW12,IF(A13&lt;'Données projet'!$A$166,$DL$205^A13,IF(A13='Données projet'!$A$166,'Données projet'!$B$166,DO12+DN13-DW12)))</f>
        <v>6.4807406984078657</v>
      </c>
      <c r="DP13" s="17">
        <f>DO13*VLOOKUP('Données projet'!$B$14,Paramètres!$A$1:$I$89,3,0)*VLOOKUP('Données projet'!$B$14,Paramètres!$A$1:$I$89,5,0)</f>
        <v>6.2681724035000874</v>
      </c>
      <c r="DQ13" s="13">
        <f t="shared" si="43"/>
        <v>2.3329519459947301</v>
      </c>
      <c r="DR13" s="20">
        <f t="shared" si="16"/>
        <v>14.98029157537014</v>
      </c>
      <c r="DS13" s="59">
        <f t="shared" si="17"/>
        <v>263.09261920022112</v>
      </c>
      <c r="DT13" s="59">
        <f ca="1">AVERAGE(OFFSET($DS$3,0,0,'Données projet'!$E$14+1,1))-AVERAGE(OFFSET($H$3,0,0,'Données projet'!$E$14+1,1))</f>
        <v>405.29179902613089</v>
      </c>
      <c r="DU13" s="59">
        <f t="shared" si="44"/>
        <v>249.61049717638238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64.333665109807853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3.2373333333333334</v>
      </c>
      <c r="EJ13" s="12">
        <f>IF('Données projet'!$A$192&gt;35,EJ12+EI13-ER12,IF(A13&lt;'Données projet'!$A$192,$EG$205^A13,IF(A13='Données projet'!$A$192,'Données projet'!$B$192,EJ12+EI13-ER12)))</f>
        <v>13.310236903610214</v>
      </c>
      <c r="EK13" s="17">
        <f>EJ13*VLOOKUP('Données projet'!$B$15,Paramètres!$A$1:$I$89,3,0)*VLOOKUP('Données projet'!$B$15,Paramètres!$A$1:$I$89,5,0)</f>
        <v>7.9595216683589083</v>
      </c>
      <c r="EL13" s="13">
        <f t="shared" si="45"/>
        <v>2.8812158219477846</v>
      </c>
      <c r="EM13" s="20">
        <f t="shared" si="19"/>
        <v>18.880951128950827</v>
      </c>
      <c r="EN13" s="59">
        <f t="shared" si="20"/>
        <v>266.9932787538018</v>
      </c>
      <c r="EO13" s="59">
        <f ca="1">AVERAGE(OFFSET($EN$3,0,0,'Données projet'!$E$15+1,1))-AVERAGE(OFFSET($H$3,0,0,'Données projet'!$E$15+1,1))</f>
        <v>444.77624981561257</v>
      </c>
      <c r="EP13" s="59">
        <f t="shared" si="46"/>
        <v>382.10319641527587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64.333665109807853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4.5333333333333332</v>
      </c>
      <c r="FE13" s="12">
        <f>IF('Données projet'!$A$218&gt;35,FE12+FD13-FM12,IF(A13&lt;'Données projet'!$A$218,$FB$205^A13,IF(A13='Données projet'!$A$218,'Données projet'!$B$218,FE12+FD13-FM12)))</f>
        <v>16.659908371007919</v>
      </c>
      <c r="FF13" s="17">
        <f>FE13*VLOOKUP('Données projet'!$B$16,Paramètres!$A$1:$I$89,3,0)*VLOOKUP('Données projet'!$B$16,Paramètres!$A$1:$I$89,5,0)</f>
        <v>7.3636794999855013</v>
      </c>
      <c r="FG13" s="13">
        <f t="shared" si="47"/>
        <v>2.6897820987690104</v>
      </c>
      <c r="FH13" s="20">
        <f t="shared" si="22"/>
        <v>17.509778951164108</v>
      </c>
      <c r="FI13" s="59">
        <f t="shared" si="23"/>
        <v>265.62210657601509</v>
      </c>
      <c r="FJ13" s="59">
        <f ca="1">AVERAGE(OFFSET($FI$3,0,0,'Données projet'!$E$16+1,1))-AVERAGE(OFFSET($H$3,0,0,'Données projet'!$E$16+1,1))</f>
        <v>508.71179785154317</v>
      </c>
      <c r="FK13" s="59">
        <f t="shared" si="48"/>
        <v>422.73937290731442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64.333665109807853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64.333665109807853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1.35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4.95</v>
      </c>
      <c r="H14" s="67">
        <f t="shared" si="1"/>
        <v>236.86666666666665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64.431963352125678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3.65</v>
      </c>
      <c r="N14" s="13">
        <f>IF('Données projet'!$A$36&gt;35,N13+M14-V13,IF(A14&lt;'Données projet'!$A$36,$K$205^A14,IF(A14='Données projet'!$A$36,'Données projet'!$B$36,N13+M14-V13)))</f>
        <v>10.588332555950936</v>
      </c>
      <c r="O14" s="13">
        <f>N14*VLOOKUP('Données projet'!$B$9,Paramètres!$A$1:$I$89,3,0)*VLOOKUP('Données projet'!$B$9,Paramètres!$A$1:$I$89,5,0)</f>
        <v>9.5803232966244067</v>
      </c>
      <c r="P14" s="13">
        <f t="shared" si="33"/>
        <v>3.3939041949894282</v>
      </c>
      <c r="Q14" s="20">
        <f t="shared" si="2"/>
        <v>22.596779547894098</v>
      </c>
      <c r="R14" s="59">
        <f t="shared" si="0"/>
        <v>272.29175628346604</v>
      </c>
      <c r="S14" s="59">
        <f ca="1">AVERAGE(OFFSET($R$3,0,0,'Données projet'!$E$9+1,1))-AVERAGE(OFFSET($H$3,0,0,'Données projet'!$E$9+1,1))</f>
        <v>466.90449882701591</v>
      </c>
      <c r="T14" s="59">
        <f t="shared" si="34"/>
        <v>283.37641704892053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64.431963352125678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2.1</v>
      </c>
      <c r="AI14" s="13">
        <f>IF('Données projet'!$A$62&gt;35,AI13+AH14-AQ13,IF(A14&lt;'Données projet'!$A$62,$AF$205^A14,IF(A14='Données projet'!$A$62,'Données projet'!$B$62,AI13+AH14-AQ13)))</f>
        <v>7.8124474610620815</v>
      </c>
      <c r="AJ14" s="13">
        <f>AI14*VLOOKUP('Données projet'!$B$10,Paramètres!$A$1:$I$89,3,0)*VLOOKUP('Données projet'!$B$10,Paramètres!$A$1:$I$89,5,0)</f>
        <v>7.4343250039466771</v>
      </c>
      <c r="AK14" s="13">
        <f t="shared" si="35"/>
        <v>2.712570862107007</v>
      </c>
      <c r="AL14" s="20">
        <f t="shared" si="4"/>
        <v>17.672510300043498</v>
      </c>
      <c r="AM14" s="59">
        <f t="shared" si="5"/>
        <v>267.36748703561545</v>
      </c>
      <c r="AN14" s="59">
        <f ca="1">AVERAGE(OFFSET($AM$3,0,0,'Données projet'!$E$10+1,1))-AVERAGE(OFFSET($H$3,0,0,'Données projet'!$E$10+1,1))</f>
        <v>399.5572791581468</v>
      </c>
      <c r="AO14" s="59">
        <f t="shared" si="36"/>
        <v>246.34185986079777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64.431963352125678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2.6666666666666665</v>
      </c>
      <c r="BD14" s="12">
        <f>IF('Données projet'!$A$88&gt;35,BD13+BC14-BL13,IF(A14&lt;'Données projet'!$A$88,$BA$205^A14,IF(A14='Données projet'!$A$88,'Données projet'!$B$88,BD13+BC14-BL13)))</f>
        <v>14.956982779612416</v>
      </c>
      <c r="BE14" s="13">
        <f>BD14*VLOOKUP('Données projet'!$B$11,Paramètres!$A$1:$I$89,3,0)*VLOOKUP('Données projet'!$B$11,Paramètres!$A$1:$I$89,5,0)</f>
        <v>11.666446568097685</v>
      </c>
      <c r="BF14" s="13">
        <f t="shared" si="37"/>
        <v>4.0392339557111736</v>
      </c>
      <c r="BG14" s="20">
        <f t="shared" si="7"/>
        <v>27.354060245633761</v>
      </c>
      <c r="BH14" s="59">
        <f t="shared" si="8"/>
        <v>277.04903698120569</v>
      </c>
      <c r="BI14" s="59">
        <f ca="1">AVERAGE(OFFSET($BH$3,0,0,'Données projet'!$E$11+1,1))-AVERAGE(OFFSET($H$3,0,0,'Données projet'!$E$11+1,1))</f>
        <v>294.23449029791681</v>
      </c>
      <c r="BJ14" s="59">
        <f t="shared" si="38"/>
        <v>288.64639202306159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64.431963352125678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2.1</v>
      </c>
      <c r="BY14" s="12">
        <f>IF('Données projet'!$A$114&gt;35,BY13+BX14-CG13,IF(A14&lt;'Données projet'!$A$114,$BV$205^A14,IF(A14='Données projet'!$A$114,'Données projet'!$B$114,BY13+BX14-CG13)))</f>
        <v>7.8124474610620815</v>
      </c>
      <c r="BZ14" s="13">
        <f>BY14*VLOOKUP('Données projet'!$B$12,Paramètres!$A$1:$I$89,3,0)*VLOOKUP('Données projet'!$B$12,Paramètres!$A$1:$I$89,5,0)</f>
        <v>8.4093184470872249</v>
      </c>
      <c r="CA14" s="13">
        <f t="shared" si="39"/>
        <v>3.0246192139792929</v>
      </c>
      <c r="CB14" s="20">
        <f t="shared" si="10"/>
        <v>19.914108093024186</v>
      </c>
      <c r="CC14" s="59">
        <f t="shared" si="11"/>
        <v>269.60908482859611</v>
      </c>
      <c r="CD14" s="59">
        <f ca="1">AVERAGE(OFFSET($CC$3,0,0,'Données projet'!$E$12+1,1))-AVERAGE(OFFSET($H$3,0,0,'Données projet'!$E$12+1,1))</f>
        <v>445.38112098358147</v>
      </c>
      <c r="CE14" s="59">
        <f t="shared" si="40"/>
        <v>272.45883568548516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64.431963352125678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2.1</v>
      </c>
      <c r="CT14" s="12">
        <f>IF('Données projet'!$A$140&gt;35,CT13+CS14-DB13,IF(A14&lt;'Données projet'!$A$140,$CQ$205^A14,IF(A14='Données projet'!$A$140,'Données projet'!$B$140,CT13+CS14-DB13)))</f>
        <v>7.8124474610620815</v>
      </c>
      <c r="CU14" s="17">
        <f>CT14*VLOOKUP('Données projet'!$B$13,Paramètres!$A$1:$I$89,3,0)*VLOOKUP('Données projet'!$B$13,Paramètres!$A$1:$I$89,5,0)</f>
        <v>8.4093184470872249</v>
      </c>
      <c r="CV14" s="13">
        <f t="shared" si="41"/>
        <v>3.0246192139792929</v>
      </c>
      <c r="CW14" s="20">
        <f t="shared" si="13"/>
        <v>19.914108093024186</v>
      </c>
      <c r="CX14" s="59">
        <f t="shared" si="14"/>
        <v>269.60908482859611</v>
      </c>
      <c r="CY14" s="59">
        <f ca="1">AVERAGE(OFFSET($CX$3,0,0,'Données projet'!$E$13+1,1))-AVERAGE(OFFSET($H$3,0,0,'Données projet'!$E$13+1,1))</f>
        <v>445.38112098358147</v>
      </c>
      <c r="CZ14" s="59">
        <f t="shared" si="42"/>
        <v>272.45883568548516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64.431963352125678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2.1</v>
      </c>
      <c r="DO14" s="12">
        <f>IF('Données projet'!$A$166&gt;35,DO13+DN14-DW13,IF(A14&lt;'Données projet'!$A$166,$DL$205^A14,IF(A14='Données projet'!$A$166,'Données projet'!$B$166,DO13+DN14-DW13)))</f>
        <v>7.8124474610620815</v>
      </c>
      <c r="DP14" s="17">
        <f>DO14*VLOOKUP('Données projet'!$B$14,Paramètres!$A$1:$I$89,3,0)*VLOOKUP('Données projet'!$B$14,Paramètres!$A$1:$I$89,5,0)</f>
        <v>7.5561991843392455</v>
      </c>
      <c r="DQ14" s="13">
        <f t="shared" si="43"/>
        <v>2.7518258561310041</v>
      </c>
      <c r="DR14" s="20">
        <f t="shared" si="16"/>
        <v>17.953143612152349</v>
      </c>
      <c r="DS14" s="59">
        <f t="shared" si="17"/>
        <v>267.64812034772427</v>
      </c>
      <c r="DT14" s="59">
        <f ca="1">AVERAGE(OFFSET($DS$3,0,0,'Données projet'!$E$14+1,1))-AVERAGE(OFFSET($H$3,0,0,'Données projet'!$E$14+1,1))</f>
        <v>405.29179902613089</v>
      </c>
      <c r="DU14" s="59">
        <f t="shared" si="44"/>
        <v>249.61049717638238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64.431963352125678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3.2373333333333334</v>
      </c>
      <c r="EJ14" s="12">
        <f>IF('Données projet'!$A$192&gt;35,EJ13+EI14-ER13,IF(A14&lt;'Données projet'!$A$192,$EG$205^A14,IF(A14='Données projet'!$A$192,'Données projet'!$B$192,EJ13+EI14-ER13)))</f>
        <v>17.242663941795808</v>
      </c>
      <c r="EK14" s="17">
        <f>EJ14*VLOOKUP('Données projet'!$B$15,Paramètres!$A$1:$I$89,3,0)*VLOOKUP('Données projet'!$B$15,Paramètres!$A$1:$I$89,5,0)</f>
        <v>10.311113037193895</v>
      </c>
      <c r="EL14" s="13">
        <f t="shared" si="45"/>
        <v>3.6216697610179529</v>
      </c>
      <c r="EM14" s="20">
        <f t="shared" si="19"/>
        <v>24.266263373552302</v>
      </c>
      <c r="EN14" s="59">
        <f t="shared" si="20"/>
        <v>273.96124010912422</v>
      </c>
      <c r="EO14" s="59">
        <f ca="1">AVERAGE(OFFSET($EN$3,0,0,'Données projet'!$E$15+1,1))-AVERAGE(OFFSET($H$3,0,0,'Données projet'!$E$15+1,1))</f>
        <v>444.77624981561257</v>
      </c>
      <c r="EP14" s="59">
        <f t="shared" si="46"/>
        <v>382.10319641527587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64.431963352125678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4.5333333333333332</v>
      </c>
      <c r="FE14" s="12">
        <f>IF('Données projet'!$A$218&gt;35,FE13+FD14-FM13,IF(A14&lt;'Données projet'!$A$218,$FB$205^A14,IF(A14='Données projet'!$A$218,'Données projet'!$B$218,FE13+FD14-FM13)))</f>
        <v>22.071907596813695</v>
      </c>
      <c r="FF14" s="17">
        <f>FE14*VLOOKUP('Données projet'!$B$16,Paramètres!$A$1:$I$89,3,0)*VLOOKUP('Données projet'!$B$16,Paramètres!$A$1:$I$89,5,0)</f>
        <v>9.7557831577916545</v>
      </c>
      <c r="FG14" s="13">
        <f t="shared" si="47"/>
        <v>3.4487688767659037</v>
      </c>
      <c r="FH14" s="20">
        <f t="shared" si="22"/>
        <v>22.997928126854415</v>
      </c>
      <c r="FI14" s="59">
        <f t="shared" si="23"/>
        <v>272.69290486242636</v>
      </c>
      <c r="FJ14" s="59">
        <f ca="1">AVERAGE(OFFSET($FI$3,0,0,'Données projet'!$E$16+1,1))-AVERAGE(OFFSET($H$3,0,0,'Données projet'!$E$16+1,1))</f>
        <v>508.71179785154317</v>
      </c>
      <c r="FK14" s="59">
        <f t="shared" si="48"/>
        <v>422.73937290731442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64.431963352125678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64.431963352125678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1.35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4.95</v>
      </c>
      <c r="H15" s="67">
        <f t="shared" si="1"/>
        <v>236.86666666666665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64.52855633970124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3.65</v>
      </c>
      <c r="N15" s="13">
        <f>IF('Données projet'!$A$36&gt;35,N14+M15-V14,IF(A15&lt;'Données projet'!$A$36,$K$205^A15,IF(A15='Données projet'!$A$36,'Données projet'!$B$36,N14+M15-V14)))</f>
        <v>13.121809125710287</v>
      </c>
      <c r="O15" s="13">
        <f>N15*VLOOKUP('Données projet'!$B$9,Paramètres!$A$1:$I$89,3,0)*VLOOKUP('Données projet'!$B$9,Paramètres!$A$1:$I$89,5,0)</f>
        <v>11.872612896942668</v>
      </c>
      <c r="P15" s="13">
        <f t="shared" si="33"/>
        <v>4.1022411108131784</v>
      </c>
      <c r="Q15" s="20">
        <f t="shared" si="2"/>
        <v>27.822870730174767</v>
      </c>
      <c r="R15" s="59">
        <f t="shared" si="0"/>
        <v>279.094243975746</v>
      </c>
      <c r="S15" s="59">
        <f ca="1">AVERAGE(OFFSET($R$3,0,0,'Données projet'!$E$9+1,1))-AVERAGE(OFFSET($H$3,0,0,'Données projet'!$E$9+1,1))</f>
        <v>466.90449882701591</v>
      </c>
      <c r="T15" s="59">
        <f t="shared" si="34"/>
        <v>283.37641704892053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64.52855633970124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2.1</v>
      </c>
      <c r="AI15" s="13">
        <f>IF('Données projet'!$A$62&gt;35,AI14+AH15-AQ14,IF(A15&lt;'Données projet'!$A$62,$AF$205^A15,IF(A15='Données projet'!$A$62,'Données projet'!$B$62,AI14+AH15-AQ14)))</f>
        <v>9.4178024044149407</v>
      </c>
      <c r="AJ15" s="13">
        <f>AI15*VLOOKUP('Données projet'!$B$10,Paramètres!$A$1:$I$89,3,0)*VLOOKUP('Données projet'!$B$10,Paramètres!$A$1:$I$89,5,0)</f>
        <v>8.9619807680412578</v>
      </c>
      <c r="AK15" s="13">
        <f t="shared" si="35"/>
        <v>3.1996041100413177</v>
      </c>
      <c r="AL15" s="20">
        <f t="shared" si="4"/>
        <v>21.181426995993817</v>
      </c>
      <c r="AM15" s="59">
        <f t="shared" si="5"/>
        <v>272.45280024156506</v>
      </c>
      <c r="AN15" s="59">
        <f ca="1">AVERAGE(OFFSET($AM$3,0,0,'Données projet'!$E$10+1,1))-AVERAGE(OFFSET($H$3,0,0,'Données projet'!$E$10+1,1))</f>
        <v>399.5572791581468</v>
      </c>
      <c r="AO15" s="59">
        <f t="shared" si="36"/>
        <v>246.34185986079777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64.52855633970124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2.6666666666666665</v>
      </c>
      <c r="BD15" s="12">
        <f>IF('Données projet'!$A$88&gt;35,BD14+BC15-BL14,IF(A15&lt;'Données projet'!$A$88,$BA$205^A15,IF(A15='Données projet'!$A$88,'Données projet'!$B$88,BD14+BC15-BL14)))</f>
        <v>19.127049995800721</v>
      </c>
      <c r="BE15" s="13">
        <f>BD15*VLOOKUP('Données projet'!$B$11,Paramètres!$A$1:$I$89,3,0)*VLOOKUP('Données projet'!$B$11,Paramètres!$A$1:$I$89,5,0)</f>
        <v>14.919098996724562</v>
      </c>
      <c r="BF15" s="13">
        <f t="shared" si="37"/>
        <v>5.019622097301081</v>
      </c>
      <c r="BG15" s="20">
        <f t="shared" si="7"/>
        <v>34.726605905427995</v>
      </c>
      <c r="BH15" s="59">
        <f t="shared" si="8"/>
        <v>285.99797915099924</v>
      </c>
      <c r="BI15" s="59">
        <f ca="1">AVERAGE(OFFSET($BH$3,0,0,'Données projet'!$E$11+1,1))-AVERAGE(OFFSET($H$3,0,0,'Données projet'!$E$11+1,1))</f>
        <v>294.23449029791681</v>
      </c>
      <c r="BJ15" s="59">
        <f t="shared" si="38"/>
        <v>288.64639202306159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64.52855633970124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2.1</v>
      </c>
      <c r="BY15" s="12">
        <f>IF('Données projet'!$A$114&gt;35,BY14+BX15-CG14,IF(A15&lt;'Données projet'!$A$114,$BV$205^A15,IF(A15='Données projet'!$A$114,'Données projet'!$B$114,BY14+BX15-CG14)))</f>
        <v>9.4178024044149407</v>
      </c>
      <c r="BZ15" s="13">
        <f>BY15*VLOOKUP('Données projet'!$B$12,Paramètres!$A$1:$I$89,3,0)*VLOOKUP('Données projet'!$B$12,Paramètres!$A$1:$I$89,5,0)</f>
        <v>10.137322508112241</v>
      </c>
      <c r="CA15" s="13">
        <f t="shared" si="39"/>
        <v>3.5676797253661268</v>
      </c>
      <c r="CB15" s="20">
        <f t="shared" si="10"/>
        <v>23.869545556641487</v>
      </c>
      <c r="CC15" s="59">
        <f t="shared" si="11"/>
        <v>275.1409188022127</v>
      </c>
      <c r="CD15" s="59">
        <f ca="1">AVERAGE(OFFSET($CC$3,0,0,'Données projet'!$E$12+1,1))-AVERAGE(OFFSET($H$3,0,0,'Données projet'!$E$12+1,1))</f>
        <v>445.38112098358147</v>
      </c>
      <c r="CE15" s="59">
        <f t="shared" si="40"/>
        <v>272.45883568548516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64.52855633970124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2.1</v>
      </c>
      <c r="CT15" s="12">
        <f>IF('Données projet'!$A$140&gt;35,CT14+CS15-DB14,IF(A15&lt;'Données projet'!$A$140,$CQ$205^A15,IF(A15='Données projet'!$A$140,'Données projet'!$B$140,CT14+CS15-DB14)))</f>
        <v>9.4178024044149407</v>
      </c>
      <c r="CU15" s="17">
        <f>CT15*VLOOKUP('Données projet'!$B$13,Paramètres!$A$1:$I$89,3,0)*VLOOKUP('Données projet'!$B$13,Paramètres!$A$1:$I$89,5,0)</f>
        <v>10.137322508112241</v>
      </c>
      <c r="CV15" s="13">
        <f t="shared" si="41"/>
        <v>3.5676797253661268</v>
      </c>
      <c r="CW15" s="20">
        <f t="shared" si="13"/>
        <v>23.869545556641487</v>
      </c>
      <c r="CX15" s="59">
        <f t="shared" si="14"/>
        <v>275.1409188022127</v>
      </c>
      <c r="CY15" s="59">
        <f ca="1">AVERAGE(OFFSET($CX$3,0,0,'Données projet'!$E$13+1,1))-AVERAGE(OFFSET($H$3,0,0,'Données projet'!$E$13+1,1))</f>
        <v>445.38112098358147</v>
      </c>
      <c r="CZ15" s="59">
        <f t="shared" si="42"/>
        <v>272.45883568548516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64.52855633970124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2.1</v>
      </c>
      <c r="DO15" s="12">
        <f>IF('Données projet'!$A$166&gt;35,DO14+DN15-DW14,IF(A15&lt;'Données projet'!$A$166,$DL$205^A15,IF(A15='Données projet'!$A$166,'Données projet'!$B$166,DO14+DN15-DW14)))</f>
        <v>9.4178024044149407</v>
      </c>
      <c r="DP15" s="17">
        <f>DO15*VLOOKUP('Données projet'!$B$14,Paramètres!$A$1:$I$89,3,0)*VLOOKUP('Données projet'!$B$14,Paramètres!$A$1:$I$89,5,0)</f>
        <v>9.1088984855501316</v>
      </c>
      <c r="DQ15" s="13">
        <f t="shared" si="43"/>
        <v>3.2459072101643005</v>
      </c>
      <c r="DR15" s="20">
        <f t="shared" si="16"/>
        <v>21.517953253369303</v>
      </c>
      <c r="DS15" s="59">
        <f t="shared" si="17"/>
        <v>272.78932649894051</v>
      </c>
      <c r="DT15" s="59">
        <f ca="1">AVERAGE(OFFSET($DS$3,0,0,'Données projet'!$E$14+1,1))-AVERAGE(OFFSET($H$3,0,0,'Données projet'!$E$14+1,1))</f>
        <v>405.29179902613089</v>
      </c>
      <c r="DU15" s="59">
        <f t="shared" si="44"/>
        <v>249.61049717638238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64.52855633970124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3.2373333333333334</v>
      </c>
      <c r="EJ15" s="12">
        <f>IF('Données projet'!$A$192&gt;35,EJ14+EI15-ER14,IF(A15&lt;'Données projet'!$A$192,$EG$205^A15,IF(A15='Données projet'!$A$192,'Données projet'!$B$192,EJ14+EI15-ER14)))</f>
        <v>22.336902187598508</v>
      </c>
      <c r="EK15" s="17">
        <f>EJ15*VLOOKUP('Données projet'!$B$15,Paramètres!$A$1:$I$89,3,0)*VLOOKUP('Données projet'!$B$15,Paramètres!$A$1:$I$89,5,0)</f>
        <v>13.357467508183909</v>
      </c>
      <c r="EL15" s="13">
        <f t="shared" si="45"/>
        <v>4.5524156010654915</v>
      </c>
      <c r="EM15" s="20">
        <f t="shared" si="19"/>
        <v>31.193046415276033</v>
      </c>
      <c r="EN15" s="59">
        <f t="shared" si="20"/>
        <v>282.46441966084728</v>
      </c>
      <c r="EO15" s="59">
        <f ca="1">AVERAGE(OFFSET($EN$3,0,0,'Données projet'!$E$15+1,1))-AVERAGE(OFFSET($H$3,0,0,'Données projet'!$E$15+1,1))</f>
        <v>444.77624981561257</v>
      </c>
      <c r="EP15" s="59">
        <f t="shared" si="46"/>
        <v>382.10319641527587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64.52855633970124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4.5333333333333332</v>
      </c>
      <c r="FE15" s="12">
        <f>IF('Données projet'!$A$218&gt;35,FE14+FD15-FM14,IF(A15&lt;'Données projet'!$A$218,$FB$205^A15,IF(A15='Données projet'!$A$218,'Données projet'!$B$218,FE14+FD15-FM14)))</f>
        <v>29.242003864203042</v>
      </c>
      <c r="FF15" s="17">
        <f>FE15*VLOOKUP('Données projet'!$B$16,Paramètres!$A$1:$I$89,3,0)*VLOOKUP('Données projet'!$B$16,Paramètres!$A$1:$I$89,5,0)</f>
        <v>12.924965707977746</v>
      </c>
      <c r="FG15" s="13">
        <f t="shared" si="47"/>
        <v>4.4219220474374099</v>
      </c>
      <c r="FH15" s="20">
        <f t="shared" si="22"/>
        <v>30.212496174014731</v>
      </c>
      <c r="FI15" s="59">
        <f t="shared" si="23"/>
        <v>281.48386941958597</v>
      </c>
      <c r="FJ15" s="59">
        <f ca="1">AVERAGE(OFFSET($FI$3,0,0,'Données projet'!$E$16+1,1))-AVERAGE(OFFSET($H$3,0,0,'Données projet'!$E$16+1,1))</f>
        <v>508.71179785154317</v>
      </c>
      <c r="FK15" s="59">
        <f t="shared" si="48"/>
        <v>422.73937290731442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64.52855633970124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64.52855633970124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1.35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4.95</v>
      </c>
      <c r="H16" s="67">
        <f t="shared" si="1"/>
        <v>236.86666666666665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64.623473654891939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3.65</v>
      </c>
      <c r="N16" s="13">
        <f>IF('Données projet'!$A$36&gt;35,N15+M16-V15,IF(A16&lt;'Données projet'!$A$36,$K$205^A16,IF(A16='Données projet'!$A$36,'Données projet'!$B$36,N15+M16-V15)))</f>
        <v>16.261472127148366</v>
      </c>
      <c r="O16" s="13">
        <f>N16*VLOOKUP('Données projet'!$B$9,Paramètres!$A$1:$I$89,3,0)*VLOOKUP('Données projet'!$B$9,Paramètres!$A$1:$I$89,5,0)</f>
        <v>14.713379980643843</v>
      </c>
      <c r="P16" s="13">
        <f t="shared" si="33"/>
        <v>4.9584140165447881</v>
      </c>
      <c r="Q16" s="20">
        <f t="shared" si="2"/>
        <v>34.261707878436859</v>
      </c>
      <c r="R16" s="59">
        <f t="shared" si="0"/>
        <v>287.10333350192951</v>
      </c>
      <c r="S16" s="59">
        <f ca="1">AVERAGE(OFFSET($R$3,0,0,'Données projet'!$E$9+1,1))-AVERAGE(OFFSET($H$3,0,0,'Données projet'!$E$9+1,1))</f>
        <v>466.90449882701591</v>
      </c>
      <c r="T16" s="59">
        <f t="shared" si="34"/>
        <v>283.37641704892053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64.623473654891939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2.1</v>
      </c>
      <c r="AI16" s="13">
        <f>IF('Données projet'!$A$62&gt;35,AI15+AH16-AQ15,IF(A16&lt;'Données projet'!$A$62,$AF$205^A16,IF(A16='Données projet'!$A$62,'Données projet'!$B$62,AI15+AH16-AQ15)))</f>
        <v>11.35303662145153</v>
      </c>
      <c r="AJ16" s="13">
        <f>AI16*VLOOKUP('Données projet'!$B$10,Paramètres!$A$1:$I$89,3,0)*VLOOKUP('Données projet'!$B$10,Paramètres!$A$1:$I$89,5,0)</f>
        <v>10.803549648973275</v>
      </c>
      <c r="AK16" s="13">
        <f t="shared" si="35"/>
        <v>3.77408258858951</v>
      </c>
      <c r="AL16" s="20">
        <f t="shared" si="4"/>
        <v>25.389376147088512</v>
      </c>
      <c r="AM16" s="59">
        <f t="shared" si="5"/>
        <v>278.23100177058114</v>
      </c>
      <c r="AN16" s="59">
        <f ca="1">AVERAGE(OFFSET($AM$3,0,0,'Données projet'!$E$10+1,1))-AVERAGE(OFFSET($H$3,0,0,'Données projet'!$E$10+1,1))</f>
        <v>399.5572791581468</v>
      </c>
      <c r="AO16" s="59">
        <f t="shared" si="36"/>
        <v>246.34185986079777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64.623473654891939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2.6666666666666665</v>
      </c>
      <c r="BD16" s="12">
        <f>IF('Données projet'!$A$88&gt;35,BD15+BC16-BL15,IF(A16&lt;'Données projet'!$A$88,$BA$205^A16,IF(A16='Données projet'!$A$88,'Données projet'!$B$88,BD15+BC16-BL15)))</f>
        <v>24.459748796430759</v>
      </c>
      <c r="BE16" s="13">
        <f>BD16*VLOOKUP('Données projet'!$B$11,Paramètres!$A$1:$I$89,3,0)*VLOOKUP('Données projet'!$B$11,Paramètres!$A$1:$I$89,5,0)</f>
        <v>19.078604061215994</v>
      </c>
      <c r="BF16" s="13">
        <f t="shared" si="37"/>
        <v>6.2379664748280286</v>
      </c>
      <c r="BG16" s="20">
        <f t="shared" si="7"/>
        <v>44.093027016943331</v>
      </c>
      <c r="BH16" s="59">
        <f t="shared" si="8"/>
        <v>296.93465264043596</v>
      </c>
      <c r="BI16" s="59">
        <f ca="1">AVERAGE(OFFSET($BH$3,0,0,'Données projet'!$E$11+1,1))-AVERAGE(OFFSET($H$3,0,0,'Données projet'!$E$11+1,1))</f>
        <v>294.23449029791681</v>
      </c>
      <c r="BJ16" s="59">
        <f t="shared" si="38"/>
        <v>288.64639202306159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64.623473654891939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2.1</v>
      </c>
      <c r="BY16" s="12">
        <f>IF('Données projet'!$A$114&gt;35,BY15+BX16-CG15,IF(A16&lt;'Données projet'!$A$114,$BV$205^A16,IF(A16='Données projet'!$A$114,'Données projet'!$B$114,BY15+BX16-CG15)))</f>
        <v>11.35303662145153</v>
      </c>
      <c r="BZ16" s="13">
        <f>BY16*VLOOKUP('Données projet'!$B$12,Paramètres!$A$1:$I$89,3,0)*VLOOKUP('Données projet'!$B$12,Paramètres!$A$1:$I$89,5,0)</f>
        <v>12.220408619330426</v>
      </c>
      <c r="CA16" s="13">
        <f t="shared" si="39"/>
        <v>4.2082449797185175</v>
      </c>
      <c r="CB16" s="20">
        <f t="shared" si="10"/>
        <v>28.613238351676909</v>
      </c>
      <c r="CC16" s="59">
        <f t="shared" si="11"/>
        <v>281.45486397516953</v>
      </c>
      <c r="CD16" s="59">
        <f ca="1">AVERAGE(OFFSET($CC$3,0,0,'Données projet'!$E$12+1,1))-AVERAGE(OFFSET($H$3,0,0,'Données projet'!$E$12+1,1))</f>
        <v>445.38112098358147</v>
      </c>
      <c r="CE16" s="59">
        <f t="shared" si="40"/>
        <v>272.45883568548516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64.623473654891939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2.1</v>
      </c>
      <c r="CT16" s="12">
        <f>IF('Données projet'!$A$140&gt;35,CT15+CS16-DB15,IF(A16&lt;'Données projet'!$A$140,$CQ$205^A16,IF(A16='Données projet'!$A$140,'Données projet'!$B$140,CT15+CS16-DB15)))</f>
        <v>11.35303662145153</v>
      </c>
      <c r="CU16" s="17">
        <f>CT16*VLOOKUP('Données projet'!$B$13,Paramètres!$A$1:$I$89,3,0)*VLOOKUP('Données projet'!$B$13,Paramètres!$A$1:$I$89,5,0)</f>
        <v>12.220408619330426</v>
      </c>
      <c r="CV16" s="13">
        <f t="shared" si="41"/>
        <v>4.2082449797185175</v>
      </c>
      <c r="CW16" s="20">
        <f t="shared" si="13"/>
        <v>28.613238351676909</v>
      </c>
      <c r="CX16" s="59">
        <f t="shared" si="14"/>
        <v>281.45486397516953</v>
      </c>
      <c r="CY16" s="59">
        <f ca="1">AVERAGE(OFFSET($CX$3,0,0,'Données projet'!$E$13+1,1))-AVERAGE(OFFSET($H$3,0,0,'Données projet'!$E$13+1,1))</f>
        <v>445.38112098358147</v>
      </c>
      <c r="CZ16" s="59">
        <f t="shared" si="42"/>
        <v>272.45883568548516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64.623473654891939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2.1</v>
      </c>
      <c r="DO16" s="12">
        <f>IF('Données projet'!$A$166&gt;35,DO15+DN16-DW15,IF(A16&lt;'Données projet'!$A$166,$DL$205^A16,IF(A16='Données projet'!$A$166,'Données projet'!$B$166,DO15+DN16-DW15)))</f>
        <v>11.35303662145153</v>
      </c>
      <c r="DP16" s="17">
        <f>DO16*VLOOKUP('Données projet'!$B$14,Paramètres!$A$1:$I$89,3,0)*VLOOKUP('Données projet'!$B$14,Paramètres!$A$1:$I$89,5,0)</f>
        <v>10.98065702026792</v>
      </c>
      <c r="DQ16" s="13">
        <f t="shared" si="43"/>
        <v>3.8286992592655618</v>
      </c>
      <c r="DR16" s="20">
        <f t="shared" si="16"/>
        <v>25.792962186854144</v>
      </c>
      <c r="DS16" s="59">
        <f t="shared" si="17"/>
        <v>278.63458781034677</v>
      </c>
      <c r="DT16" s="59">
        <f ca="1">AVERAGE(OFFSET($DS$3,0,0,'Données projet'!$E$14+1,1))-AVERAGE(OFFSET($H$3,0,0,'Données projet'!$E$14+1,1))</f>
        <v>405.29179902613089</v>
      </c>
      <c r="DU16" s="59">
        <f t="shared" si="44"/>
        <v>249.61049717638238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64.623473654891939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3.2373333333333334</v>
      </c>
      <c r="EJ16" s="12">
        <f>IF('Données projet'!$A$192&gt;35,EJ15+EI16-ER15,IF(A16&lt;'Données projet'!$A$192,$EG$205^A16,IF(A16='Données projet'!$A$192,'Données projet'!$B$192,EJ15+EI16-ER15)))</f>
        <v>28.936201565056958</v>
      </c>
      <c r="EK16" s="17">
        <f>EJ16*VLOOKUP('Données projet'!$B$15,Paramètres!$A$1:$I$89,3,0)*VLOOKUP('Données projet'!$B$15,Paramètres!$A$1:$I$89,5,0)</f>
        <v>17.303848535904063</v>
      </c>
      <c r="EL16" s="13">
        <f t="shared" si="45"/>
        <v>5.7223571370017456</v>
      </c>
      <c r="EM16" s="20">
        <f t="shared" si="19"/>
        <v>40.10397488031095</v>
      </c>
      <c r="EN16" s="59">
        <f t="shared" si="20"/>
        <v>292.94560050380358</v>
      </c>
      <c r="EO16" s="59">
        <f ca="1">AVERAGE(OFFSET($EN$3,0,0,'Données projet'!$E$15+1,1))-AVERAGE(OFFSET($H$3,0,0,'Données projet'!$E$15+1,1))</f>
        <v>444.77624981561257</v>
      </c>
      <c r="EP16" s="59">
        <f t="shared" si="46"/>
        <v>382.10319641527587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64.623473654891939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4.5333333333333332</v>
      </c>
      <c r="FE16" s="12">
        <f>IF('Données projet'!$A$218&gt;35,FE15+FD16-FM15,IF(A16&lt;'Données projet'!$A$218,$FB$205^A16,IF(A16='Données projet'!$A$218,'Données projet'!$B$218,FE15+FD16-FM15)))</f>
        <v>38.741317951036876</v>
      </c>
      <c r="FF16" s="17">
        <f>FE16*VLOOKUP('Données projet'!$B$16,Paramètres!$A$1:$I$89,3,0)*VLOOKUP('Données projet'!$B$16,Paramètres!$A$1:$I$89,5,0)</f>
        <v>17.123662534358303</v>
      </c>
      <c r="FG16" s="13">
        <f t="shared" si="47"/>
        <v>5.6696738147177115</v>
      </c>
      <c r="FH16" s="20">
        <f t="shared" si="22"/>
        <v>39.698394141307396</v>
      </c>
      <c r="FI16" s="59">
        <f t="shared" si="23"/>
        <v>292.54001976480004</v>
      </c>
      <c r="FJ16" s="59">
        <f ca="1">AVERAGE(OFFSET($FI$3,0,0,'Données projet'!$E$16+1,1))-AVERAGE(OFFSET($H$3,0,0,'Données projet'!$E$16+1,1))</f>
        <v>508.71179785154317</v>
      </c>
      <c r="FK16" s="59">
        <f t="shared" si="48"/>
        <v>422.73937290731442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64.623473654891939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64.623473654891939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1.35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4.95</v>
      </c>
      <c r="H17" s="67">
        <f t="shared" si="1"/>
        <v>236.86666666666665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64.716744366867388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3.65</v>
      </c>
      <c r="N17" s="13">
        <f>IF('Données projet'!$A$36&gt;35,N16+M17-V16,IF(A17&lt;'Données projet'!$A$36,$K$205^A17,IF(A17='Données projet'!$A$36,'Données projet'!$B$36,N16+M17-V16)))</f>
        <v>20.152364144963837</v>
      </c>
      <c r="O17" s="13">
        <f>N17*VLOOKUP('Données projet'!$B$9,Paramètres!$A$1:$I$89,3,0)*VLOOKUP('Données projet'!$B$9,Paramètres!$A$1:$I$89,5,0)</f>
        <v>18.233859078363277</v>
      </c>
      <c r="P17" s="13">
        <f t="shared" si="33"/>
        <v>5.9932775513027368</v>
      </c>
      <c r="Q17" s="20">
        <f t="shared" si="2"/>
        <v>42.195596296668306</v>
      </c>
      <c r="R17" s="59">
        <f t="shared" si="0"/>
        <v>296.6014367529599</v>
      </c>
      <c r="S17" s="59">
        <f ca="1">AVERAGE(OFFSET($R$3,0,0,'Données projet'!$E$9+1,1))-AVERAGE(OFFSET($H$3,0,0,'Données projet'!$E$9+1,1))</f>
        <v>466.90449882701591</v>
      </c>
      <c r="T17" s="59">
        <f t="shared" si="34"/>
        <v>283.37641704892053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64.716744366867388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2.1</v>
      </c>
      <c r="AI17" s="13">
        <f>IF('Données projet'!$A$62&gt;35,AI16+AH17-AQ16,IF(A17&lt;'Données projet'!$A$62,$AF$205^A17,IF(A17='Données projet'!$A$62,'Données projet'!$B$62,AI16+AH17-AQ16)))</f>
        <v>13.685935953338433</v>
      </c>
      <c r="AJ17" s="13">
        <f>AI17*VLOOKUP('Données projet'!$B$10,Paramètres!$A$1:$I$89,3,0)*VLOOKUP('Données projet'!$B$10,Paramètres!$A$1:$I$89,5,0)</f>
        <v>13.023536653196853</v>
      </c>
      <c r="AK17" s="13">
        <f t="shared" si="35"/>
        <v>4.4517068035990768</v>
      </c>
      <c r="AL17" s="20">
        <f t="shared" si="4"/>
        <v>30.436049020586243</v>
      </c>
      <c r="AM17" s="59">
        <f t="shared" si="5"/>
        <v>284.84188947687784</v>
      </c>
      <c r="AN17" s="59">
        <f ca="1">AVERAGE(OFFSET($AM$3,0,0,'Données projet'!$E$10+1,1))-AVERAGE(OFFSET($H$3,0,0,'Données projet'!$E$10+1,1))</f>
        <v>399.5572791581468</v>
      </c>
      <c r="AO17" s="59">
        <f t="shared" si="36"/>
        <v>246.34185986079777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64.716744366867388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2.6666666666666665</v>
      </c>
      <c r="BD17" s="12">
        <f>IF('Données projet'!$A$88&gt;35,BD16+BC17-BL16,IF(A17&lt;'Données projet'!$A$88,$BA$205^A17,IF(A17='Données projet'!$A$88,'Données projet'!$B$88,BD16+BC17-BL16)))</f>
        <v>31.279225563578599</v>
      </c>
      <c r="BE17" s="13">
        <f>BD17*VLOOKUP('Données projet'!$B$11,Paramètres!$A$1:$I$89,3,0)*VLOOKUP('Données projet'!$B$11,Paramètres!$A$1:$I$89,5,0)</f>
        <v>24.397795939591308</v>
      </c>
      <c r="BF17" s="13">
        <f t="shared" si="37"/>
        <v>7.75202295846145</v>
      </c>
      <c r="BG17" s="20">
        <f t="shared" si="7"/>
        <v>55.994267914108548</v>
      </c>
      <c r="BH17" s="59">
        <f t="shared" si="8"/>
        <v>310.40010837040012</v>
      </c>
      <c r="BI17" s="59">
        <f ca="1">AVERAGE(OFFSET($BH$3,0,0,'Données projet'!$E$11+1,1))-AVERAGE(OFFSET($H$3,0,0,'Données projet'!$E$11+1,1))</f>
        <v>294.23449029791681</v>
      </c>
      <c r="BJ17" s="59">
        <f t="shared" si="38"/>
        <v>288.64639202306159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64.716744366867388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2.1</v>
      </c>
      <c r="BY17" s="12">
        <f>IF('Données projet'!$A$114&gt;35,BY16+BX17-CG16,IF(A17&lt;'Données projet'!$A$114,$BV$205^A17,IF(A17='Données projet'!$A$114,'Données projet'!$B$114,BY16+BX17-CG16)))</f>
        <v>13.685935953338433</v>
      </c>
      <c r="BZ17" s="13">
        <f>BY17*VLOOKUP('Données projet'!$B$12,Paramètres!$A$1:$I$89,3,0)*VLOOKUP('Données projet'!$B$12,Paramètres!$A$1:$I$89,5,0)</f>
        <v>14.731541460173487</v>
      </c>
      <c r="CA17" s="13">
        <f t="shared" si="39"/>
        <v>4.9638216355053304</v>
      </c>
      <c r="CB17" s="20">
        <f t="shared" si="10"/>
        <v>34.302757391640604</v>
      </c>
      <c r="CC17" s="59">
        <f t="shared" si="11"/>
        <v>288.7085978479322</v>
      </c>
      <c r="CD17" s="59">
        <f ca="1">AVERAGE(OFFSET($CC$3,0,0,'Données projet'!$E$12+1,1))-AVERAGE(OFFSET($H$3,0,0,'Données projet'!$E$12+1,1))</f>
        <v>445.38112098358147</v>
      </c>
      <c r="CE17" s="59">
        <f t="shared" si="40"/>
        <v>272.45883568548516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64.716744366867388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2.1</v>
      </c>
      <c r="CT17" s="12">
        <f>IF('Données projet'!$A$140&gt;35,CT16+CS17-DB16,IF(A17&lt;'Données projet'!$A$140,$CQ$205^A17,IF(A17='Données projet'!$A$140,'Données projet'!$B$140,CT16+CS17-DB16)))</f>
        <v>13.685935953338433</v>
      </c>
      <c r="CU17" s="17">
        <f>CT17*VLOOKUP('Données projet'!$B$13,Paramètres!$A$1:$I$89,3,0)*VLOOKUP('Données projet'!$B$13,Paramètres!$A$1:$I$89,5,0)</f>
        <v>14.731541460173487</v>
      </c>
      <c r="CV17" s="13">
        <f t="shared" si="41"/>
        <v>4.9638216355053304</v>
      </c>
      <c r="CW17" s="20">
        <f t="shared" si="13"/>
        <v>34.302757391640604</v>
      </c>
      <c r="CX17" s="59">
        <f t="shared" si="14"/>
        <v>288.7085978479322</v>
      </c>
      <c r="CY17" s="59">
        <f ca="1">AVERAGE(OFFSET($CX$3,0,0,'Données projet'!$E$13+1,1))-AVERAGE(OFFSET($H$3,0,0,'Données projet'!$E$13+1,1))</f>
        <v>445.38112098358147</v>
      </c>
      <c r="CZ17" s="59">
        <f t="shared" si="42"/>
        <v>272.45883568548516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64.716744366867388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2.1</v>
      </c>
      <c r="DO17" s="12">
        <f>IF('Données projet'!$A$166&gt;35,DO16+DN17-DW16,IF(A17&lt;'Données projet'!$A$166,$DL$205^A17,IF(A17='Données projet'!$A$166,'Données projet'!$B$166,DO16+DN17-DW16)))</f>
        <v>13.685935953338433</v>
      </c>
      <c r="DP17" s="17">
        <f>DO17*VLOOKUP('Données projet'!$B$14,Paramètres!$A$1:$I$89,3,0)*VLOOKUP('Données projet'!$B$14,Paramètres!$A$1:$I$89,5,0)</f>
        <v>13.237037254068934</v>
      </c>
      <c r="DQ17" s="13">
        <f t="shared" si="43"/>
        <v>4.5161297192961545</v>
      </c>
      <c r="DR17" s="20">
        <f t="shared" si="16"/>
        <v>30.920099145277529</v>
      </c>
      <c r="DS17" s="59">
        <f t="shared" si="17"/>
        <v>285.32593960156908</v>
      </c>
      <c r="DT17" s="59">
        <f ca="1">AVERAGE(OFFSET($DS$3,0,0,'Données projet'!$E$14+1,1))-AVERAGE(OFFSET($H$3,0,0,'Données projet'!$E$14+1,1))</f>
        <v>405.29179902613089</v>
      </c>
      <c r="DU17" s="59">
        <f t="shared" si="44"/>
        <v>249.61049717638238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64.716744366867388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3.2373333333333334</v>
      </c>
      <c r="EJ17" s="12">
        <f>IF('Données projet'!$A$192&gt;35,EJ16+EI17-ER16,IF(A17&lt;'Données projet'!$A$192,$EG$205^A17,IF(A17='Données projet'!$A$192,'Données projet'!$B$192,EJ16+EI17-ER16)))</f>
        <v>37.485223061883545</v>
      </c>
      <c r="EK17" s="17">
        <f>EJ17*VLOOKUP('Données projet'!$B$15,Paramètres!$A$1:$I$89,3,0)*VLOOKUP('Données projet'!$B$15,Paramètres!$A$1:$I$89,5,0)</f>
        <v>22.416163391006364</v>
      </c>
      <c r="EL17" s="13">
        <f t="shared" si="45"/>
        <v>7.1929661245626981</v>
      </c>
      <c r="EM17" s="20">
        <f t="shared" si="19"/>
        <v>51.569233906282783</v>
      </c>
      <c r="EN17" s="59">
        <f t="shared" si="20"/>
        <v>305.97507436257433</v>
      </c>
      <c r="EO17" s="59">
        <f ca="1">AVERAGE(OFFSET($EN$3,0,0,'Données projet'!$E$15+1,1))-AVERAGE(OFFSET($H$3,0,0,'Données projet'!$E$15+1,1))</f>
        <v>444.77624981561257</v>
      </c>
      <c r="EP17" s="59">
        <f t="shared" si="46"/>
        <v>382.10319641527587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64.716744366867388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4.5333333333333332</v>
      </c>
      <c r="FE17" s="12">
        <f>IF('Données projet'!$A$218&gt;35,FE16+FD17-FM16,IF(A17&lt;'Données projet'!$A$218,$FB$205^A17,IF(A17='Données projet'!$A$218,'Données projet'!$B$218,FE16+FD17-FM16)))</f>
        <v>51.326500179444416</v>
      </c>
      <c r="FF17" s="17">
        <f>FE17*VLOOKUP('Données projet'!$B$16,Paramètres!$A$1:$I$89,3,0)*VLOOKUP('Données projet'!$B$16,Paramètres!$A$1:$I$89,5,0)</f>
        <v>22.686313079314434</v>
      </c>
      <c r="FG17" s="13">
        <f t="shared" si="47"/>
        <v>7.2695087838385657</v>
      </c>
      <c r="FH17" s="20">
        <f t="shared" si="22"/>
        <v>52.173056411658138</v>
      </c>
      <c r="FI17" s="59">
        <f t="shared" si="23"/>
        <v>306.57889686794971</v>
      </c>
      <c r="FJ17" s="59">
        <f ca="1">AVERAGE(OFFSET($FI$3,0,0,'Données projet'!$E$16+1,1))-AVERAGE(OFFSET($H$3,0,0,'Données projet'!$E$16+1,1))</f>
        <v>508.71179785154317</v>
      </c>
      <c r="FK17" s="59">
        <f t="shared" si="48"/>
        <v>422.73937290731442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64.716744366867388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64.716744366867388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1.35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4.95</v>
      </c>
      <c r="H18" s="67">
        <f t="shared" si="1"/>
        <v>236.86666666666665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64.808397040512148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3.65</v>
      </c>
      <c r="N18" s="13">
        <f>IF('Données projet'!$A$36&gt;35,N17+M18-V17,IF(A18&lt;'Données projet'!$A$36,$K$205^A18,IF(A18='Données projet'!$A$36,'Données projet'!$B$36,N17+M18-V17)))</f>
        <v>24.974232188561476</v>
      </c>
      <c r="O18" s="13">
        <f>N18*VLOOKUP('Données projet'!$B$9,Paramètres!$A$1:$I$89,3,0)*VLOOKUP('Données projet'!$B$9,Paramètres!$A$1:$I$89,5,0)</f>
        <v>22.596685284210423</v>
      </c>
      <c r="P18" s="13">
        <f t="shared" si="33"/>
        <v>7.2441259820371586</v>
      </c>
      <c r="Q18" s="20">
        <f t="shared" si="2"/>
        <v>51.972746288714539</v>
      </c>
      <c r="R18" s="59">
        <f t="shared" si="0"/>
        <v>307.93686877059241</v>
      </c>
      <c r="S18" s="59">
        <f ca="1">AVERAGE(OFFSET($R$3,0,0,'Données projet'!$E$9+1,1))-AVERAGE(OFFSET($H$3,0,0,'Données projet'!$E$9+1,1))</f>
        <v>466.90449882701591</v>
      </c>
      <c r="T18" s="59">
        <f t="shared" si="34"/>
        <v>283.37641704892053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64.808397040512148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2.1</v>
      </c>
      <c r="AI18" s="13">
        <f>IF('Données projet'!$A$62&gt;35,AI17+AH18-AQ17,IF(A18&lt;'Données projet'!$A$62,$AF$205^A18,IF(A18='Données projet'!$A$62,'Données projet'!$B$62,AI17+AH18-AQ17)))</f>
        <v>16.498215337821566</v>
      </c>
      <c r="AJ18" s="13">
        <f>AI18*VLOOKUP('Données projet'!$B$10,Paramètres!$A$1:$I$89,3,0)*VLOOKUP('Données projet'!$B$10,Paramètres!$A$1:$I$89,5,0)</f>
        <v>15.699701715471004</v>
      </c>
      <c r="AK18" s="13">
        <f t="shared" si="35"/>
        <v>5.250996235516082</v>
      </c>
      <c r="AL18" s="20">
        <f t="shared" si="4"/>
        <v>36.489132264635835</v>
      </c>
      <c r="AM18" s="59">
        <f t="shared" si="5"/>
        <v>292.45325474651372</v>
      </c>
      <c r="AN18" s="59">
        <f ca="1">AVERAGE(OFFSET($AM$3,0,0,'Données projet'!$E$10+1,1))-AVERAGE(OFFSET($H$3,0,0,'Données projet'!$E$10+1,1))</f>
        <v>399.5572791581468</v>
      </c>
      <c r="AO18" s="59">
        <f t="shared" si="36"/>
        <v>246.34185986079777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64.808397040512148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40</v>
      </c>
      <c r="BB18" s="12">
        <f>VLOOKUP(A18,'Données projet'!$A$87:$I$107,9,0)</f>
        <v>2.6666666666666665</v>
      </c>
      <c r="BC18" s="12">
        <f t="array" ref="BC18">INDEX(BB:BB,MIN(IF(ISNUMBER(BB18:BB214),ROW(BB18:BB214),"")))</f>
        <v>2.6666666666666665</v>
      </c>
      <c r="BD18" s="12">
        <f>IF('Données projet'!$A$88&gt;35,BD17+BC18-BL17,IF(A18&lt;'Données projet'!$A$88,$BA$205^A18,IF(A18='Données projet'!$A$88,'Données projet'!$B$88,BD17+BC18-BL17)))</f>
        <v>40</v>
      </c>
      <c r="BE18" s="13">
        <f>BD18*VLOOKUP('Données projet'!$B$11,Paramètres!$A$1:$I$89,3,0)*VLOOKUP('Données projet'!$B$11,Paramètres!$A$1:$I$89,5,0)</f>
        <v>31.200000000000003</v>
      </c>
      <c r="BF18" s="13">
        <f t="shared" si="37"/>
        <v>9.6335657126419925</v>
      </c>
      <c r="BG18" s="20">
        <f t="shared" si="7"/>
        <v>71.118460282851473</v>
      </c>
      <c r="BH18" s="59">
        <f t="shared" si="8"/>
        <v>327.08258276472935</v>
      </c>
      <c r="BI18" s="59">
        <f ca="1">AVERAGE(OFFSET($BH$3,0,0,'Données projet'!$E$11+1,1))-AVERAGE(OFFSET($H$3,0,0,'Données projet'!$E$11+1,1))</f>
        <v>294.23449029791681</v>
      </c>
      <c r="BJ18" s="59">
        <f t="shared" si="38"/>
        <v>288.64639202306159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3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64.808397040512148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2.1</v>
      </c>
      <c r="BY18" s="12">
        <f>IF('Données projet'!$A$114&gt;35,BY17+BX18-CG17,IF(A18&lt;'Données projet'!$A$114,$BV$205^A18,IF(A18='Données projet'!$A$114,'Données projet'!$B$114,BY17+BX18-CG17)))</f>
        <v>16.498215337821566</v>
      </c>
      <c r="BZ18" s="13">
        <f>BY18*VLOOKUP('Données projet'!$B$12,Paramètres!$A$1:$I$89,3,0)*VLOOKUP('Données projet'!$B$12,Paramètres!$A$1:$I$89,5,0)</f>
        <v>17.758678989631132</v>
      </c>
      <c r="CA18" s="13">
        <f t="shared" si="39"/>
        <v>5.8550596146042126</v>
      </c>
      <c r="CB18" s="20">
        <f t="shared" si="10"/>
        <v>41.127261402376554</v>
      </c>
      <c r="CC18" s="59">
        <f t="shared" si="11"/>
        <v>297.09138388425447</v>
      </c>
      <c r="CD18" s="59">
        <f ca="1">AVERAGE(OFFSET($CC$3,0,0,'Données projet'!$E$12+1,1))-AVERAGE(OFFSET($H$3,0,0,'Données projet'!$E$12+1,1))</f>
        <v>445.38112098358147</v>
      </c>
      <c r="CE18" s="59">
        <f t="shared" si="40"/>
        <v>272.45883568548516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64.808397040512148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2.1</v>
      </c>
      <c r="CT18" s="12">
        <f>IF('Données projet'!$A$140&gt;35,CT17+CS18-DB17,IF(A18&lt;'Données projet'!$A$140,$CQ$205^A18,IF(A18='Données projet'!$A$140,'Données projet'!$B$140,CT17+CS18-DB17)))</f>
        <v>16.498215337821566</v>
      </c>
      <c r="CU18" s="17">
        <f>CT18*VLOOKUP('Données projet'!$B$13,Paramètres!$A$1:$I$89,3,0)*VLOOKUP('Données projet'!$B$13,Paramètres!$A$1:$I$89,5,0)</f>
        <v>17.758678989631132</v>
      </c>
      <c r="CV18" s="13">
        <f t="shared" si="41"/>
        <v>5.8550596146042126</v>
      </c>
      <c r="CW18" s="20">
        <f t="shared" si="13"/>
        <v>41.127261402376554</v>
      </c>
      <c r="CX18" s="59">
        <f t="shared" si="14"/>
        <v>297.09138388425447</v>
      </c>
      <c r="CY18" s="59">
        <f ca="1">AVERAGE(OFFSET($CX$3,0,0,'Données projet'!$E$13+1,1))-AVERAGE(OFFSET($H$3,0,0,'Données projet'!$E$13+1,1))</f>
        <v>445.38112098358147</v>
      </c>
      <c r="CZ18" s="59">
        <f t="shared" si="42"/>
        <v>272.45883568548516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64.808397040512148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2.1</v>
      </c>
      <c r="DO18" s="12">
        <f>IF('Données projet'!$A$166&gt;35,DO17+DN18-DW17,IF(A18&lt;'Données projet'!$A$166,$DL$205^A18,IF(A18='Données projet'!$A$166,'Données projet'!$B$166,DO17+DN18-DW17)))</f>
        <v>16.498215337821566</v>
      </c>
      <c r="DP18" s="17">
        <f>DO18*VLOOKUP('Données projet'!$B$14,Paramètres!$A$1:$I$89,3,0)*VLOOKUP('Données projet'!$B$14,Paramètres!$A$1:$I$89,5,0)</f>
        <v>15.957073874741019</v>
      </c>
      <c r="DQ18" s="13">
        <f t="shared" si="43"/>
        <v>5.3269860755326848</v>
      </c>
      <c r="DR18" s="20">
        <f t="shared" si="16"/>
        <v>37.069737746726702</v>
      </c>
      <c r="DS18" s="59">
        <f t="shared" si="17"/>
        <v>293.03386022860457</v>
      </c>
      <c r="DT18" s="59">
        <f ca="1">AVERAGE(OFFSET($DS$3,0,0,'Données projet'!$E$14+1,1))-AVERAGE(OFFSET($H$3,0,0,'Données projet'!$E$14+1,1))</f>
        <v>405.29179902613089</v>
      </c>
      <c r="DU18" s="59">
        <f t="shared" si="44"/>
        <v>249.61049717638238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64.808397040512148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>
        <f>VLOOKUP(A18,'Données projet'!$A$191:$I$211,2,0)</f>
        <v>48.56</v>
      </c>
      <c r="EH18" s="12">
        <f>VLOOKUP(A18,'Données projet'!$A$191:$I$211,9,0)</f>
        <v>3.2373333333333334</v>
      </c>
      <c r="EI18" s="12">
        <f t="array" ref="EI18">INDEX(EH:EH,MIN(IF(ISNUMBER(EH18:EH214),ROW(EH18:EH214),"")))</f>
        <v>3.2373333333333334</v>
      </c>
      <c r="EJ18" s="12">
        <f>IF('Données projet'!$A$192&gt;35,EJ17+EI18-ER17,IF(A18&lt;'Données projet'!$A$192,$EG$205^A18,IF(A18='Données projet'!$A$192,'Données projet'!$B$192,EJ17+EI18-ER17)))</f>
        <v>48.56</v>
      </c>
      <c r="EK18" s="17">
        <f>EJ18*VLOOKUP('Données projet'!$B$15,Paramètres!$A$1:$I$89,3,0)*VLOOKUP('Données projet'!$B$15,Paramètres!$A$1:$I$89,5,0)</f>
        <v>29.038880000000002</v>
      </c>
      <c r="EL18" s="13">
        <f t="shared" si="45"/>
        <v>9.0415121654247592</v>
      </c>
      <c r="EM18" s="20">
        <f t="shared" si="19"/>
        <v>66.323349688114789</v>
      </c>
      <c r="EN18" s="59">
        <f t="shared" si="20"/>
        <v>322.28747216999267</v>
      </c>
      <c r="EO18" s="59">
        <f ca="1">AVERAGE(OFFSET($EN$3,0,0,'Données projet'!$E$15+1,1))-AVERAGE(OFFSET($H$3,0,0,'Données projet'!$E$15+1,1))</f>
        <v>444.77624981561257</v>
      </c>
      <c r="EP18" s="59">
        <f t="shared" si="46"/>
        <v>382.10319641527587</v>
      </c>
      <c r="EQ18" s="15">
        <f>IF(ISNA(VLOOKUP(A18,'Données projet'!$A$191:$I$211,3,0)),0,VLOOKUP(A18,'Données projet'!$A$191:$I$211,3,0))</f>
        <v>1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64.808397040512148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>
        <f>VLOOKUP(A18,'Données projet'!$A$217:$I$237,2,0)</f>
        <v>68</v>
      </c>
      <c r="FC18" s="12">
        <f>VLOOKUP(A18,'Données projet'!$A$217:$I$237,9,0)</f>
        <v>4.5333333333333332</v>
      </c>
      <c r="FD18" s="12">
        <f t="array" ref="FD18">INDEX(FC:FC,MIN(IF(ISNUMBER(FC18:FC214),ROW(FC18:FC214),"")))</f>
        <v>4.5333333333333332</v>
      </c>
      <c r="FE18" s="12">
        <f>IF('Données projet'!$A$218&gt;35,FE17+FD18-FM17,IF(A18&lt;'Données projet'!$A$218,$FB$205^A18,IF(A18='Données projet'!$A$218,'Données projet'!$B$218,FE17+FD18-FM17)))</f>
        <v>68</v>
      </c>
      <c r="FF18" s="17">
        <f>FE18*VLOOKUP('Données projet'!$B$16,Paramètres!$A$1:$I$89,3,0)*VLOOKUP('Données projet'!$B$16,Paramètres!$A$1:$I$89,5,0)</f>
        <v>30.056000000000001</v>
      </c>
      <c r="FG18" s="13">
        <f t="shared" si="47"/>
        <v>9.3207757069067334</v>
      </c>
      <c r="FH18" s="20">
        <f t="shared" si="22"/>
        <v>68.581217689529225</v>
      </c>
      <c r="FI18" s="59">
        <f t="shared" si="23"/>
        <v>324.54534017140713</v>
      </c>
      <c r="FJ18" s="59">
        <f ca="1">AVERAGE(OFFSET($FI$3,0,0,'Données projet'!$E$16+1,1))-AVERAGE(OFFSET($H$3,0,0,'Données projet'!$E$16+1,1))</f>
        <v>508.71179785154317</v>
      </c>
      <c r="FK18" s="59">
        <f t="shared" si="48"/>
        <v>422.73937290731442</v>
      </c>
      <c r="FL18" s="15">
        <f>IF(ISNA(VLOOKUP(A18,'Données projet'!$A$217:$I$237,3,0)),0,VLOOKUP(A18,'Données projet'!$A$217:$I$237,3,0))</f>
        <v>1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0.30800000000000005</v>
      </c>
      <c r="FP18" s="16">
        <f>IF(ISNA(VLOOKUP(A18,'Données projet'!$A$217:$I$237,7,0)),0%,VLOOKUP(A18,'Données projet'!$A$217:$I$237,7,0))</f>
        <v>0.44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64.808397040512148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64.808397040512148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1.35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4.95</v>
      </c>
      <c r="H19" s="67">
        <f t="shared" si="1"/>
        <v>236.86666666666665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64.898459745173852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3.65</v>
      </c>
      <c r="N19" s="13">
        <f>IF('Données projet'!$A$36&gt;35,N18+M19-V18,IF(A19&lt;'Données projet'!$A$36,$K$205^A19,IF(A19='Données projet'!$A$36,'Données projet'!$B$36,N18+M19-V18)))</f>
        <v>30.949831440200953</v>
      </c>
      <c r="O19" s="13">
        <f>N19*VLOOKUP('Données projet'!$B$9,Paramètres!$A$1:$I$89,3,0)*VLOOKUP('Données projet'!$B$9,Paramètres!$A$1:$I$89,5,0)</f>
        <v>28.003407487093821</v>
      </c>
      <c r="P19" s="13">
        <f t="shared" si="33"/>
        <v>8.7560372090925433</v>
      </c>
      <c r="Q19" s="20">
        <f t="shared" si="2"/>
        <v>64.022699512524582</v>
      </c>
      <c r="R19" s="59">
        <f t="shared" si="0"/>
        <v>321.53927413371758</v>
      </c>
      <c r="S19" s="59">
        <f ca="1">AVERAGE(OFFSET($R$3,0,0,'Données projet'!$E$9+1,1))-AVERAGE(OFFSET($H$3,0,0,'Données projet'!$E$9+1,1))</f>
        <v>466.90449882701591</v>
      </c>
      <c r="T19" s="59">
        <f t="shared" si="34"/>
        <v>283.37641704892053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64.898459745173852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2.1</v>
      </c>
      <c r="AI19" s="13">
        <f>IF('Données projet'!$A$62&gt;35,AI18+AH19-AQ18,IF(A19&lt;'Données projet'!$A$62,$AF$205^A19,IF(A19='Données projet'!$A$62,'Données projet'!$B$62,AI18+AH19-AQ18)))</f>
        <v>19.888381054913147</v>
      </c>
      <c r="AJ19" s="13">
        <f>AI19*VLOOKUP('Données projet'!$B$10,Paramètres!$A$1:$I$89,3,0)*VLOOKUP('Données projet'!$B$10,Paramètres!$A$1:$I$89,5,0)</f>
        <v>18.925783411855349</v>
      </c>
      <c r="AK19" s="13">
        <f t="shared" si="35"/>
        <v>6.1937954770768169</v>
      </c>
      <c r="AL19" s="20">
        <f t="shared" si="4"/>
        <v>43.749933231556859</v>
      </c>
      <c r="AM19" s="59">
        <f t="shared" si="5"/>
        <v>301.26650785274984</v>
      </c>
      <c r="AN19" s="59">
        <f ca="1">AVERAGE(OFFSET($AM$3,0,0,'Données projet'!$E$10+1,1))-AVERAGE(OFFSET($H$3,0,0,'Données projet'!$E$10+1,1))</f>
        <v>399.5572791581468</v>
      </c>
      <c r="AO19" s="59">
        <f t="shared" si="36"/>
        <v>246.34185986079777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64.898459745173852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9.6</v>
      </c>
      <c r="BD19" s="12">
        <f>IF('Données projet'!$A$88&gt;35,BD18+BC19-BL18,IF(A19&lt;'Données projet'!$A$88,$BA$205^A19,IF(A19='Données projet'!$A$88,'Données projet'!$B$88,BD18+BC19-BL18)))</f>
        <v>46.6</v>
      </c>
      <c r="BE19" s="13">
        <f>BD19*VLOOKUP('Données projet'!$B$11,Paramètres!$A$1:$I$89,3,0)*VLOOKUP('Données projet'!$B$11,Paramètres!$A$1:$I$89,5,0)</f>
        <v>36.347999999999999</v>
      </c>
      <c r="BF19" s="13">
        <f t="shared" si="37"/>
        <v>11.025356771848859</v>
      </c>
      <c r="BG19" s="20">
        <f t="shared" si="7"/>
        <v>82.508596377636763</v>
      </c>
      <c r="BH19" s="59">
        <f t="shared" si="8"/>
        <v>340.02517099882976</v>
      </c>
      <c r="BI19" s="59">
        <f ca="1">AVERAGE(OFFSET($BH$3,0,0,'Données projet'!$E$11+1,1))-AVERAGE(OFFSET($H$3,0,0,'Données projet'!$E$11+1,1))</f>
        <v>294.23449029791681</v>
      </c>
      <c r="BJ19" s="59">
        <f t="shared" si="38"/>
        <v>288.64639202306159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64.898459745173852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2.1</v>
      </c>
      <c r="BY19" s="12">
        <f>IF('Données projet'!$A$114&gt;35,BY18+BX19-CG18,IF(A19&lt;'Données projet'!$A$114,$BV$205^A19,IF(A19='Données projet'!$A$114,'Données projet'!$B$114,BY18+BX19-CG18)))</f>
        <v>19.888381054913147</v>
      </c>
      <c r="BZ19" s="13">
        <f>BY19*VLOOKUP('Données projet'!$B$12,Paramètres!$A$1:$I$89,3,0)*VLOOKUP('Données projet'!$B$12,Paramètres!$A$1:$I$89,5,0)</f>
        <v>21.407853367508512</v>
      </c>
      <c r="CA19" s="13">
        <f t="shared" si="39"/>
        <v>6.906316464991046</v>
      </c>
      <c r="CB19" s="20">
        <f t="shared" si="10"/>
        <v>49.313845791603399</v>
      </c>
      <c r="CC19" s="59">
        <f t="shared" si="11"/>
        <v>306.8304204127964</v>
      </c>
      <c r="CD19" s="59">
        <f ca="1">AVERAGE(OFFSET($CC$3,0,0,'Données projet'!$E$12+1,1))-AVERAGE(OFFSET($H$3,0,0,'Données projet'!$E$12+1,1))</f>
        <v>445.38112098358147</v>
      </c>
      <c r="CE19" s="59">
        <f t="shared" si="40"/>
        <v>272.45883568548516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64.898459745173852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2.1</v>
      </c>
      <c r="CT19" s="12">
        <f>IF('Données projet'!$A$140&gt;35,CT18+CS19-DB18,IF(A19&lt;'Données projet'!$A$140,$CQ$205^A19,IF(A19='Données projet'!$A$140,'Données projet'!$B$140,CT18+CS19-DB18)))</f>
        <v>19.888381054913147</v>
      </c>
      <c r="CU19" s="17">
        <f>CT19*VLOOKUP('Données projet'!$B$13,Paramètres!$A$1:$I$89,3,0)*VLOOKUP('Données projet'!$B$13,Paramètres!$A$1:$I$89,5,0)</f>
        <v>21.407853367508512</v>
      </c>
      <c r="CV19" s="13">
        <f t="shared" si="41"/>
        <v>6.906316464991046</v>
      </c>
      <c r="CW19" s="20">
        <f t="shared" si="13"/>
        <v>49.313845791603399</v>
      </c>
      <c r="CX19" s="59">
        <f t="shared" si="14"/>
        <v>306.8304204127964</v>
      </c>
      <c r="CY19" s="59">
        <f ca="1">AVERAGE(OFFSET($CX$3,0,0,'Données projet'!$E$13+1,1))-AVERAGE(OFFSET($H$3,0,0,'Données projet'!$E$13+1,1))</f>
        <v>445.38112098358147</v>
      </c>
      <c r="CZ19" s="59">
        <f t="shared" si="42"/>
        <v>272.45883568548516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64.898459745173852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2.1</v>
      </c>
      <c r="DO19" s="12">
        <f>IF('Données projet'!$A$166&gt;35,DO18+DN19-DW18,IF(A19&lt;'Données projet'!$A$166,$DL$205^A19,IF(A19='Données projet'!$A$166,'Données projet'!$B$166,DO18+DN19-DW18)))</f>
        <v>19.888381054913147</v>
      </c>
      <c r="DP19" s="17">
        <f>DO19*VLOOKUP('Données projet'!$B$14,Paramètres!$A$1:$I$89,3,0)*VLOOKUP('Données projet'!$B$14,Paramètres!$A$1:$I$89,5,0)</f>
        <v>19.236042156311996</v>
      </c>
      <c r="DQ19" s="13">
        <f t="shared" si="43"/>
        <v>6.2834290449348904</v>
      </c>
      <c r="DR19" s="20">
        <f t="shared" si="16"/>
        <v>44.446412342171662</v>
      </c>
      <c r="DS19" s="59">
        <f t="shared" si="17"/>
        <v>301.96298696336464</v>
      </c>
      <c r="DT19" s="59">
        <f ca="1">AVERAGE(OFFSET($DS$3,0,0,'Données projet'!$E$14+1,1))-AVERAGE(OFFSET($H$3,0,0,'Données projet'!$E$14+1,1))</f>
        <v>405.29179902613089</v>
      </c>
      <c r="DU19" s="59">
        <f t="shared" si="44"/>
        <v>249.61049717638238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64.898459745173852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19.814999999999998</v>
      </c>
      <c r="EJ19" s="12">
        <f>IF('Données projet'!$A$192&gt;35,EJ18+EI19-ER18,IF(A19&lt;'Données projet'!$A$192,$EG$205^A19,IF(A19='Données projet'!$A$192,'Données projet'!$B$192,EJ18+EI19-ER18)))</f>
        <v>68.375</v>
      </c>
      <c r="EK19" s="17">
        <f>EJ19*VLOOKUP('Données projet'!$B$15,Paramètres!$A$1:$I$89,3,0)*VLOOKUP('Données projet'!$B$15,Paramètres!$A$1:$I$89,5,0)</f>
        <v>40.888249999999999</v>
      </c>
      <c r="EL19" s="13">
        <f t="shared" si="45"/>
        <v>12.233775880721598</v>
      </c>
      <c r="EM19" s="20">
        <f t="shared" si="19"/>
        <v>92.52086174225677</v>
      </c>
      <c r="EN19" s="59">
        <f t="shared" si="20"/>
        <v>350.03743636344979</v>
      </c>
      <c r="EO19" s="59">
        <f ca="1">AVERAGE(OFFSET($EN$3,0,0,'Données projet'!$E$15+1,1))-AVERAGE(OFFSET($H$3,0,0,'Données projet'!$E$15+1,1))</f>
        <v>444.77624981561257</v>
      </c>
      <c r="EP19" s="59">
        <f t="shared" si="46"/>
        <v>382.10319641527587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64.898459745173852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25.6</v>
      </c>
      <c r="FE19" s="12">
        <f>IF('Données projet'!$A$218&gt;35,FE18+FD19-FM18,IF(A19&lt;'Données projet'!$A$218,$FB$205^A19,IF(A19='Données projet'!$A$218,'Données projet'!$B$218,FE18+FD19-FM18)))</f>
        <v>93.6</v>
      </c>
      <c r="FF19" s="17">
        <f>FE19*VLOOKUP('Données projet'!$B$16,Paramètres!$A$1:$I$89,3,0)*VLOOKUP('Données projet'!$B$16,Paramètres!$A$1:$I$89,5,0)</f>
        <v>41.371200000000002</v>
      </c>
      <c r="FG19" s="13">
        <f t="shared" si="47"/>
        <v>12.361367612157643</v>
      </c>
      <c r="FH19" s="20">
        <f t="shared" si="22"/>
        <v>93.584221924507901</v>
      </c>
      <c r="FI19" s="59">
        <f t="shared" si="23"/>
        <v>351.10079654570092</v>
      </c>
      <c r="FJ19" s="59">
        <f ca="1">AVERAGE(OFFSET($FI$3,0,0,'Données projet'!$E$16+1,1))-AVERAGE(OFFSET($H$3,0,0,'Données projet'!$E$16+1,1))</f>
        <v>508.71179785154317</v>
      </c>
      <c r="FK19" s="59">
        <f t="shared" si="48"/>
        <v>422.73937290731442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64.898459745173852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64.898459745173852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1.35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4.95</v>
      </c>
      <c r="H20" s="67">
        <f t="shared" si="1"/>
        <v>236.86666666666665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64.986960063259716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3.65</v>
      </c>
      <c r="N20" s="13">
        <f>IF('Données projet'!$A$36&gt;35,N19+M20-V19,IF(A20&lt;'Données projet'!$A$36,$K$205^A20,IF(A20='Données projet'!$A$36,'Données projet'!$B$36,N19+M20-V19)))</f>
        <v>38.355215845858055</v>
      </c>
      <c r="O20" s="13">
        <f>N20*VLOOKUP('Données projet'!$B$9,Paramètres!$A$1:$I$89,3,0)*VLOOKUP('Données projet'!$B$9,Paramètres!$A$1:$I$89,5,0)</f>
        <v>34.703799297332367</v>
      </c>
      <c r="P20" s="13">
        <f t="shared" si="33"/>
        <v>10.583497277259243</v>
      </c>
      <c r="Q20" s="20">
        <f t="shared" si="2"/>
        <v>78.875374867413711</v>
      </c>
      <c r="R20" s="59">
        <f t="shared" si="0"/>
        <v>337.9386728771438</v>
      </c>
      <c r="S20" s="59">
        <f ca="1">AVERAGE(OFFSET($R$3,0,0,'Données projet'!$E$9+1,1))-AVERAGE(OFFSET($H$3,0,0,'Données projet'!$E$9+1,1))</f>
        <v>466.90449882701591</v>
      </c>
      <c r="T20" s="59">
        <f t="shared" si="34"/>
        <v>283.37641704892053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64.986960063259716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2.1</v>
      </c>
      <c r="AI20" s="13">
        <f>IF('Données projet'!$A$62&gt;35,AI19+AH20-AQ19,IF(A20&lt;'Données projet'!$A$62,$AF$205^A20,IF(A20='Données projet'!$A$62,'Données projet'!$B$62,AI19+AH20-AQ19)))</f>
        <v>23.975181126327602</v>
      </c>
      <c r="AJ20" s="13">
        <f>AI20*VLOOKUP('Données projet'!$B$10,Paramètres!$A$1:$I$89,3,0)*VLOOKUP('Données projet'!$B$10,Paramètres!$A$1:$I$89,5,0)</f>
        <v>22.814782359813346</v>
      </c>
      <c r="AK20" s="13">
        <f t="shared" si="35"/>
        <v>7.3058712463706073</v>
      </c>
      <c r="AL20" s="20">
        <f t="shared" si="4"/>
        <v>52.46013836410372</v>
      </c>
      <c r="AM20" s="59">
        <f t="shared" si="5"/>
        <v>311.52343637383382</v>
      </c>
      <c r="AN20" s="59">
        <f ca="1">AVERAGE(OFFSET($AM$3,0,0,'Données projet'!$E$10+1,1))-AVERAGE(OFFSET($H$3,0,0,'Données projet'!$E$10+1,1))</f>
        <v>399.5572791581468</v>
      </c>
      <c r="AO20" s="59">
        <f t="shared" si="36"/>
        <v>246.34185986079777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64.986960063259716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9.6</v>
      </c>
      <c r="BD20" s="12">
        <f>IF('Données projet'!$A$88&gt;35,BD19+BC20-BL19,IF(A20&lt;'Données projet'!$A$88,$BA$205^A20,IF(A20='Données projet'!$A$88,'Données projet'!$B$88,BD19+BC20-BL19)))</f>
        <v>56.2</v>
      </c>
      <c r="BE20" s="13">
        <f>BD20*VLOOKUP('Données projet'!$B$11,Paramètres!$A$1:$I$89,3,0)*VLOOKUP('Données projet'!$B$11,Paramètres!$A$1:$I$89,5,0)</f>
        <v>43.836000000000006</v>
      </c>
      <c r="BF20" s="13">
        <f t="shared" si="37"/>
        <v>13.009897179721728</v>
      </c>
      <c r="BG20" s="20">
        <f t="shared" si="7"/>
        <v>99.006604254682017</v>
      </c>
      <c r="BH20" s="59">
        <f t="shared" si="8"/>
        <v>358.06990226441212</v>
      </c>
      <c r="BI20" s="59">
        <f ca="1">AVERAGE(OFFSET($BH$3,0,0,'Données projet'!$E$11+1,1))-AVERAGE(OFFSET($H$3,0,0,'Données projet'!$E$11+1,1))</f>
        <v>294.23449029791681</v>
      </c>
      <c r="BJ20" s="59">
        <f t="shared" si="38"/>
        <v>288.64639202306159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64.986960063259716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2.1</v>
      </c>
      <c r="BY20" s="12">
        <f>IF('Données projet'!$A$114&gt;35,BY19+BX20-CG19,IF(A20&lt;'Données projet'!$A$114,$BV$205^A20,IF(A20='Données projet'!$A$114,'Données projet'!$B$114,BY19+BX20-CG19)))</f>
        <v>23.975181126327602</v>
      </c>
      <c r="BZ20" s="13">
        <f>BY20*VLOOKUP('Données projet'!$B$12,Paramètres!$A$1:$I$89,3,0)*VLOOKUP('Données projet'!$B$12,Paramètres!$A$1:$I$89,5,0)</f>
        <v>25.80688496437903</v>
      </c>
      <c r="CA20" s="13">
        <f t="shared" si="39"/>
        <v>8.146323052908933</v>
      </c>
      <c r="CB20" s="20">
        <f t="shared" si="10"/>
        <v>59.135170630109862</v>
      </c>
      <c r="CC20" s="59">
        <f t="shared" si="11"/>
        <v>318.19846863983997</v>
      </c>
      <c r="CD20" s="59">
        <f ca="1">AVERAGE(OFFSET($CC$3,0,0,'Données projet'!$E$12+1,1))-AVERAGE(OFFSET($H$3,0,0,'Données projet'!$E$12+1,1))</f>
        <v>445.38112098358147</v>
      </c>
      <c r="CE20" s="59">
        <f t="shared" si="40"/>
        <v>272.45883568548516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64.986960063259716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2.1</v>
      </c>
      <c r="CT20" s="12">
        <f>IF('Données projet'!$A$140&gt;35,CT19+CS20-DB19,IF(A20&lt;'Données projet'!$A$140,$CQ$205^A20,IF(A20='Données projet'!$A$140,'Données projet'!$B$140,CT19+CS20-DB19)))</f>
        <v>23.975181126327602</v>
      </c>
      <c r="CU20" s="17">
        <f>CT20*VLOOKUP('Données projet'!$B$13,Paramètres!$A$1:$I$89,3,0)*VLOOKUP('Données projet'!$B$13,Paramètres!$A$1:$I$89,5,0)</f>
        <v>25.80688496437903</v>
      </c>
      <c r="CV20" s="13">
        <f t="shared" si="41"/>
        <v>8.146323052908933</v>
      </c>
      <c r="CW20" s="20">
        <f t="shared" si="13"/>
        <v>59.135170630109862</v>
      </c>
      <c r="CX20" s="59">
        <f t="shared" si="14"/>
        <v>318.19846863983997</v>
      </c>
      <c r="CY20" s="59">
        <f ca="1">AVERAGE(OFFSET($CX$3,0,0,'Données projet'!$E$13+1,1))-AVERAGE(OFFSET($H$3,0,0,'Données projet'!$E$13+1,1))</f>
        <v>445.38112098358147</v>
      </c>
      <c r="CZ20" s="59">
        <f t="shared" si="42"/>
        <v>272.45883568548516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64.986960063259716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2.1</v>
      </c>
      <c r="DO20" s="12">
        <f>IF('Données projet'!$A$166&gt;35,DO19+DN20-DW19,IF(A20&lt;'Données projet'!$A$166,$DL$205^A20,IF(A20='Données projet'!$A$166,'Données projet'!$B$166,DO19+DN20-DW19)))</f>
        <v>23.975181126327602</v>
      </c>
      <c r="DP20" s="17">
        <f>DO20*VLOOKUP('Données projet'!$B$14,Paramètres!$A$1:$I$89,3,0)*VLOOKUP('Données projet'!$B$14,Paramètres!$A$1:$I$89,5,0)</f>
        <v>23.188795185384055</v>
      </c>
      <c r="DQ20" s="13">
        <f t="shared" si="43"/>
        <v>7.4115982288884323</v>
      </c>
      <c r="DR20" s="20">
        <f t="shared" si="16"/>
        <v>53.29568519652458</v>
      </c>
      <c r="DS20" s="59">
        <f t="shared" si="17"/>
        <v>312.35898320625466</v>
      </c>
      <c r="DT20" s="59">
        <f ca="1">AVERAGE(OFFSET($DS$3,0,0,'Données projet'!$E$14+1,1))-AVERAGE(OFFSET($H$3,0,0,'Données projet'!$E$14+1,1))</f>
        <v>405.29179902613089</v>
      </c>
      <c r="DU20" s="59">
        <f t="shared" si="44"/>
        <v>249.61049717638238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64.986960063259716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19.814999999999998</v>
      </c>
      <c r="EJ20" s="12">
        <f>IF('Données projet'!$A$192&gt;35,EJ19+EI20-ER19,IF(A20&lt;'Données projet'!$A$192,$EG$205^A20,IF(A20='Données projet'!$A$192,'Données projet'!$B$192,EJ19+EI20-ER19)))</f>
        <v>88.19</v>
      </c>
      <c r="EK20" s="17">
        <f>EJ20*VLOOKUP('Données projet'!$B$15,Paramètres!$A$1:$I$89,3,0)*VLOOKUP('Données projet'!$B$15,Paramètres!$A$1:$I$89,5,0)</f>
        <v>52.73762</v>
      </c>
      <c r="EL20" s="13">
        <f t="shared" si="45"/>
        <v>15.318553658088213</v>
      </c>
      <c r="EM20" s="20">
        <f t="shared" si="19"/>
        <v>118.53116912117031</v>
      </c>
      <c r="EN20" s="59">
        <f t="shared" si="20"/>
        <v>377.5944671309004</v>
      </c>
      <c r="EO20" s="59">
        <f ca="1">AVERAGE(OFFSET($EN$3,0,0,'Données projet'!$E$15+1,1))-AVERAGE(OFFSET($H$3,0,0,'Données projet'!$E$15+1,1))</f>
        <v>444.77624981561257</v>
      </c>
      <c r="EP20" s="59">
        <f t="shared" si="46"/>
        <v>382.10319641527587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64.986960063259716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25.6</v>
      </c>
      <c r="FE20" s="12">
        <f>IF('Données projet'!$A$218&gt;35,FE19+FD20-FM19,IF(A20&lt;'Données projet'!$A$218,$FB$205^A20,IF(A20='Données projet'!$A$218,'Données projet'!$B$218,FE19+FD20-FM19)))</f>
        <v>119.19999999999999</v>
      </c>
      <c r="FF20" s="17">
        <f>FE20*VLOOKUP('Données projet'!$B$16,Paramètres!$A$1:$I$89,3,0)*VLOOKUP('Données projet'!$B$16,Paramètres!$A$1:$I$89,5,0)</f>
        <v>52.686399999999999</v>
      </c>
      <c r="FG20" s="13">
        <f t="shared" si="47"/>
        <v>15.305406948372099</v>
      </c>
      <c r="FH20" s="20">
        <f t="shared" si="22"/>
        <v>118.41906376841473</v>
      </c>
      <c r="FI20" s="59">
        <f t="shared" si="23"/>
        <v>377.48236177814482</v>
      </c>
      <c r="FJ20" s="59">
        <f ca="1">AVERAGE(OFFSET($FI$3,0,0,'Données projet'!$E$16+1,1))-AVERAGE(OFFSET($H$3,0,0,'Données projet'!$E$16+1,1))</f>
        <v>508.71179785154317</v>
      </c>
      <c r="FK20" s="59">
        <f t="shared" si="48"/>
        <v>422.73937290731442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64.986960063259716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64.986960063259716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1.35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4.95</v>
      </c>
      <c r="H21" s="67">
        <f t="shared" si="1"/>
        <v>236.86666666666665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65.073925098683873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3.65</v>
      </c>
      <c r="N21" s="13">
        <f>IF('Données projet'!$A$36&gt;35,N20+M21-V20,IF(A21&lt;'Données projet'!$A$36,$K$205^A21,IF(A21='Données projet'!$A$36,'Données projet'!$B$36,N20+M21-V20)))</f>
        <v>47.532490941824946</v>
      </c>
      <c r="O21" s="13">
        <f>N21*VLOOKUP('Données projet'!$B$9,Paramètres!$A$1:$I$89,3,0)*VLOOKUP('Données projet'!$B$9,Paramètres!$A$1:$I$89,5,0)</f>
        <v>43.007397804163212</v>
      </c>
      <c r="P21" s="13">
        <f t="shared" si="33"/>
        <v>12.792363936215189</v>
      </c>
      <c r="Q21" s="20">
        <f t="shared" si="2"/>
        <v>97.184585031159045</v>
      </c>
      <c r="R21" s="59">
        <f t="shared" si="0"/>
        <v>357.78897705966659</v>
      </c>
      <c r="S21" s="59">
        <f ca="1">AVERAGE(OFFSET($R$3,0,0,'Données projet'!$E$9+1,1))-AVERAGE(OFFSET($H$3,0,0,'Données projet'!$E$9+1,1))</f>
        <v>466.90449882701591</v>
      </c>
      <c r="T21" s="59">
        <f t="shared" si="34"/>
        <v>283.37641704892053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65.073925098683873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2.1</v>
      </c>
      <c r="AI21" s="13">
        <f>IF('Données projet'!$A$62&gt;35,AI20+AH21-AQ20,IF(A21&lt;'Données projet'!$A$62,$AF$205^A21,IF(A21='Données projet'!$A$62,'Données projet'!$B$62,AI20+AH21-AQ20)))</f>
        <v>28.901764726506816</v>
      </c>
      <c r="AJ21" s="13">
        <f>AI21*VLOOKUP('Données projet'!$B$10,Paramètres!$A$1:$I$89,3,0)*VLOOKUP('Données projet'!$B$10,Paramètres!$A$1:$I$89,5,0)</f>
        <v>27.502919313743888</v>
      </c>
      <c r="AK21" s="13">
        <f t="shared" si="35"/>
        <v>8.6176165916501422</v>
      </c>
      <c r="AL21" s="20">
        <f t="shared" si="4"/>
        <v>62.909933368561269</v>
      </c>
      <c r="AM21" s="59">
        <f t="shared" si="5"/>
        <v>323.51432539706883</v>
      </c>
      <c r="AN21" s="59">
        <f ca="1">AVERAGE(OFFSET($AM$3,0,0,'Données projet'!$E$10+1,1))-AVERAGE(OFFSET($H$3,0,0,'Données projet'!$E$10+1,1))</f>
        <v>399.5572791581468</v>
      </c>
      <c r="AO21" s="59">
        <f t="shared" si="36"/>
        <v>246.34185986079777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65.073925098683873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9.6</v>
      </c>
      <c r="BD21" s="12">
        <f>IF('Données projet'!$A$88&gt;35,BD20+BC21-BL20,IF(A21&lt;'Données projet'!$A$88,$BA$205^A21,IF(A21='Données projet'!$A$88,'Données projet'!$B$88,BD20+BC21-BL20)))</f>
        <v>65.8</v>
      </c>
      <c r="BE21" s="13">
        <f>BD21*VLOOKUP('Données projet'!$B$11,Paramètres!$A$1:$I$89,3,0)*VLOOKUP('Données projet'!$B$11,Paramètres!$A$1:$I$89,5,0)</f>
        <v>51.323999999999998</v>
      </c>
      <c r="BF21" s="13">
        <f t="shared" si="37"/>
        <v>14.95516659950003</v>
      </c>
      <c r="BG21" s="20">
        <f t="shared" si="7"/>
        <v>115.43621516079588</v>
      </c>
      <c r="BH21" s="59">
        <f t="shared" si="8"/>
        <v>376.04060718930344</v>
      </c>
      <c r="BI21" s="59">
        <f ca="1">AVERAGE(OFFSET($BH$3,0,0,'Données projet'!$E$11+1,1))-AVERAGE(OFFSET($H$3,0,0,'Données projet'!$E$11+1,1))</f>
        <v>294.23449029791681</v>
      </c>
      <c r="BJ21" s="59">
        <f t="shared" si="38"/>
        <v>288.64639202306159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65.073925098683873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2.1</v>
      </c>
      <c r="BY21" s="12">
        <f>IF('Données projet'!$A$114&gt;35,BY20+BX21-CG20,IF(A21&lt;'Données projet'!$A$114,$BV$205^A21,IF(A21='Données projet'!$A$114,'Données projet'!$B$114,BY20+BX21-CG20)))</f>
        <v>28.901764726506816</v>
      </c>
      <c r="BZ21" s="13">
        <f>BY21*VLOOKUP('Données projet'!$B$12,Paramètres!$A$1:$I$89,3,0)*VLOOKUP('Données projet'!$B$12,Paramètres!$A$1:$I$89,5,0)</f>
        <v>31.109859551611933</v>
      </c>
      <c r="CA21" s="13">
        <f t="shared" si="39"/>
        <v>9.6089687778941872</v>
      </c>
      <c r="CB21" s="20">
        <f t="shared" si="10"/>
        <v>70.918626007223153</v>
      </c>
      <c r="CC21" s="59">
        <f t="shared" si="11"/>
        <v>331.52301803573073</v>
      </c>
      <c r="CD21" s="59">
        <f ca="1">AVERAGE(OFFSET($CC$3,0,0,'Données projet'!$E$12+1,1))-AVERAGE(OFFSET($H$3,0,0,'Données projet'!$E$12+1,1))</f>
        <v>445.38112098358147</v>
      </c>
      <c r="CE21" s="59">
        <f t="shared" si="40"/>
        <v>272.45883568548516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65.073925098683873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2.1</v>
      </c>
      <c r="CT21" s="12">
        <f>IF('Données projet'!$A$140&gt;35,CT20+CS21-DB20,IF(A21&lt;'Données projet'!$A$140,$CQ$205^A21,IF(A21='Données projet'!$A$140,'Données projet'!$B$140,CT20+CS21-DB20)))</f>
        <v>28.901764726506816</v>
      </c>
      <c r="CU21" s="17">
        <f>CT21*VLOOKUP('Données projet'!$B$13,Paramètres!$A$1:$I$89,3,0)*VLOOKUP('Données projet'!$B$13,Paramètres!$A$1:$I$89,5,0)</f>
        <v>31.109859551611933</v>
      </c>
      <c r="CV21" s="13">
        <f t="shared" si="41"/>
        <v>9.6089687778941872</v>
      </c>
      <c r="CW21" s="20">
        <f t="shared" si="13"/>
        <v>70.918626007223153</v>
      </c>
      <c r="CX21" s="59">
        <f t="shared" si="14"/>
        <v>331.52301803573073</v>
      </c>
      <c r="CY21" s="59">
        <f ca="1">AVERAGE(OFFSET($CX$3,0,0,'Données projet'!$E$13+1,1))-AVERAGE(OFFSET($H$3,0,0,'Données projet'!$E$13+1,1))</f>
        <v>445.38112098358147</v>
      </c>
      <c r="CZ21" s="59">
        <f t="shared" si="42"/>
        <v>272.45883568548516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65.073925098683873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2.1</v>
      </c>
      <c r="DO21" s="12">
        <f>IF('Données projet'!$A$166&gt;35,DO20+DN21-DW20,IF(A21&lt;'Données projet'!$A$166,$DL$205^A21,IF(A21='Données projet'!$A$166,'Données projet'!$B$166,DO20+DN21-DW20)))</f>
        <v>28.901764726506816</v>
      </c>
      <c r="DP21" s="17">
        <f>DO21*VLOOKUP('Données projet'!$B$14,Paramètres!$A$1:$I$89,3,0)*VLOOKUP('Données projet'!$B$14,Paramètres!$A$1:$I$89,5,0)</f>
        <v>27.953786843477392</v>
      </c>
      <c r="DQ21" s="13">
        <f t="shared" si="43"/>
        <v>8.7423265089215931</v>
      </c>
      <c r="DR21" s="20">
        <f t="shared" si="16"/>
        <v>63.912397422094891</v>
      </c>
      <c r="DS21" s="59">
        <f t="shared" si="17"/>
        <v>324.51678945060246</v>
      </c>
      <c r="DT21" s="59">
        <f ca="1">AVERAGE(OFFSET($DS$3,0,0,'Données projet'!$E$14+1,1))-AVERAGE(OFFSET($H$3,0,0,'Données projet'!$E$14+1,1))</f>
        <v>405.29179902613089</v>
      </c>
      <c r="DU21" s="59">
        <f t="shared" si="44"/>
        <v>249.61049717638238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65.073925098683873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19.814999999999998</v>
      </c>
      <c r="EJ21" s="12">
        <f>IF('Données projet'!$A$192&gt;35,EJ20+EI21-ER20,IF(A21&lt;'Données projet'!$A$192,$EG$205^A21,IF(A21='Données projet'!$A$192,'Données projet'!$B$192,EJ20+EI21-ER20)))</f>
        <v>108.005</v>
      </c>
      <c r="EK21" s="17">
        <f>EJ21*VLOOKUP('Données projet'!$B$15,Paramètres!$A$1:$I$89,3,0)*VLOOKUP('Données projet'!$B$15,Paramètres!$A$1:$I$89,5,0)</f>
        <v>64.58699</v>
      </c>
      <c r="EL21" s="13">
        <f t="shared" si="45"/>
        <v>18.32298503252624</v>
      </c>
      <c r="EM21" s="20">
        <f t="shared" si="19"/>
        <v>144.4015398483165</v>
      </c>
      <c r="EN21" s="59">
        <f t="shared" si="20"/>
        <v>405.00593187682409</v>
      </c>
      <c r="EO21" s="59">
        <f ca="1">AVERAGE(OFFSET($EN$3,0,0,'Données projet'!$E$15+1,1))-AVERAGE(OFFSET($H$3,0,0,'Données projet'!$E$15+1,1))</f>
        <v>444.77624981561257</v>
      </c>
      <c r="EP21" s="59">
        <f t="shared" si="46"/>
        <v>382.10319641527587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65.073925098683873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25.6</v>
      </c>
      <c r="FE21" s="12">
        <f>IF('Données projet'!$A$218&gt;35,FE20+FD21-FM20,IF(A21&lt;'Données projet'!$A$218,$FB$205^A21,IF(A21='Données projet'!$A$218,'Données projet'!$B$218,FE20+FD21-FM20)))</f>
        <v>144.79999999999998</v>
      </c>
      <c r="FF21" s="17">
        <f>FE21*VLOOKUP('Données projet'!$B$16,Paramètres!$A$1:$I$89,3,0)*VLOOKUP('Données projet'!$B$16,Paramètres!$A$1:$I$89,5,0)</f>
        <v>64.001599999999996</v>
      </c>
      <c r="FG21" s="13">
        <f t="shared" si="47"/>
        <v>18.176166122887512</v>
      </c>
      <c r="FH21" s="20">
        <f t="shared" si="22"/>
        <v>143.1262759973624</v>
      </c>
      <c r="FI21" s="59">
        <f t="shared" si="23"/>
        <v>403.73066802586993</v>
      </c>
      <c r="FJ21" s="59">
        <f ca="1">AVERAGE(OFFSET($FI$3,0,0,'Données projet'!$E$16+1,1))-AVERAGE(OFFSET($H$3,0,0,'Données projet'!$E$16+1,1))</f>
        <v>508.71179785154317</v>
      </c>
      <c r="FK21" s="59">
        <f t="shared" si="48"/>
        <v>422.73937290731442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65.073925098683873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65.073925098683873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1.35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4.95</v>
      </c>
      <c r="H22" s="67">
        <f t="shared" si="1"/>
        <v>236.86666666666665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65.159381485168097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3.65</v>
      </c>
      <c r="N22" s="13">
        <f>IF('Données projet'!$A$36&gt;35,N21+M22-V21,IF(A22&lt;'Données projet'!$A$36,$K$205^A22,IF(A22='Données projet'!$A$36,'Données projet'!$B$36,N21+M22-V21)))</f>
        <v>58.90561805764559</v>
      </c>
      <c r="O22" s="13">
        <f>N22*VLOOKUP('Données projet'!$B$9,Paramètres!$A$1:$I$89,3,0)*VLOOKUP('Données projet'!$B$9,Paramètres!$A$1:$I$89,5,0)</f>
        <v>53.297803218557732</v>
      </c>
      <c r="P22" s="13">
        <f t="shared" si="33"/>
        <v>15.462240012873817</v>
      </c>
      <c r="Q22" s="20">
        <f t="shared" si="2"/>
        <v>119.75707529474329</v>
      </c>
      <c r="R22" s="59">
        <f t="shared" si="0"/>
        <v>381.89702962924855</v>
      </c>
      <c r="S22" s="59">
        <f ca="1">AVERAGE(OFFSET($R$3,0,0,'Données projet'!$E$9+1,1))-AVERAGE(OFFSET($H$3,0,0,'Données projet'!$E$9+1,1))</f>
        <v>466.90449882701591</v>
      </c>
      <c r="T22" s="59">
        <f t="shared" si="34"/>
        <v>283.37641704892053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65.159381485168097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2.1</v>
      </c>
      <c r="AI22" s="13">
        <f>IF('Données projet'!$A$62&gt;35,AI21+AH22-AQ21,IF(A22&lt;'Données projet'!$A$62,$AF$205^A22,IF(A22='Données projet'!$A$62,'Données projet'!$B$62,AI21+AH22-AQ21)))</f>
        <v>34.840696297767764</v>
      </c>
      <c r="AJ22" s="13">
        <f>AI22*VLOOKUP('Données projet'!$B$10,Paramètres!$A$1:$I$89,3,0)*VLOOKUP('Données projet'!$B$10,Paramètres!$A$1:$I$89,5,0)</f>
        <v>33.154406596955802</v>
      </c>
      <c r="AK22" s="13">
        <f t="shared" si="35"/>
        <v>10.16488153381791</v>
      </c>
      <c r="AL22" s="20">
        <f t="shared" si="4"/>
        <v>75.447760161097548</v>
      </c>
      <c r="AM22" s="59">
        <f t="shared" si="5"/>
        <v>337.58771449560282</v>
      </c>
      <c r="AN22" s="59">
        <f ca="1">AVERAGE(OFFSET($AM$3,0,0,'Données projet'!$E$10+1,1))-AVERAGE(OFFSET($H$3,0,0,'Données projet'!$E$10+1,1))</f>
        <v>399.5572791581468</v>
      </c>
      <c r="AO22" s="59">
        <f t="shared" si="36"/>
        <v>246.34185986079777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65.159381485168097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9.6</v>
      </c>
      <c r="BD22" s="12">
        <f>IF('Données projet'!$A$88&gt;35,BD21+BC22-BL21,IF(A22&lt;'Données projet'!$A$88,$BA$205^A22,IF(A22='Données projet'!$A$88,'Données projet'!$B$88,BD21+BC22-BL21)))</f>
        <v>75.399999999999991</v>
      </c>
      <c r="BE22" s="13">
        <f>BD22*VLOOKUP('Données projet'!$B$11,Paramètres!$A$1:$I$89,3,0)*VLOOKUP('Données projet'!$B$11,Paramètres!$A$1:$I$89,5,0)</f>
        <v>58.811999999999998</v>
      </c>
      <c r="BF22" s="13">
        <f t="shared" si="37"/>
        <v>16.86755663452599</v>
      </c>
      <c r="BG22" s="20">
        <f t="shared" si="7"/>
        <v>131.8085611384661</v>
      </c>
      <c r="BH22" s="59">
        <f t="shared" si="8"/>
        <v>393.94851547297139</v>
      </c>
      <c r="BI22" s="59">
        <f ca="1">AVERAGE(OFFSET($BH$3,0,0,'Données projet'!$E$11+1,1))-AVERAGE(OFFSET($H$3,0,0,'Données projet'!$E$11+1,1))</f>
        <v>294.23449029791681</v>
      </c>
      <c r="BJ22" s="59">
        <f t="shared" si="38"/>
        <v>288.64639202306159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65.159381485168097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2.1</v>
      </c>
      <c r="BY22" s="12">
        <f>IF('Données projet'!$A$114&gt;35,BY21+BX22-CG21,IF(A22&lt;'Données projet'!$A$114,$BV$205^A22,IF(A22='Données projet'!$A$114,'Données projet'!$B$114,BY21+BX22-CG21)))</f>
        <v>34.840696297767764</v>
      </c>
      <c r="BZ22" s="13">
        <f>BY22*VLOOKUP('Données projet'!$B$12,Paramètres!$A$1:$I$89,3,0)*VLOOKUP('Données projet'!$B$12,Paramètres!$A$1:$I$89,5,0)</f>
        <v>37.502525494917215</v>
      </c>
      <c r="CA22" s="13">
        <f t="shared" si="39"/>
        <v>11.334227770598273</v>
      </c>
      <c r="CB22" s="20">
        <f t="shared" si="10"/>
        <v>85.057345270772814</v>
      </c>
      <c r="CC22" s="59">
        <f t="shared" si="11"/>
        <v>347.19729960527809</v>
      </c>
      <c r="CD22" s="59">
        <f ca="1">AVERAGE(OFFSET($CC$3,0,0,'Données projet'!$E$12+1,1))-AVERAGE(OFFSET($H$3,0,0,'Données projet'!$E$12+1,1))</f>
        <v>445.38112098358147</v>
      </c>
      <c r="CE22" s="59">
        <f t="shared" si="40"/>
        <v>272.45883568548516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65.159381485168097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2.1</v>
      </c>
      <c r="CT22" s="12">
        <f>IF('Données projet'!$A$140&gt;35,CT21+CS22-DB21,IF(A22&lt;'Données projet'!$A$140,$CQ$205^A22,IF(A22='Données projet'!$A$140,'Données projet'!$B$140,CT21+CS22-DB21)))</f>
        <v>34.840696297767764</v>
      </c>
      <c r="CU22" s="17">
        <f>CT22*VLOOKUP('Données projet'!$B$13,Paramètres!$A$1:$I$89,3,0)*VLOOKUP('Données projet'!$B$13,Paramètres!$A$1:$I$89,5,0)</f>
        <v>37.502525494917215</v>
      </c>
      <c r="CV22" s="13">
        <f t="shared" si="41"/>
        <v>11.334227770598273</v>
      </c>
      <c r="CW22" s="20">
        <f t="shared" si="13"/>
        <v>85.057345270772814</v>
      </c>
      <c r="CX22" s="59">
        <f t="shared" si="14"/>
        <v>347.19729960527809</v>
      </c>
      <c r="CY22" s="59">
        <f ca="1">AVERAGE(OFFSET($CX$3,0,0,'Données projet'!$E$13+1,1))-AVERAGE(OFFSET($H$3,0,0,'Données projet'!$E$13+1,1))</f>
        <v>445.38112098358147</v>
      </c>
      <c r="CZ22" s="59">
        <f t="shared" si="42"/>
        <v>272.45883568548516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65.159381485168097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2.1</v>
      </c>
      <c r="DO22" s="12">
        <f>IF('Données projet'!$A$166&gt;35,DO21+DN22-DW21,IF(A22&lt;'Données projet'!$A$166,$DL$205^A22,IF(A22='Données projet'!$A$166,'Données projet'!$B$166,DO21+DN22-DW21)))</f>
        <v>34.840696297767764</v>
      </c>
      <c r="DP22" s="17">
        <f>DO22*VLOOKUP('Données projet'!$B$14,Paramètres!$A$1:$I$89,3,0)*VLOOKUP('Données projet'!$B$14,Paramètres!$A$1:$I$89,5,0)</f>
        <v>33.697921459200977</v>
      </c>
      <c r="DQ22" s="13">
        <f t="shared" si="43"/>
        <v>10.31198270984201</v>
      </c>
      <c r="DR22" s="20">
        <f t="shared" si="16"/>
        <v>76.650583094416518</v>
      </c>
      <c r="DS22" s="59">
        <f t="shared" si="17"/>
        <v>338.79053742892177</v>
      </c>
      <c r="DT22" s="59">
        <f ca="1">AVERAGE(OFFSET($DS$3,0,0,'Données projet'!$E$14+1,1))-AVERAGE(OFFSET($H$3,0,0,'Données projet'!$E$14+1,1))</f>
        <v>405.29179902613089</v>
      </c>
      <c r="DU22" s="59">
        <f t="shared" si="44"/>
        <v>249.61049717638238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65.159381485168097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>
        <f>VLOOKUP(A22,'Données projet'!$A$191:$I$211,2,0)</f>
        <v>127.82</v>
      </c>
      <c r="EH22" s="12">
        <f>VLOOKUP(A22,'Données projet'!$A$191:$I$211,9,0)</f>
        <v>19.814999999999998</v>
      </c>
      <c r="EI22" s="12">
        <f t="array" ref="EI22">INDEX(EH:EH,MIN(IF(ISNUMBER(EH22:EH218),ROW(EH22:EH218),"")))</f>
        <v>19.814999999999998</v>
      </c>
      <c r="EJ22" s="12">
        <f>IF('Données projet'!$A$192&gt;35,EJ21+EI22-ER21,IF(A22&lt;'Données projet'!$A$192,$EG$205^A22,IF(A22='Données projet'!$A$192,'Données projet'!$B$192,EJ21+EI22-ER21)))</f>
        <v>127.82</v>
      </c>
      <c r="EK22" s="17">
        <f>EJ22*VLOOKUP('Données projet'!$B$15,Paramètres!$A$1:$I$89,3,0)*VLOOKUP('Données projet'!$B$15,Paramètres!$A$1:$I$89,5,0)</f>
        <v>76.436359999999993</v>
      </c>
      <c r="EL22" s="13">
        <f t="shared" si="45"/>
        <v>21.263558306949722</v>
      </c>
      <c r="EM22" s="20">
        <f t="shared" si="19"/>
        <v>170.16069105127073</v>
      </c>
      <c r="EN22" s="59">
        <f t="shared" si="20"/>
        <v>432.30064538577597</v>
      </c>
      <c r="EO22" s="59">
        <f ca="1">AVERAGE(OFFSET($EN$3,0,0,'Données projet'!$E$15+1,1))-AVERAGE(OFFSET($H$3,0,0,'Données projet'!$E$15+1,1))</f>
        <v>444.77624981561257</v>
      </c>
      <c r="EP22" s="59">
        <f t="shared" si="46"/>
        <v>382.10319641527587</v>
      </c>
      <c r="EQ22" s="15">
        <f>IF(ISNA(VLOOKUP(A22,'Données projet'!$A$191:$I$211,3,0)),0,VLOOKUP(A22,'Données projet'!$A$191:$I$211,3,0))</f>
        <v>2</v>
      </c>
      <c r="ER22" s="15">
        <f>IF(ISNA(VLOOKUP(A22,'Données projet'!$A$191:$I$211,4,0)),0,VLOOKUP(A22,'Données projet'!$A$191:$I$211,4,0))</f>
        <v>46.3</v>
      </c>
      <c r="ES22" s="16">
        <f>IF(ISNA(VLOOKUP(A22,'Données projet'!$A$191:$I$211,5,0)),0%,VLOOKUP(A22,'Données projet'!$A$191:$I$211,5,0)*VLOOKUP('Données projet'!$B$15,Paramètres!$A$1:$I$89,7,0))</f>
        <v>9.0000000000000011E-2</v>
      </c>
      <c r="ET22" s="16">
        <f>IF(ISNA(VLOOKUP(A22,'Données projet'!$A$191:$I$211,6,0)),0%,VLOOKUP(A22,'Données projet'!$A$191:$I$211,6,0)*VLOOKUP('Données projet'!$B$15,Paramètres!$A$1:$I$89,7,0))</f>
        <v>0.20250000000000001</v>
      </c>
      <c r="EU22" s="16">
        <f>IF(ISNA(VLOOKUP(A22,'Données projet'!$A$191:$I$211,7,0)),0%,VLOOKUP(A22,'Données projet'!$A$191:$I$211,7,0))</f>
        <v>0.35</v>
      </c>
      <c r="EV22" s="21">
        <f>EXP(-LN(2)/35)*EV21+(1-EXP(-LN(2)/35))/(LN(2)/35)*ER22*ES22*VLOOKUP('Données projet'!$B$15,Paramètres!$A$1:$I$89,3,0)*0.475*44/12</f>
        <v>3.3056208633183055</v>
      </c>
      <c r="EW22" s="21">
        <f>EXP(-LN(2)/25)*EW21+(1-EXP(-LN(2)/25))/(LN(2)/25)*Calculateur!ER22*Calculateur!ET22*VLOOKUP('Données projet'!$B$15,Paramètres!$A$1:$I$89,3,0)*0.475*44/12</f>
        <v>7.4083620924880345</v>
      </c>
      <c r="EX22" s="21">
        <f>EXP(-LN(2)/2)*EX21+(1-EXP(-LN(2)/2))/(LN(2)/2)*ER22*EU22*VLOOKUP('Données projet'!$B$15,Paramètres!$A$1:$I$89,3,0)*0.475*44/12</f>
        <v>10.971998980086994</v>
      </c>
      <c r="EY22" s="22">
        <f t="shared" si="21"/>
        <v>21.685981935893334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65.159381485168097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25.6</v>
      </c>
      <c r="FE22" s="12">
        <f>IF('Données projet'!$A$218&gt;35,FE21+FD22-FM21,IF(A22&lt;'Données projet'!$A$218,$FB$205^A22,IF(A22='Données projet'!$A$218,'Données projet'!$B$218,FE21+FD22-FM21)))</f>
        <v>170.39999999999998</v>
      </c>
      <c r="FF22" s="17">
        <f>FE22*VLOOKUP('Données projet'!$B$16,Paramètres!$A$1:$I$89,3,0)*VLOOKUP('Données projet'!$B$16,Paramètres!$A$1:$I$89,5,0)</f>
        <v>75.316800000000001</v>
      </c>
      <c r="FG22" s="13">
        <f t="shared" si="47"/>
        <v>20.988128387144968</v>
      </c>
      <c r="FH22" s="20">
        <f t="shared" si="22"/>
        <v>167.73108360761083</v>
      </c>
      <c r="FI22" s="59">
        <f t="shared" si="23"/>
        <v>429.87103794211612</v>
      </c>
      <c r="FJ22" s="59">
        <f ca="1">AVERAGE(OFFSET($FI$3,0,0,'Données projet'!$E$16+1,1))-AVERAGE(OFFSET($H$3,0,0,'Données projet'!$E$16+1,1))</f>
        <v>508.71179785154317</v>
      </c>
      <c r="FK22" s="59">
        <f t="shared" si="48"/>
        <v>422.73937290731442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65.159381485168097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65.159381485168097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1.35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4.95</v>
      </c>
      <c r="H23" s="67">
        <f t="shared" si="1"/>
        <v>236.86666666666665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65.243355394398691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73</v>
      </c>
      <c r="L23" s="12">
        <f>VLOOKUP(A23,'Données projet'!$A$35:$I$55,9,0)</f>
        <v>3.65</v>
      </c>
      <c r="M23" s="12">
        <f t="array" ref="M23">INDEX(L:L,MIN(IF(ISNUMBER(L23:L219),ROW(L23:L219),"")))</f>
        <v>3.65</v>
      </c>
      <c r="N23" s="13">
        <f>IF('Données projet'!$A$36&gt;35,N22+M23-V22,IF(A23&lt;'Données projet'!$A$36,$K$205^A23,IF(A23='Données projet'!$A$36,'Données projet'!$B$36,N22+M23-V22)))</f>
        <v>73</v>
      </c>
      <c r="O23" s="13">
        <f>N23*VLOOKUP('Données projet'!$B$9,Paramètres!$A$1:$I$89,3,0)*VLOOKUP('Données projet'!$B$9,Paramètres!$A$1:$I$89,5,0)</f>
        <v>66.050399999999996</v>
      </c>
      <c r="P23" s="13">
        <f t="shared" si="33"/>
        <v>18.689342126897891</v>
      </c>
      <c r="Q23" s="20">
        <f t="shared" si="2"/>
        <v>147.58838420434714</v>
      </c>
      <c r="R23" s="59">
        <f t="shared" si="0"/>
        <v>411.2584650949201</v>
      </c>
      <c r="S23" s="59">
        <f ca="1">AVERAGE(OFFSET($R$3,0,0,'Données projet'!$E$9+1,1))-AVERAGE(OFFSET($H$3,0,0,'Données projet'!$E$9+1,1))</f>
        <v>466.90449882701591</v>
      </c>
      <c r="T23" s="59">
        <f t="shared" si="34"/>
        <v>283.37641704892053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65.243355394398691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42</v>
      </c>
      <c r="AG23" s="12">
        <f>VLOOKUP(A23,'Données projet'!$A$61:$I$81,9,0)</f>
        <v>2.1</v>
      </c>
      <c r="AH23" s="12">
        <f t="array" ref="AH23">INDEX(AG:AG,MIN(IF(ISNUMBER(AG23:AG219),ROW(AG23:AG219),"")))</f>
        <v>2.1</v>
      </c>
      <c r="AI23" s="13">
        <f>IF('Données projet'!$A$62&gt;35,AI22+AH23-AQ22,IF(A23&lt;'Données projet'!$A$62,$AF$205^A23,IF(A23='Données projet'!$A$62,'Données projet'!$B$62,AI22+AH23-AQ22)))</f>
        <v>42</v>
      </c>
      <c r="AJ23" s="13">
        <f>AI23*VLOOKUP('Données projet'!$B$10,Paramètres!$A$1:$I$89,3,0)*VLOOKUP('Données projet'!$B$10,Paramètres!$A$1:$I$89,5,0)</f>
        <v>39.967200000000005</v>
      </c>
      <c r="AK23" s="13">
        <f t="shared" si="35"/>
        <v>11.989952848060872</v>
      </c>
      <c r="AL23" s="20">
        <f t="shared" si="4"/>
        <v>90.49204121037269</v>
      </c>
      <c r="AM23" s="59">
        <f t="shared" si="5"/>
        <v>354.16212210094568</v>
      </c>
      <c r="AN23" s="59">
        <f ca="1">AVERAGE(OFFSET($AM$3,0,0,'Données projet'!$E$10+1,1))-AVERAGE(OFFSET($H$3,0,0,'Données projet'!$E$10+1,1))</f>
        <v>399.5572791581468</v>
      </c>
      <c r="AO23" s="59">
        <f t="shared" si="36"/>
        <v>246.34185986079777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65.243355394398691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85</v>
      </c>
      <c r="BB23" s="12">
        <f>VLOOKUP(A23,'Données projet'!$A$87:$I$107,9,0)</f>
        <v>9.6</v>
      </c>
      <c r="BC23" s="12">
        <f t="array" ref="BC23">INDEX(BB:BB,MIN(IF(ISNUMBER(BB23:BB219),ROW(BB23:BB219),"")))</f>
        <v>9.6</v>
      </c>
      <c r="BD23" s="12">
        <f>IF('Données projet'!$A$88&gt;35,BD22+BC23-BL22,IF(A23&lt;'Données projet'!$A$88,$BA$205^A23,IF(A23='Données projet'!$A$88,'Données projet'!$B$88,BD22+BC23-BL22)))</f>
        <v>84.999999999999986</v>
      </c>
      <c r="BE23" s="13">
        <f>BD23*VLOOKUP('Données projet'!$B$11,Paramètres!$A$1:$I$89,3,0)*VLOOKUP('Données projet'!$B$11,Paramètres!$A$1:$I$89,5,0)</f>
        <v>66.3</v>
      </c>
      <c r="BF23" s="13">
        <f t="shared" si="37"/>
        <v>18.751733344032118</v>
      </c>
      <c r="BG23" s="20">
        <f t="shared" si="7"/>
        <v>148.13176890752257</v>
      </c>
      <c r="BH23" s="59">
        <f t="shared" si="8"/>
        <v>411.80184979809553</v>
      </c>
      <c r="BI23" s="59">
        <f ca="1">AVERAGE(OFFSET($BH$3,0,0,'Données projet'!$E$11+1,1))-AVERAGE(OFFSET($H$3,0,0,'Données projet'!$E$11+1,1))</f>
        <v>294.23449029791681</v>
      </c>
      <c r="BJ23" s="59">
        <f t="shared" si="38"/>
        <v>288.64639202306159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25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65.243355394398691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42</v>
      </c>
      <c r="BW23" s="12">
        <f>VLOOKUP(A23,'Données projet'!$A$113:$I$133,9,0)</f>
        <v>2.1</v>
      </c>
      <c r="BX23" s="12">
        <f t="array" ref="BX23">INDEX(BW:BW,MIN(IF(ISNUMBER(BW23:BW219),ROW(BW23:BW219),"")))</f>
        <v>2.1</v>
      </c>
      <c r="BY23" s="12">
        <f>IF('Données projet'!$A$114&gt;35,BY22+BX23-CG22,IF(A23&lt;'Données projet'!$A$114,$BV$205^A23,IF(A23='Données projet'!$A$114,'Données projet'!$B$114,BY22+BX23-CG22)))</f>
        <v>42</v>
      </c>
      <c r="BZ23" s="13">
        <f>BY23*VLOOKUP('Données projet'!$B$12,Paramètres!$A$1:$I$89,3,0)*VLOOKUP('Données projet'!$B$12,Paramètres!$A$1:$I$89,5,0)</f>
        <v>45.208799999999997</v>
      </c>
      <c r="CA23" s="13">
        <f t="shared" si="39"/>
        <v>13.369251386406743</v>
      </c>
      <c r="CB23" s="20">
        <f t="shared" si="10"/>
        <v>102.02343949799173</v>
      </c>
      <c r="CC23" s="59">
        <f t="shared" si="11"/>
        <v>365.69352038856471</v>
      </c>
      <c r="CD23" s="59">
        <f ca="1">AVERAGE(OFFSET($CC$3,0,0,'Données projet'!$E$12+1,1))-AVERAGE(OFFSET($H$3,0,0,'Données projet'!$E$12+1,1))</f>
        <v>445.38112098358147</v>
      </c>
      <c r="CE23" s="59">
        <f t="shared" si="40"/>
        <v>272.45883568548516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65.243355394398691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42</v>
      </c>
      <c r="CR23" s="12">
        <f>VLOOKUP(A23,'Données projet'!$A$139:$I$159,9,0)</f>
        <v>2.1</v>
      </c>
      <c r="CS23" s="12">
        <f t="array" ref="CS23">INDEX(CR:CR,MIN(IF(ISNUMBER(CR23:CR219),ROW(CR23:CR219),"")))</f>
        <v>2.1</v>
      </c>
      <c r="CT23" s="12">
        <f>IF('Données projet'!$A$140&gt;35,CT22+CS23-DB22,IF(A23&lt;'Données projet'!$A$140,$CQ$205^A23,IF(A23='Données projet'!$A$140,'Données projet'!$B$140,CT22+CS23-DB22)))</f>
        <v>42</v>
      </c>
      <c r="CU23" s="17">
        <f>CT23*VLOOKUP('Données projet'!$B$13,Paramètres!$A$1:$I$89,3,0)*VLOOKUP('Données projet'!$B$13,Paramètres!$A$1:$I$89,5,0)</f>
        <v>45.208799999999997</v>
      </c>
      <c r="CV23" s="13">
        <f t="shared" si="41"/>
        <v>13.369251386406743</v>
      </c>
      <c r="CW23" s="20">
        <f t="shared" si="13"/>
        <v>102.02343949799173</v>
      </c>
      <c r="CX23" s="59">
        <f t="shared" si="14"/>
        <v>365.69352038856471</v>
      </c>
      <c r="CY23" s="59">
        <f ca="1">AVERAGE(OFFSET($CX$3,0,0,'Données projet'!$E$13+1,1))-AVERAGE(OFFSET($H$3,0,0,'Données projet'!$E$13+1,1))</f>
        <v>445.38112098358147</v>
      </c>
      <c r="CZ23" s="59">
        <f t="shared" si="42"/>
        <v>272.45883568548516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65.243355394398691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42</v>
      </c>
      <c r="DM23" s="12">
        <f>VLOOKUP(A23,'Données projet'!$A$165:$I$185,9,0)</f>
        <v>2.1</v>
      </c>
      <c r="DN23" s="12">
        <f t="array" ref="DN23">INDEX(DM:DM,MIN(IF(ISNUMBER(DM23:DM219),ROW(DM23:DM219),"")))</f>
        <v>2.1</v>
      </c>
      <c r="DO23" s="12">
        <f>IF('Données projet'!$A$166&gt;35,DO22+DN23-DW22,IF(A23&lt;'Données projet'!$A$166,$DL$205^A23,IF(A23='Données projet'!$A$166,'Données projet'!$B$166,DO22+DN23-DW22)))</f>
        <v>42</v>
      </c>
      <c r="DP23" s="17">
        <f>DO23*VLOOKUP('Données projet'!$B$14,Paramètres!$A$1:$I$89,3,0)*VLOOKUP('Données projet'!$B$14,Paramètres!$A$1:$I$89,5,0)</f>
        <v>40.622399999999999</v>
      </c>
      <c r="DQ23" s="13">
        <f t="shared" si="43"/>
        <v>12.163465560290264</v>
      </c>
      <c r="DR23" s="20">
        <f t="shared" si="16"/>
        <v>91.935382517505545</v>
      </c>
      <c r="DS23" s="59">
        <f t="shared" si="17"/>
        <v>355.60546340807855</v>
      </c>
      <c r="DT23" s="59">
        <f ca="1">AVERAGE(OFFSET($DS$3,0,0,'Données projet'!$E$14+1,1))-AVERAGE(OFFSET($H$3,0,0,'Données projet'!$E$14+1,1))</f>
        <v>405.29179902613089</v>
      </c>
      <c r="DU23" s="59">
        <f t="shared" si="44"/>
        <v>249.61049717638238</v>
      </c>
      <c r="DV23" s="15">
        <f>IF(ISNA(VLOOKUP(A23,'Données projet'!$A$165:$I$185,3,0)),0,VLOOKUP(A23,'Données projet'!$A$165:$I$185,3,0))</f>
        <v>1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65.243355394398691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19.68</v>
      </c>
      <c r="EJ23" s="12">
        <f>IF('Données projet'!$A$192&gt;35,EJ22+EI23-ER22,IF(A23&lt;'Données projet'!$A$192,$EG$205^A23,IF(A23='Données projet'!$A$192,'Données projet'!$B$192,EJ22+EI23-ER22)))</f>
        <v>101.2</v>
      </c>
      <c r="EK23" s="17">
        <f>EJ23*VLOOKUP('Données projet'!$B$15,Paramètres!$A$1:$I$89,3,0)*VLOOKUP('Données projet'!$B$15,Paramètres!$A$1:$I$89,5,0)</f>
        <v>60.517600000000009</v>
      </c>
      <c r="EL23" s="13">
        <f t="shared" si="45"/>
        <v>17.299069038249009</v>
      </c>
      <c r="EM23" s="20">
        <f t="shared" si="19"/>
        <v>135.53069857495038</v>
      </c>
      <c r="EN23" s="59">
        <f t="shared" si="20"/>
        <v>399.2007794655234</v>
      </c>
      <c r="EO23" s="59">
        <f ca="1">AVERAGE(OFFSET($EN$3,0,0,'Données projet'!$E$15+1,1))-AVERAGE(OFFSET($H$3,0,0,'Données projet'!$E$15+1,1))</f>
        <v>444.77624981561257</v>
      </c>
      <c r="EP23" s="59">
        <f t="shared" si="46"/>
        <v>382.10319641527587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3.2407996544182742</v>
      </c>
      <c r="EW23" s="21">
        <f>EXP(-LN(2)/25)*EW22+(1-EXP(-LN(2)/25))/(LN(2)/25)*Calculateur!ER23*Calculateur!ET23*VLOOKUP('Données projet'!$B$15,Paramètres!$A$1:$I$89,3,0)*0.475*44/12</f>
        <v>7.2057800414801187</v>
      </c>
      <c r="EX23" s="21">
        <f>EXP(-LN(2)/2)*EX22+(1-EXP(-LN(2)/2))/(LN(2)/2)*ER23*EU23*VLOOKUP('Données projet'!$B$15,Paramètres!$A$1:$I$89,3,0)*0.475*44/12</f>
        <v>7.7583748819913971</v>
      </c>
      <c r="EY23" s="22">
        <f t="shared" si="21"/>
        <v>18.20495457788979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65.243355394398691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>
        <f>VLOOKUP(A23,'Données projet'!$A$217:$I$237,2,0)</f>
        <v>196</v>
      </c>
      <c r="FC23" s="12">
        <f>VLOOKUP(A23,'Données projet'!$A$217:$I$237,9,0)</f>
        <v>25.6</v>
      </c>
      <c r="FD23" s="12">
        <f t="array" ref="FD23">INDEX(FC:FC,MIN(IF(ISNUMBER(FC23:FC219),ROW(FC23:FC219),"")))</f>
        <v>25.6</v>
      </c>
      <c r="FE23" s="12">
        <f>IF('Données projet'!$A$218&gt;35,FE22+FD23-FM22,IF(A23&lt;'Données projet'!$A$218,$FB$205^A23,IF(A23='Données projet'!$A$218,'Données projet'!$B$218,FE22+FD23-FM22)))</f>
        <v>195.99999999999997</v>
      </c>
      <c r="FF23" s="17">
        <f>FE23*VLOOKUP('Données projet'!$B$16,Paramètres!$A$1:$I$89,3,0)*VLOOKUP('Données projet'!$B$16,Paramètres!$A$1:$I$89,5,0)</f>
        <v>86.632000000000005</v>
      </c>
      <c r="FG23" s="13">
        <f t="shared" si="47"/>
        <v>23.751150233480999</v>
      </c>
      <c r="FH23" s="20">
        <f t="shared" si="22"/>
        <v>192.25065332331272</v>
      </c>
      <c r="FI23" s="59">
        <f t="shared" si="23"/>
        <v>455.92073421388568</v>
      </c>
      <c r="FJ23" s="59">
        <f ca="1">AVERAGE(OFFSET($FI$3,0,0,'Données projet'!$E$16+1,1))-AVERAGE(OFFSET($H$3,0,0,'Données projet'!$E$16+1,1))</f>
        <v>508.71179785154317</v>
      </c>
      <c r="FK23" s="59">
        <f t="shared" si="48"/>
        <v>422.73937290731442</v>
      </c>
      <c r="FL23" s="15">
        <f>IF(ISNA(VLOOKUP(A23,'Données projet'!$A$217:$I$237,3,0)),0,VLOOKUP(A23,'Données projet'!$A$217:$I$237,3,0))</f>
        <v>2</v>
      </c>
      <c r="FM23" s="15">
        <f>IF(ISNA(VLOOKUP(A23,'Données projet'!$A$217:$I$237,4,0)),0,VLOOKUP(A23,'Données projet'!$A$217:$I$237,4,0))</f>
        <v>74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0.30800000000000005</v>
      </c>
      <c r="FP23" s="16">
        <f>IF(ISNA(VLOOKUP(A23,'Données projet'!$A$217:$I$237,7,0)),0%,VLOOKUP(A23,'Données projet'!$A$217:$I$237,7,0))</f>
        <v>0.44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13.311276476682025</v>
      </c>
      <c r="FS23" s="21">
        <f>EXP(-LN(2)/2)*FS22+(1-EXP(-LN(2)/2))/(LN(2)/2)*FM23*FP23*VLOOKUP('Données projet'!$B$16,Paramètres!$A$1:$I$89,3,0)*0.475*44/12</f>
        <v>16.294543754498083</v>
      </c>
      <c r="FT23" s="22">
        <f t="shared" si="24"/>
        <v>29.605820231180108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65.243355394398691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65.243355394398691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1.35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4.95</v>
      </c>
      <c r="H24" s="67">
        <f t="shared" si="1"/>
        <v>236.86666666666665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65.325872544041658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6</v>
      </c>
      <c r="N24" s="13">
        <f>IF('Données projet'!$A$36&gt;35,N23+M24-V23,IF(A24&lt;'Données projet'!$A$36,$K$205^A24,IF(A24='Données projet'!$A$36,'Données projet'!$B$36,N23+M24-V23)))</f>
        <v>79</v>
      </c>
      <c r="O24" s="13">
        <f>N24*VLOOKUP('Données projet'!$B$9,Paramètres!$A$1:$I$89,3,0)*VLOOKUP('Données projet'!$B$9,Paramètres!$A$1:$I$89,5,0)</f>
        <v>71.479200000000006</v>
      </c>
      <c r="P24" s="13">
        <f t="shared" si="33"/>
        <v>20.040346808618612</v>
      </c>
      <c r="Q24" s="20">
        <f t="shared" si="2"/>
        <v>159.39654402501074</v>
      </c>
      <c r="R24" s="59">
        <f t="shared" si="0"/>
        <v>424.59141001983016</v>
      </c>
      <c r="S24" s="59">
        <f ca="1">AVERAGE(OFFSET($R$3,0,0,'Données projet'!$E$9+1,1))-AVERAGE(OFFSET($H$3,0,0,'Données projet'!$E$9+1,1))</f>
        <v>466.90449882701591</v>
      </c>
      <c r="T24" s="59">
        <f t="shared" si="34"/>
        <v>283.37641704892053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65.325872544041658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5.6</v>
      </c>
      <c r="AI24" s="13">
        <f>IF('Données projet'!$A$62&gt;35,AI23+AH24-AQ23,IF(A24&lt;'Données projet'!$A$62,$AF$205^A24,IF(A24='Données projet'!$A$62,'Données projet'!$B$62,AI23+AH24-AQ23)))</f>
        <v>47.6</v>
      </c>
      <c r="AJ24" s="13">
        <f>AI24*VLOOKUP('Données projet'!$B$10,Paramètres!$A$1:$I$89,3,0)*VLOOKUP('Données projet'!$B$10,Paramètres!$A$1:$I$89,5,0)</f>
        <v>45.29616</v>
      </c>
      <c r="AK24" s="13">
        <f t="shared" si="35"/>
        <v>13.39207601043956</v>
      </c>
      <c r="AL24" s="20">
        <f t="shared" si="4"/>
        <v>102.21534438484889</v>
      </c>
      <c r="AM24" s="59">
        <f t="shared" si="5"/>
        <v>367.41021037966829</v>
      </c>
      <c r="AN24" s="59">
        <f ca="1">AVERAGE(OFFSET($AM$3,0,0,'Données projet'!$E$10+1,1))-AVERAGE(OFFSET($H$3,0,0,'Données projet'!$E$10+1,1))</f>
        <v>399.5572791581468</v>
      </c>
      <c r="AO24" s="59">
        <f t="shared" si="36"/>
        <v>246.34185986079777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65.325872544041658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10.6</v>
      </c>
      <c r="BD24" s="12">
        <f>IF('Données projet'!$A$88&gt;35,BD23+BC24-BL23,IF(A24&lt;'Données projet'!$A$88,$BA$205^A24,IF(A24='Données projet'!$A$88,'Données projet'!$B$88,BD23+BC24-BL23)))</f>
        <v>70.59999999999998</v>
      </c>
      <c r="BE24" s="13">
        <f>BD24*VLOOKUP('Données projet'!$B$11,Paramètres!$A$1:$I$89,3,0)*VLOOKUP('Données projet'!$B$11,Paramètres!$A$1:$I$89,5,0)</f>
        <v>55.067999999999984</v>
      </c>
      <c r="BF24" s="13">
        <f t="shared" si="37"/>
        <v>15.915148294580479</v>
      </c>
      <c r="BG24" s="20">
        <f t="shared" si="7"/>
        <v>123.62898327972762</v>
      </c>
      <c r="BH24" s="59">
        <f t="shared" si="8"/>
        <v>388.823849274547</v>
      </c>
      <c r="BI24" s="59">
        <f ca="1">AVERAGE(OFFSET($BH$3,0,0,'Données projet'!$E$11+1,1))-AVERAGE(OFFSET($H$3,0,0,'Données projet'!$E$11+1,1))</f>
        <v>294.23449029791681</v>
      </c>
      <c r="BJ24" s="59">
        <f t="shared" si="38"/>
        <v>288.64639202306159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65.325872544041658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5.6</v>
      </c>
      <c r="BY24" s="12">
        <f>IF('Données projet'!$A$114&gt;35,BY23+BX24-CG23,IF(A24&lt;'Données projet'!$A$114,$BV$205^A24,IF(A24='Données projet'!$A$114,'Données projet'!$B$114,BY23+BX24-CG23)))</f>
        <v>47.6</v>
      </c>
      <c r="BZ24" s="13">
        <f>BY24*VLOOKUP('Données projet'!$B$12,Paramètres!$A$1:$I$89,3,0)*VLOOKUP('Données projet'!$B$12,Paramètres!$A$1:$I$89,5,0)</f>
        <v>51.236640000000001</v>
      </c>
      <c r="CA24" s="13">
        <f t="shared" si="39"/>
        <v>14.932671799321549</v>
      </c>
      <c r="CB24" s="20">
        <f t="shared" si="10"/>
        <v>115.24488471715169</v>
      </c>
      <c r="CC24" s="59">
        <f t="shared" si="11"/>
        <v>380.4397507119711</v>
      </c>
      <c r="CD24" s="59">
        <f ca="1">AVERAGE(OFFSET($CC$3,0,0,'Données projet'!$E$12+1,1))-AVERAGE(OFFSET($H$3,0,0,'Données projet'!$E$12+1,1))</f>
        <v>445.38112098358147</v>
      </c>
      <c r="CE24" s="59">
        <f t="shared" si="40"/>
        <v>272.45883568548516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65.325872544041658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5.6</v>
      </c>
      <c r="CT24" s="12">
        <f>IF('Données projet'!$A$140&gt;35,CT23+CS24-DB23,IF(A24&lt;'Données projet'!$A$140,$CQ$205^A24,IF(A24='Données projet'!$A$140,'Données projet'!$B$140,CT23+CS24-DB23)))</f>
        <v>47.6</v>
      </c>
      <c r="CU24" s="17">
        <f>CT24*VLOOKUP('Données projet'!$B$13,Paramètres!$A$1:$I$89,3,0)*VLOOKUP('Données projet'!$B$13,Paramètres!$A$1:$I$89,5,0)</f>
        <v>51.236640000000001</v>
      </c>
      <c r="CV24" s="13">
        <f t="shared" si="41"/>
        <v>14.932671799321549</v>
      </c>
      <c r="CW24" s="20">
        <f t="shared" si="13"/>
        <v>115.24488471715169</v>
      </c>
      <c r="CX24" s="59">
        <f t="shared" si="14"/>
        <v>380.4397507119711</v>
      </c>
      <c r="CY24" s="59">
        <f ca="1">AVERAGE(OFFSET($CX$3,0,0,'Données projet'!$E$13+1,1))-AVERAGE(OFFSET($H$3,0,0,'Données projet'!$E$13+1,1))</f>
        <v>445.38112098358147</v>
      </c>
      <c r="CZ24" s="59">
        <f t="shared" si="42"/>
        <v>272.45883568548516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65.325872544041658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5.6</v>
      </c>
      <c r="DO24" s="12">
        <f>IF('Données projet'!$A$166&gt;35,DO23+DN24-DW23,IF(A24&lt;'Données projet'!$A$166,$DL$205^A24,IF(A24='Données projet'!$A$166,'Données projet'!$B$166,DO23+DN24-DW23)))</f>
        <v>47.6</v>
      </c>
      <c r="DP24" s="17">
        <f>DO24*VLOOKUP('Données projet'!$B$14,Paramètres!$A$1:$I$89,3,0)*VLOOKUP('Données projet'!$B$14,Paramètres!$A$1:$I$89,5,0)</f>
        <v>46.038720000000005</v>
      </c>
      <c r="DQ24" s="13">
        <f t="shared" si="43"/>
        <v>13.585879560828786</v>
      </c>
      <c r="DR24" s="20">
        <f t="shared" si="16"/>
        <v>103.84617756844348</v>
      </c>
      <c r="DS24" s="59">
        <f t="shared" si="17"/>
        <v>369.04104356326286</v>
      </c>
      <c r="DT24" s="59">
        <f ca="1">AVERAGE(OFFSET($DS$3,0,0,'Données projet'!$E$14+1,1))-AVERAGE(OFFSET($H$3,0,0,'Données projet'!$E$14+1,1))</f>
        <v>405.29179902613089</v>
      </c>
      <c r="DU24" s="59">
        <f t="shared" si="44"/>
        <v>249.61049717638238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65.325872544041658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19.68</v>
      </c>
      <c r="EJ24" s="12">
        <f>IF('Données projet'!$A$192&gt;35,EJ23+EI24-ER23,IF(A24&lt;'Données projet'!$A$192,$EG$205^A24,IF(A24='Données projet'!$A$192,'Données projet'!$B$192,EJ23+EI24-ER23)))</f>
        <v>120.88</v>
      </c>
      <c r="EK24" s="17">
        <f>EJ24*VLOOKUP('Données projet'!$B$15,Paramètres!$A$1:$I$89,3,0)*VLOOKUP('Données projet'!$B$15,Paramètres!$A$1:$I$89,5,0)</f>
        <v>72.286239999999992</v>
      </c>
      <c r="EL24" s="13">
        <f t="shared" si="45"/>
        <v>20.240145222851208</v>
      </c>
      <c r="EM24" s="20">
        <f t="shared" si="19"/>
        <v>161.15012092979916</v>
      </c>
      <c r="EN24" s="59">
        <f t="shared" si="20"/>
        <v>426.34498692461852</v>
      </c>
      <c r="EO24" s="59">
        <f ca="1">AVERAGE(OFFSET($EN$3,0,0,'Données projet'!$E$15+1,1))-AVERAGE(OFFSET($H$3,0,0,'Données projet'!$E$15+1,1))</f>
        <v>444.77624981561257</v>
      </c>
      <c r="EP24" s="59">
        <f t="shared" si="46"/>
        <v>382.10319641527587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3.1772495498877387</v>
      </c>
      <c r="EW24" s="21">
        <f>EXP(-LN(2)/25)*EW23+(1-EXP(-LN(2)/25))/(LN(2)/25)*Calculateur!ER24*Calculateur!ET24*VLOOKUP('Données projet'!$B$15,Paramètres!$A$1:$I$89,3,0)*0.475*44/12</f>
        <v>7.0087376073103416</v>
      </c>
      <c r="EX24" s="21">
        <f>EXP(-LN(2)/2)*EX23+(1-EXP(-LN(2)/2))/(LN(2)/2)*ER24*EU24*VLOOKUP('Données projet'!$B$15,Paramètres!$A$1:$I$89,3,0)*0.475*44/12</f>
        <v>5.4859994900434979</v>
      </c>
      <c r="EY24" s="22">
        <f t="shared" si="21"/>
        <v>15.671986647241578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65.325872544041658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34</v>
      </c>
      <c r="FE24" s="12">
        <f>IF('Données projet'!$A$218&gt;35,FE23+FD24-FM23,IF(A24&lt;'Données projet'!$A$218,$FB$205^A24,IF(A24='Données projet'!$A$218,'Données projet'!$B$218,FE23+FD24-FM23)))</f>
        <v>155.99999999999997</v>
      </c>
      <c r="FF24" s="17">
        <f>FE24*VLOOKUP('Données projet'!$B$16,Paramètres!$A$1:$I$89,3,0)*VLOOKUP('Données projet'!$B$16,Paramètres!$A$1:$I$89,5,0)</f>
        <v>68.951999999999998</v>
      </c>
      <c r="FG24" s="13">
        <f t="shared" si="47"/>
        <v>19.412974191553594</v>
      </c>
      <c r="FH24" s="20">
        <f t="shared" si="22"/>
        <v>153.90233005028915</v>
      </c>
      <c r="FI24" s="59">
        <f t="shared" si="23"/>
        <v>419.09719604510855</v>
      </c>
      <c r="FJ24" s="59">
        <f ca="1">AVERAGE(OFFSET($FI$3,0,0,'Données projet'!$E$16+1,1))-AVERAGE(OFFSET($H$3,0,0,'Données projet'!$E$16+1,1))</f>
        <v>508.71179785154317</v>
      </c>
      <c r="FK24" s="59">
        <f t="shared" si="48"/>
        <v>422.73937290731442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12.947278921417547</v>
      </c>
      <c r="FS24" s="21">
        <f>EXP(-LN(2)/2)*FS23+(1-EXP(-LN(2)/2))/(LN(2)/2)*FM24*FP24*VLOOKUP('Données projet'!$B$16,Paramètres!$A$1:$I$89,3,0)*0.475*44/12</f>
        <v>11.521982385146501</v>
      </c>
      <c r="FT24" s="22">
        <f t="shared" si="24"/>
        <v>24.46926130656405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65.325872544041658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65.325872544041658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1.35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4.95</v>
      </c>
      <c r="H25" s="67">
        <f t="shared" si="1"/>
        <v>236.86666666666665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65.406958205619034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6</v>
      </c>
      <c r="N25" s="13">
        <f>IF('Données projet'!$A$36&gt;35,N24+M25-V24,IF(A25&lt;'Données projet'!$A$36,$K$205^A25,IF(A25='Données projet'!$A$36,'Données projet'!$B$36,N24+M25-V24)))</f>
        <v>85</v>
      </c>
      <c r="O25" s="13">
        <f>N25*VLOOKUP('Données projet'!$B$9,Paramètres!$A$1:$I$89,3,0)*VLOOKUP('Données projet'!$B$9,Paramètres!$A$1:$I$89,5,0)</f>
        <v>76.908000000000001</v>
      </c>
      <c r="P25" s="13">
        <f t="shared" si="33"/>
        <v>21.379448490435635</v>
      </c>
      <c r="Q25" s="20">
        <f t="shared" si="2"/>
        <v>171.18397278750874</v>
      </c>
      <c r="R25" s="59">
        <f t="shared" si="0"/>
        <v>437.89837509700078</v>
      </c>
      <c r="S25" s="59">
        <f ca="1">AVERAGE(OFFSET($R$3,0,0,'Données projet'!$E$9+1,1))-AVERAGE(OFFSET($H$3,0,0,'Données projet'!$E$9+1,1))</f>
        <v>466.90449882701591</v>
      </c>
      <c r="T25" s="59">
        <f t="shared" si="34"/>
        <v>283.37641704892053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65.406958205619034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5.6</v>
      </c>
      <c r="AI25" s="13">
        <f>IF('Données projet'!$A$62&gt;35,AI24+AH25-AQ24,IF(A25&lt;'Données projet'!$A$62,$AF$205^A25,IF(A25='Données projet'!$A$62,'Données projet'!$B$62,AI24+AH25-AQ24)))</f>
        <v>53.2</v>
      </c>
      <c r="AJ25" s="13">
        <f>AI25*VLOOKUP('Données projet'!$B$10,Paramètres!$A$1:$I$89,3,0)*VLOOKUP('Données projet'!$B$10,Paramètres!$A$1:$I$89,5,0)</f>
        <v>50.625119999999995</v>
      </c>
      <c r="AK25" s="13">
        <f t="shared" si="35"/>
        <v>14.77508270228409</v>
      </c>
      <c r="AL25" s="20">
        <f t="shared" si="4"/>
        <v>113.90535303981146</v>
      </c>
      <c r="AM25" s="59">
        <f t="shared" si="5"/>
        <v>380.61975534930349</v>
      </c>
      <c r="AN25" s="59">
        <f ca="1">AVERAGE(OFFSET($AM$3,0,0,'Données projet'!$E$10+1,1))-AVERAGE(OFFSET($H$3,0,0,'Données projet'!$E$10+1,1))</f>
        <v>399.5572791581468</v>
      </c>
      <c r="AO25" s="59">
        <f t="shared" si="36"/>
        <v>246.34185986079777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65.406958205619034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10.6</v>
      </c>
      <c r="BD25" s="12">
        <f>IF('Données projet'!$A$88&gt;35,BD24+BC25-BL24,IF(A25&lt;'Données projet'!$A$88,$BA$205^A25,IF(A25='Données projet'!$A$88,'Données projet'!$B$88,BD24+BC25-BL24)))</f>
        <v>81.199999999999974</v>
      </c>
      <c r="BE25" s="13">
        <f>BD25*VLOOKUP('Données projet'!$B$11,Paramètres!$A$1:$I$89,3,0)*VLOOKUP('Données projet'!$B$11,Paramètres!$A$1:$I$89,5,0)</f>
        <v>63.335999999999984</v>
      </c>
      <c r="BF25" s="13">
        <f t="shared" si="37"/>
        <v>18.009040022946227</v>
      </c>
      <c r="BG25" s="20">
        <f t="shared" si="7"/>
        <v>141.67594470663133</v>
      </c>
      <c r="BH25" s="59">
        <f t="shared" si="8"/>
        <v>408.39034701612331</v>
      </c>
      <c r="BI25" s="59">
        <f ca="1">AVERAGE(OFFSET($BH$3,0,0,'Données projet'!$E$11+1,1))-AVERAGE(OFFSET($H$3,0,0,'Données projet'!$E$11+1,1))</f>
        <v>294.23449029791681</v>
      </c>
      <c r="BJ25" s="59">
        <f t="shared" si="38"/>
        <v>288.64639202306159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65.406958205619034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5.6</v>
      </c>
      <c r="BY25" s="12">
        <f>IF('Données projet'!$A$114&gt;35,BY24+BX25-CG24,IF(A25&lt;'Données projet'!$A$114,$BV$205^A25,IF(A25='Données projet'!$A$114,'Données projet'!$B$114,BY24+BX25-CG24)))</f>
        <v>53.2</v>
      </c>
      <c r="BZ25" s="13">
        <f>BY25*VLOOKUP('Données projet'!$B$12,Paramètres!$A$1:$I$89,3,0)*VLOOKUP('Données projet'!$B$12,Paramètres!$A$1:$I$89,5,0)</f>
        <v>57.264479999999999</v>
      </c>
      <c r="CA25" s="13">
        <f t="shared" si="39"/>
        <v>16.474776623807379</v>
      </c>
      <c r="CB25" s="20">
        <f t="shared" si="10"/>
        <v>128.42920528646451</v>
      </c>
      <c r="CC25" s="59">
        <f t="shared" si="11"/>
        <v>395.1436075959565</v>
      </c>
      <c r="CD25" s="59">
        <f ca="1">AVERAGE(OFFSET($CC$3,0,0,'Données projet'!$E$12+1,1))-AVERAGE(OFFSET($H$3,0,0,'Données projet'!$E$12+1,1))</f>
        <v>445.38112098358147</v>
      </c>
      <c r="CE25" s="59">
        <f t="shared" si="40"/>
        <v>272.45883568548516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65.406958205619034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5.6</v>
      </c>
      <c r="CT25" s="12">
        <f>IF('Données projet'!$A$140&gt;35,CT24+CS25-DB24,IF(A25&lt;'Données projet'!$A$140,$CQ$205^A25,IF(A25='Données projet'!$A$140,'Données projet'!$B$140,CT24+CS25-DB24)))</f>
        <v>53.2</v>
      </c>
      <c r="CU25" s="17">
        <f>CT25*VLOOKUP('Données projet'!$B$13,Paramètres!$A$1:$I$89,3,0)*VLOOKUP('Données projet'!$B$13,Paramètres!$A$1:$I$89,5,0)</f>
        <v>57.264479999999999</v>
      </c>
      <c r="CV25" s="13">
        <f t="shared" si="41"/>
        <v>16.474776623807379</v>
      </c>
      <c r="CW25" s="20">
        <f t="shared" si="13"/>
        <v>128.42920528646451</v>
      </c>
      <c r="CX25" s="59">
        <f t="shared" si="14"/>
        <v>395.1436075959565</v>
      </c>
      <c r="CY25" s="59">
        <f ca="1">AVERAGE(OFFSET($CX$3,0,0,'Données projet'!$E$13+1,1))-AVERAGE(OFFSET($H$3,0,0,'Données projet'!$E$13+1,1))</f>
        <v>445.38112098358147</v>
      </c>
      <c r="CZ25" s="59">
        <f t="shared" si="42"/>
        <v>272.45883568548516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65.406958205619034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5.6</v>
      </c>
      <c r="DO25" s="12">
        <f>IF('Données projet'!$A$166&gt;35,DO24+DN25-DW24,IF(A25&lt;'Données projet'!$A$166,$DL$205^A25,IF(A25='Données projet'!$A$166,'Données projet'!$B$166,DO24+DN25-DW24)))</f>
        <v>53.2</v>
      </c>
      <c r="DP25" s="17">
        <f>DO25*VLOOKUP('Données projet'!$B$14,Paramètres!$A$1:$I$89,3,0)*VLOOKUP('Données projet'!$B$14,Paramètres!$A$1:$I$89,5,0)</f>
        <v>51.455040000000004</v>
      </c>
      <c r="DQ25" s="13">
        <f t="shared" si="43"/>
        <v>14.988900446655085</v>
      </c>
      <c r="DR25" s="20">
        <f t="shared" si="16"/>
        <v>115.72319627792427</v>
      </c>
      <c r="DS25" s="59">
        <f t="shared" si="17"/>
        <v>382.43759858741629</v>
      </c>
      <c r="DT25" s="59">
        <f ca="1">AVERAGE(OFFSET($DS$3,0,0,'Données projet'!$E$14+1,1))-AVERAGE(OFFSET($H$3,0,0,'Données projet'!$E$14+1,1))</f>
        <v>405.29179902613089</v>
      </c>
      <c r="DU25" s="59">
        <f t="shared" si="44"/>
        <v>249.61049717638238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65.406958205619034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19.68</v>
      </c>
      <c r="EJ25" s="12">
        <f>IF('Données projet'!$A$192&gt;35,EJ24+EI25-ER24,IF(A25&lt;'Données projet'!$A$192,$EG$205^A25,IF(A25='Données projet'!$A$192,'Données projet'!$B$192,EJ24+EI25-ER24)))</f>
        <v>140.56</v>
      </c>
      <c r="EK25" s="17">
        <f>EJ25*VLOOKUP('Données projet'!$B$15,Paramètres!$A$1:$I$89,3,0)*VLOOKUP('Données projet'!$B$15,Paramètres!$A$1:$I$89,5,0)</f>
        <v>84.054880000000011</v>
      </c>
      <c r="EL25" s="13">
        <f t="shared" si="45"/>
        <v>23.12575242793806</v>
      </c>
      <c r="EM25" s="20">
        <f t="shared" si="19"/>
        <v>186.67293481199212</v>
      </c>
      <c r="EN25" s="59">
        <f t="shared" si="20"/>
        <v>453.38733712148417</v>
      </c>
      <c r="EO25" s="59">
        <f ca="1">AVERAGE(OFFSET($EN$3,0,0,'Données projet'!$E$15+1,1))-AVERAGE(OFFSET($H$3,0,0,'Données projet'!$E$15+1,1))</f>
        <v>444.77624981561257</v>
      </c>
      <c r="EP25" s="59">
        <f t="shared" si="46"/>
        <v>382.10319641527587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3.1149456241453106</v>
      </c>
      <c r="EW25" s="21">
        <f>EXP(-LN(2)/25)*EW24+(1-EXP(-LN(2)/25))/(LN(2)/25)*Calculateur!ER25*Calculateur!ET25*VLOOKUP('Données projet'!$B$15,Paramètres!$A$1:$I$89,3,0)*0.475*44/12</f>
        <v>6.8170833088649481</v>
      </c>
      <c r="EX25" s="21">
        <f>EXP(-LN(2)/2)*EX24+(1-EXP(-LN(2)/2))/(LN(2)/2)*ER25*EU25*VLOOKUP('Données projet'!$B$15,Paramètres!$A$1:$I$89,3,0)*0.475*44/12</f>
        <v>3.879187440995699</v>
      </c>
      <c r="EY25" s="22">
        <f t="shared" si="21"/>
        <v>13.811216374005957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65.406958205619034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34</v>
      </c>
      <c r="FE25" s="12">
        <f>IF('Données projet'!$A$218&gt;35,FE24+FD25-FM24,IF(A25&lt;'Données projet'!$A$218,$FB$205^A25,IF(A25='Données projet'!$A$218,'Données projet'!$B$218,FE24+FD25-FM24)))</f>
        <v>189.99999999999997</v>
      </c>
      <c r="FF25" s="17">
        <f>FE25*VLOOKUP('Données projet'!$B$16,Paramètres!$A$1:$I$89,3,0)*VLOOKUP('Données projet'!$B$16,Paramètres!$A$1:$I$89,5,0)</f>
        <v>83.97999999999999</v>
      </c>
      <c r="FG25" s="13">
        <f t="shared" si="47"/>
        <v>23.10754800124684</v>
      </c>
      <c r="FH25" s="20">
        <f t="shared" si="22"/>
        <v>186.51081276883824</v>
      </c>
      <c r="FI25" s="59">
        <f t="shared" si="23"/>
        <v>453.22521507833028</v>
      </c>
      <c r="FJ25" s="59">
        <f ca="1">AVERAGE(OFFSET($FI$3,0,0,'Données projet'!$E$16+1,1))-AVERAGE(OFFSET($H$3,0,0,'Données projet'!$E$16+1,1))</f>
        <v>508.71179785154317</v>
      </c>
      <c r="FK25" s="59">
        <f t="shared" si="48"/>
        <v>422.73937290731442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12.593234898443578</v>
      </c>
      <c r="FS25" s="21">
        <f>EXP(-LN(2)/2)*FS24+(1-EXP(-LN(2)/2))/(LN(2)/2)*FM25*FP25*VLOOKUP('Données projet'!$B$16,Paramètres!$A$1:$I$89,3,0)*0.475*44/12</f>
        <v>8.1472718772490431</v>
      </c>
      <c r="FT25" s="22">
        <f t="shared" si="24"/>
        <v>20.740506775692623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65.406958205619034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65.406958205619034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1.35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4.95</v>
      </c>
      <c r="H26" s="67">
        <f t="shared" si="1"/>
        <v>236.86666666666665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65.486637212248425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6</v>
      </c>
      <c r="N26" s="13">
        <f>IF('Données projet'!$A$36&gt;35,N25+M26-V25,IF(A26&lt;'Données projet'!$A$36,$K$205^A26,IF(A26='Données projet'!$A$36,'Données projet'!$B$36,N25+M26-V25)))</f>
        <v>91</v>
      </c>
      <c r="O26" s="13">
        <f>N26*VLOOKUP('Données projet'!$B$9,Paramètres!$A$1:$I$89,3,0)*VLOOKUP('Données projet'!$B$9,Paramètres!$A$1:$I$89,5,0)</f>
        <v>82.336799999999997</v>
      </c>
      <c r="P26" s="13">
        <f t="shared" si="33"/>
        <v>22.707582950885364</v>
      </c>
      <c r="Q26" s="20">
        <f t="shared" si="2"/>
        <v>182.95230030612535</v>
      </c>
      <c r="R26" s="59">
        <f t="shared" si="0"/>
        <v>451.18108119548071</v>
      </c>
      <c r="S26" s="59">
        <f ca="1">AVERAGE(OFFSET($R$3,0,0,'Données projet'!$E$9+1,1))-AVERAGE(OFFSET($H$3,0,0,'Données projet'!$E$9+1,1))</f>
        <v>466.90449882701591</v>
      </c>
      <c r="T26" s="59">
        <f t="shared" si="34"/>
        <v>283.37641704892053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65.486637212248425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5.6</v>
      </c>
      <c r="AI26" s="13">
        <f>IF('Données projet'!$A$62&gt;35,AI25+AH26-AQ25,IF(A26&lt;'Données projet'!$A$62,$AF$205^A26,IF(A26='Données projet'!$A$62,'Données projet'!$B$62,AI25+AH26-AQ25)))</f>
        <v>58.800000000000004</v>
      </c>
      <c r="AJ26" s="13">
        <f>AI26*VLOOKUP('Données projet'!$B$10,Paramètres!$A$1:$I$89,3,0)*VLOOKUP('Données projet'!$B$10,Paramètres!$A$1:$I$89,5,0)</f>
        <v>55.954080000000005</v>
      </c>
      <c r="AK26" s="13">
        <f t="shared" si="35"/>
        <v>16.141214449356298</v>
      </c>
      <c r="AL26" s="20">
        <f t="shared" si="4"/>
        <v>125.56597116596221</v>
      </c>
      <c r="AM26" s="59">
        <f t="shared" si="5"/>
        <v>393.79475205531759</v>
      </c>
      <c r="AN26" s="59">
        <f ca="1">AVERAGE(OFFSET($AM$3,0,0,'Données projet'!$E$10+1,1))-AVERAGE(OFFSET($H$3,0,0,'Données projet'!$E$10+1,1))</f>
        <v>399.5572791581468</v>
      </c>
      <c r="AO26" s="59">
        <f t="shared" si="36"/>
        <v>246.34185986079777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65.486637212248425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10.6</v>
      </c>
      <c r="BD26" s="12">
        <f>IF('Données projet'!$A$88&gt;35,BD25+BC26-BL25,IF(A26&lt;'Données projet'!$A$88,$BA$205^A26,IF(A26='Données projet'!$A$88,'Données projet'!$B$88,BD25+BC26-BL25)))</f>
        <v>91.799999999999969</v>
      </c>
      <c r="BE26" s="13">
        <f>BD26*VLOOKUP('Données projet'!$B$11,Paramètres!$A$1:$I$89,3,0)*VLOOKUP('Données projet'!$B$11,Paramètres!$A$1:$I$89,5,0)</f>
        <v>71.603999999999985</v>
      </c>
      <c r="BF26" s="13">
        <f t="shared" si="37"/>
        <v>20.071260561992585</v>
      </c>
      <c r="BG26" s="20">
        <f t="shared" si="7"/>
        <v>159.66774547880371</v>
      </c>
      <c r="BH26" s="59">
        <f t="shared" si="8"/>
        <v>427.89652636815913</v>
      </c>
      <c r="BI26" s="59">
        <f ca="1">AVERAGE(OFFSET($BH$3,0,0,'Données projet'!$E$11+1,1))-AVERAGE(OFFSET($H$3,0,0,'Données projet'!$E$11+1,1))</f>
        <v>294.23449029791681</v>
      </c>
      <c r="BJ26" s="59">
        <f t="shared" si="38"/>
        <v>288.64639202306159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65.486637212248425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5.6</v>
      </c>
      <c r="BY26" s="12">
        <f>IF('Données projet'!$A$114&gt;35,BY25+BX26-CG25,IF(A26&lt;'Données projet'!$A$114,$BV$205^A26,IF(A26='Données projet'!$A$114,'Données projet'!$B$114,BY25+BX26-CG25)))</f>
        <v>58.800000000000004</v>
      </c>
      <c r="BZ26" s="13">
        <f>BY26*VLOOKUP('Données projet'!$B$12,Paramètres!$A$1:$I$89,3,0)*VLOOKUP('Données projet'!$B$12,Paramètres!$A$1:$I$89,5,0)</f>
        <v>63.292320000000004</v>
      </c>
      <c r="CA26" s="13">
        <f t="shared" si="39"/>
        <v>17.998065245956816</v>
      </c>
      <c r="CB26" s="20">
        <f t="shared" si="10"/>
        <v>141.58075430337479</v>
      </c>
      <c r="CC26" s="59">
        <f t="shared" si="11"/>
        <v>409.80953519273021</v>
      </c>
      <c r="CD26" s="59">
        <f ca="1">AVERAGE(OFFSET($CC$3,0,0,'Données projet'!$E$12+1,1))-AVERAGE(OFFSET($H$3,0,0,'Données projet'!$E$12+1,1))</f>
        <v>445.38112098358147</v>
      </c>
      <c r="CE26" s="59">
        <f t="shared" si="40"/>
        <v>272.45883568548516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65.486637212248425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5.6</v>
      </c>
      <c r="CT26" s="12">
        <f>IF('Données projet'!$A$140&gt;35,CT25+CS26-DB25,IF(A26&lt;'Données projet'!$A$140,$CQ$205^A26,IF(A26='Données projet'!$A$140,'Données projet'!$B$140,CT25+CS26-DB25)))</f>
        <v>58.800000000000004</v>
      </c>
      <c r="CU26" s="17">
        <f>CT26*VLOOKUP('Données projet'!$B$13,Paramètres!$A$1:$I$89,3,0)*VLOOKUP('Données projet'!$B$13,Paramètres!$A$1:$I$89,5,0)</f>
        <v>63.292320000000004</v>
      </c>
      <c r="CV26" s="13">
        <f t="shared" si="41"/>
        <v>17.998065245956816</v>
      </c>
      <c r="CW26" s="20">
        <f t="shared" si="13"/>
        <v>141.58075430337479</v>
      </c>
      <c r="CX26" s="59">
        <f t="shared" si="14"/>
        <v>409.80953519273021</v>
      </c>
      <c r="CY26" s="59">
        <f ca="1">AVERAGE(OFFSET($CX$3,0,0,'Données projet'!$E$13+1,1))-AVERAGE(OFFSET($H$3,0,0,'Données projet'!$E$13+1,1))</f>
        <v>445.38112098358147</v>
      </c>
      <c r="CZ26" s="59">
        <f t="shared" si="42"/>
        <v>272.45883568548516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65.486637212248425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5.6</v>
      </c>
      <c r="DO26" s="12">
        <f>IF('Données projet'!$A$166&gt;35,DO25+DN26-DW25,IF(A26&lt;'Données projet'!$A$166,$DL$205^A26,IF(A26='Données projet'!$A$166,'Données projet'!$B$166,DO25+DN26-DW25)))</f>
        <v>58.800000000000004</v>
      </c>
      <c r="DP26" s="17">
        <f>DO26*VLOOKUP('Données projet'!$B$14,Paramètres!$A$1:$I$89,3,0)*VLOOKUP('Données projet'!$B$14,Paramètres!$A$1:$I$89,5,0)</f>
        <v>56.87136000000001</v>
      </c>
      <c r="DQ26" s="13">
        <f t="shared" si="43"/>
        <v>16.374802181791551</v>
      </c>
      <c r="DR26" s="20">
        <f t="shared" si="16"/>
        <v>127.57039913328697</v>
      </c>
      <c r="DS26" s="59">
        <f t="shared" si="17"/>
        <v>395.79918002264236</v>
      </c>
      <c r="DT26" s="59">
        <f ca="1">AVERAGE(OFFSET($DS$3,0,0,'Données projet'!$E$14+1,1))-AVERAGE(OFFSET($H$3,0,0,'Données projet'!$E$14+1,1))</f>
        <v>405.29179902613089</v>
      </c>
      <c r="DU26" s="59">
        <f t="shared" si="44"/>
        <v>249.61049717638238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65.486637212248425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19.68</v>
      </c>
      <c r="EJ26" s="12">
        <f>IF('Données projet'!$A$192&gt;35,EJ25+EI26-ER25,IF(A26&lt;'Données projet'!$A$192,$EG$205^A26,IF(A26='Données projet'!$A$192,'Données projet'!$B$192,EJ25+EI26-ER25)))</f>
        <v>160.24</v>
      </c>
      <c r="EK26" s="17">
        <f>EJ26*VLOOKUP('Données projet'!$B$15,Paramètres!$A$1:$I$89,3,0)*VLOOKUP('Données projet'!$B$15,Paramètres!$A$1:$I$89,5,0)</f>
        <v>95.823520000000016</v>
      </c>
      <c r="EL26" s="13">
        <f t="shared" si="45"/>
        <v>25.964551808226819</v>
      </c>
      <c r="EM26" s="20">
        <f t="shared" si="19"/>
        <v>212.11422506599504</v>
      </c>
      <c r="EN26" s="59">
        <f t="shared" si="20"/>
        <v>480.34300595535046</v>
      </c>
      <c r="EO26" s="59">
        <f ca="1">AVERAGE(OFFSET($EN$3,0,0,'Données projet'!$E$15+1,1))-AVERAGE(OFFSET($H$3,0,0,'Données projet'!$E$15+1,1))</f>
        <v>444.77624981561257</v>
      </c>
      <c r="EP26" s="59">
        <f t="shared" si="46"/>
        <v>382.10319641527587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3.0538634403850495</v>
      </c>
      <c r="EW26" s="21">
        <f>EXP(-LN(2)/25)*EW25+(1-EXP(-LN(2)/25))/(LN(2)/25)*Calculateur!ER26*Calculateur!ET26*VLOOKUP('Données projet'!$B$15,Paramètres!$A$1:$I$89,3,0)*0.475*44/12</f>
        <v>6.6306698072892054</v>
      </c>
      <c r="EX26" s="21">
        <f>EXP(-LN(2)/2)*EX25+(1-EXP(-LN(2)/2))/(LN(2)/2)*ER26*EU26*VLOOKUP('Données projet'!$B$15,Paramètres!$A$1:$I$89,3,0)*0.475*44/12</f>
        <v>2.7429997450217494</v>
      </c>
      <c r="EY26" s="22">
        <f t="shared" si="21"/>
        <v>12.427532992696005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65.486637212248425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34</v>
      </c>
      <c r="FE26" s="12">
        <f>IF('Données projet'!$A$218&gt;35,FE25+FD26-FM25,IF(A26&lt;'Données projet'!$A$218,$FB$205^A26,IF(A26='Données projet'!$A$218,'Données projet'!$B$218,FE25+FD26-FM25)))</f>
        <v>223.99999999999997</v>
      </c>
      <c r="FF26" s="17">
        <f>FE26*VLOOKUP('Données projet'!$B$16,Paramètres!$A$1:$I$89,3,0)*VLOOKUP('Données projet'!$B$16,Paramètres!$A$1:$I$89,5,0)</f>
        <v>99.007999999999996</v>
      </c>
      <c r="FG26" s="13">
        <f t="shared" si="47"/>
        <v>26.725530277452449</v>
      </c>
      <c r="FH26" s="20">
        <f t="shared" si="22"/>
        <v>218.98589856656301</v>
      </c>
      <c r="FI26" s="59">
        <f t="shared" si="23"/>
        <v>487.21467945591837</v>
      </c>
      <c r="FJ26" s="59">
        <f ca="1">AVERAGE(OFFSET($FI$3,0,0,'Données projet'!$E$16+1,1))-AVERAGE(OFFSET($H$3,0,0,'Données projet'!$E$16+1,1))</f>
        <v>508.71179785154317</v>
      </c>
      <c r="FK26" s="59">
        <f t="shared" si="48"/>
        <v>422.73937290731442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12.248872227896197</v>
      </c>
      <c r="FS26" s="21">
        <f>EXP(-LN(2)/2)*FS25+(1-EXP(-LN(2)/2))/(LN(2)/2)*FM26*FP26*VLOOKUP('Données projet'!$B$16,Paramètres!$A$1:$I$89,3,0)*0.475*44/12</f>
        <v>5.7609911925732522</v>
      </c>
      <c r="FT26" s="22">
        <f t="shared" si="24"/>
        <v>18.009863420469451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65.486637212248425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65.486637212248425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1.35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4.95</v>
      </c>
      <c r="H27" s="67">
        <f t="shared" si="1"/>
        <v>236.86666666666665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65.564933966248375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6</v>
      </c>
      <c r="N27" s="13">
        <f>IF('Données projet'!$A$36&gt;35,N26+M27-V26,IF(A27&lt;'Données projet'!$A$36,$K$205^A27,IF(A27='Données projet'!$A$36,'Données projet'!$B$36,N26+M27-V26)))</f>
        <v>97</v>
      </c>
      <c r="O27" s="13">
        <f>N27*VLOOKUP('Données projet'!$B$9,Paramètres!$A$1:$I$89,3,0)*VLOOKUP('Données projet'!$B$9,Paramètres!$A$1:$I$89,5,0)</f>
        <v>87.765600000000006</v>
      </c>
      <c r="P27" s="13">
        <f t="shared" si="33"/>
        <v>24.025555589247954</v>
      </c>
      <c r="Q27" s="20">
        <f t="shared" si="2"/>
        <v>194.7029293179402</v>
      </c>
      <c r="R27" s="59">
        <f t="shared" si="0"/>
        <v>464.44102052751759</v>
      </c>
      <c r="S27" s="59">
        <f ca="1">AVERAGE(OFFSET($R$3,0,0,'Données projet'!$E$9+1,1))-AVERAGE(OFFSET($H$3,0,0,'Données projet'!$E$9+1,1))</f>
        <v>466.90449882701591</v>
      </c>
      <c r="T27" s="59">
        <f t="shared" si="34"/>
        <v>283.37641704892053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65.564933966248375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5.6</v>
      </c>
      <c r="AI27" s="13">
        <f>IF('Données projet'!$A$62&gt;35,AI26+AH27-AQ26,IF(A27&lt;'Données projet'!$A$62,$AF$205^A27,IF(A27='Données projet'!$A$62,'Données projet'!$B$62,AI26+AH27-AQ26)))</f>
        <v>64.400000000000006</v>
      </c>
      <c r="AJ27" s="13">
        <f>AI27*VLOOKUP('Données projet'!$B$10,Paramètres!$A$1:$I$89,3,0)*VLOOKUP('Données projet'!$B$10,Paramètres!$A$1:$I$89,5,0)</f>
        <v>61.283040000000014</v>
      </c>
      <c r="AK27" s="13">
        <f t="shared" si="35"/>
        <v>17.492261234067353</v>
      </c>
      <c r="AL27" s="20">
        <f t="shared" si="4"/>
        <v>137.20031631600065</v>
      </c>
      <c r="AM27" s="59">
        <f t="shared" si="5"/>
        <v>406.93840752557799</v>
      </c>
      <c r="AN27" s="59">
        <f ca="1">AVERAGE(OFFSET($AM$3,0,0,'Données projet'!$E$10+1,1))-AVERAGE(OFFSET($H$3,0,0,'Données projet'!$E$10+1,1))</f>
        <v>399.5572791581468</v>
      </c>
      <c r="AO27" s="59">
        <f t="shared" si="36"/>
        <v>246.34185986079777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65.564933966248375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10.6</v>
      </c>
      <c r="BD27" s="12">
        <f>IF('Données projet'!$A$88&gt;35,BD26+BC27-BL26,IF(A27&lt;'Données projet'!$A$88,$BA$205^A27,IF(A27='Données projet'!$A$88,'Données projet'!$B$88,BD26+BC27-BL26)))</f>
        <v>102.39999999999996</v>
      </c>
      <c r="BE27" s="13">
        <f>BD27*VLOOKUP('Données projet'!$B$11,Paramètres!$A$1:$I$89,3,0)*VLOOKUP('Données projet'!$B$11,Paramètres!$A$1:$I$89,5,0)</f>
        <v>79.871999999999971</v>
      </c>
      <c r="BF27" s="13">
        <f t="shared" si="37"/>
        <v>22.105884547145401</v>
      </c>
      <c r="BG27" s="20">
        <f t="shared" si="7"/>
        <v>177.61148225294485</v>
      </c>
      <c r="BH27" s="59">
        <f t="shared" si="8"/>
        <v>447.34957346252224</v>
      </c>
      <c r="BI27" s="59">
        <f ca="1">AVERAGE(OFFSET($BH$3,0,0,'Données projet'!$E$11+1,1))-AVERAGE(OFFSET($H$3,0,0,'Données projet'!$E$11+1,1))</f>
        <v>294.23449029791681</v>
      </c>
      <c r="BJ27" s="59">
        <f t="shared" si="38"/>
        <v>288.64639202306159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65.564933966248375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5.6</v>
      </c>
      <c r="BY27" s="12">
        <f>IF('Données projet'!$A$114&gt;35,BY26+BX27-CG26,IF(A27&lt;'Données projet'!$A$114,$BV$205^A27,IF(A27='Données projet'!$A$114,'Données projet'!$B$114,BY26+BX27-CG26)))</f>
        <v>64.400000000000006</v>
      </c>
      <c r="BZ27" s="13">
        <f>BY27*VLOOKUP('Données projet'!$B$12,Paramètres!$A$1:$I$89,3,0)*VLOOKUP('Données projet'!$B$12,Paramètres!$A$1:$I$89,5,0)</f>
        <v>69.320160000000001</v>
      </c>
      <c r="CA27" s="13">
        <f t="shared" si="39"/>
        <v>19.50453356393022</v>
      </c>
      <c r="CB27" s="20">
        <f t="shared" si="10"/>
        <v>154.70300795717847</v>
      </c>
      <c r="CC27" s="59">
        <f t="shared" si="11"/>
        <v>424.44109916675586</v>
      </c>
      <c r="CD27" s="59">
        <f ca="1">AVERAGE(OFFSET($CC$3,0,0,'Données projet'!$E$12+1,1))-AVERAGE(OFFSET($H$3,0,0,'Données projet'!$E$12+1,1))</f>
        <v>445.38112098358147</v>
      </c>
      <c r="CE27" s="59">
        <f t="shared" si="40"/>
        <v>272.45883568548516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65.564933966248375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5.6</v>
      </c>
      <c r="CT27" s="12">
        <f>IF('Données projet'!$A$140&gt;35,CT26+CS27-DB26,IF(A27&lt;'Données projet'!$A$140,$CQ$205^A27,IF(A27='Données projet'!$A$140,'Données projet'!$B$140,CT26+CS27-DB26)))</f>
        <v>64.400000000000006</v>
      </c>
      <c r="CU27" s="17">
        <f>CT27*VLOOKUP('Données projet'!$B$13,Paramètres!$A$1:$I$89,3,0)*VLOOKUP('Données projet'!$B$13,Paramètres!$A$1:$I$89,5,0)</f>
        <v>69.320160000000001</v>
      </c>
      <c r="CV27" s="13">
        <f t="shared" si="41"/>
        <v>19.50453356393022</v>
      </c>
      <c r="CW27" s="20">
        <f t="shared" si="13"/>
        <v>154.70300795717847</v>
      </c>
      <c r="CX27" s="59">
        <f t="shared" si="14"/>
        <v>424.44109916675586</v>
      </c>
      <c r="CY27" s="59">
        <f ca="1">AVERAGE(OFFSET($CX$3,0,0,'Données projet'!$E$13+1,1))-AVERAGE(OFFSET($H$3,0,0,'Données projet'!$E$13+1,1))</f>
        <v>445.38112098358147</v>
      </c>
      <c r="CZ27" s="59">
        <f t="shared" si="42"/>
        <v>272.45883568548516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65.564933966248375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5.6</v>
      </c>
      <c r="DO27" s="12">
        <f>IF('Données projet'!$A$166&gt;35,DO26+DN27-DW26,IF(A27&lt;'Données projet'!$A$166,$DL$205^A27,IF(A27='Données projet'!$A$166,'Données projet'!$B$166,DO26+DN27-DW26)))</f>
        <v>64.400000000000006</v>
      </c>
      <c r="DP27" s="17">
        <f>DO27*VLOOKUP('Données projet'!$B$14,Paramètres!$A$1:$I$89,3,0)*VLOOKUP('Données projet'!$B$14,Paramètres!$A$1:$I$89,5,0)</f>
        <v>62.287680000000009</v>
      </c>
      <c r="DQ27" s="13">
        <f t="shared" si="43"/>
        <v>17.745400652396182</v>
      </c>
      <c r="DR27" s="20">
        <f t="shared" si="16"/>
        <v>139.39094880292336</v>
      </c>
      <c r="DS27" s="59">
        <f t="shared" si="17"/>
        <v>409.1290400125007</v>
      </c>
      <c r="DT27" s="59">
        <f ca="1">AVERAGE(OFFSET($DS$3,0,0,'Données projet'!$E$14+1,1))-AVERAGE(OFFSET($H$3,0,0,'Données projet'!$E$14+1,1))</f>
        <v>405.29179902613089</v>
      </c>
      <c r="DU27" s="59">
        <f t="shared" si="44"/>
        <v>249.61049717638238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65.564933966248375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>
        <f>VLOOKUP(A27,'Données projet'!$A$191:$I$211,2,0)</f>
        <v>179.92</v>
      </c>
      <c r="EH27" s="12">
        <f>VLOOKUP(A27,'Données projet'!$A$191:$I$211,9,0)</f>
        <v>19.68</v>
      </c>
      <c r="EI27" s="12">
        <f t="array" ref="EI27">INDEX(EH:EH,MIN(IF(ISNUMBER(EH27:EH223),ROW(EH27:EH223),"")))</f>
        <v>19.68</v>
      </c>
      <c r="EJ27" s="12">
        <f>IF('Données projet'!$A$192&gt;35,EJ26+EI27-ER26,IF(A27&lt;'Données projet'!$A$192,$EG$205^A27,IF(A27='Données projet'!$A$192,'Données projet'!$B$192,EJ26+EI27-ER26)))</f>
        <v>179.92000000000002</v>
      </c>
      <c r="EK27" s="17">
        <f>EJ27*VLOOKUP('Données projet'!$B$15,Paramètres!$A$1:$I$89,3,0)*VLOOKUP('Données projet'!$B$15,Paramètres!$A$1:$I$89,5,0)</f>
        <v>107.59216000000002</v>
      </c>
      <c r="EL27" s="13">
        <f t="shared" si="45"/>
        <v>28.762950003220435</v>
      </c>
      <c r="EM27" s="20">
        <f t="shared" si="19"/>
        <v>237.48514992227561</v>
      </c>
      <c r="EN27" s="59">
        <f t="shared" si="20"/>
        <v>507.223241131853</v>
      </c>
      <c r="EO27" s="59">
        <f ca="1">AVERAGE(OFFSET($EN$3,0,0,'Données projet'!$E$15+1,1))-AVERAGE(OFFSET($H$3,0,0,'Données projet'!$E$15+1,1))</f>
        <v>444.77624981561257</v>
      </c>
      <c r="EP27" s="59">
        <f t="shared" si="46"/>
        <v>382.10319641527587</v>
      </c>
      <c r="EQ27" s="15">
        <f>IF(ISNA(VLOOKUP(A27,'Données projet'!$A$191:$I$211,3,0)),0,VLOOKUP(A27,'Données projet'!$A$191:$I$211,3,0))</f>
        <v>3</v>
      </c>
      <c r="ER27" s="15">
        <f>IF(ISNA(VLOOKUP(A27,'Données projet'!$A$191:$I$211,4,0)),0,VLOOKUP(A27,'Données projet'!$A$191:$I$211,4,0))</f>
        <v>45</v>
      </c>
      <c r="ES27" s="16">
        <f>IF(ISNA(VLOOKUP(A27,'Données projet'!$A$191:$I$211,5,0)),0%,VLOOKUP(A27,'Données projet'!$A$191:$I$211,5,0)*VLOOKUP('Données projet'!$B$15,Paramètres!$A$1:$I$89,7,0))</f>
        <v>9.0000000000000011E-2</v>
      </c>
      <c r="ET27" s="16">
        <f>IF(ISNA(VLOOKUP(A27,'Données projet'!$A$191:$I$211,6,0)),0%,VLOOKUP(A27,'Données projet'!$A$191:$I$211,6,0)*VLOOKUP('Données projet'!$B$15,Paramètres!$A$1:$I$89,7,0))</f>
        <v>0.20250000000000001</v>
      </c>
      <c r="EU27" s="16">
        <f>IF(ISNA(VLOOKUP(A27,'Données projet'!$A$191:$I$211,7,0)),0%,VLOOKUP(A27,'Données projet'!$A$191:$I$211,7,0))</f>
        <v>0.35</v>
      </c>
      <c r="EV27" s="21">
        <f>EXP(-LN(2)/35)*EV26+(1-EXP(-LN(2)/35))/(LN(2)/35)*ER27*ES27*VLOOKUP('Données projet'!$B$15,Paramètres!$A$1:$I$89,3,0)*0.475*44/12</f>
        <v>6.2067854956208972</v>
      </c>
      <c r="EW27" s="21">
        <f>EXP(-LN(2)/25)*EW26+(1-EXP(-LN(2)/25))/(LN(2)/25)*Calculateur!ER27*Calculateur!ET27*VLOOKUP('Données projet'!$B$15,Paramètres!$A$1:$I$89,3,0)*0.475*44/12</f>
        <v>13.649705718461419</v>
      </c>
      <c r="EX27" s="21">
        <f>EXP(-LN(2)/2)*EX26+(1-EXP(-LN(2)/2))/(LN(2)/2)*ER27*EU27*VLOOKUP('Données projet'!$B$15,Paramètres!$A$1:$I$89,3,0)*0.475*44/12</f>
        <v>12.603523614750868</v>
      </c>
      <c r="EY27" s="22">
        <f t="shared" si="21"/>
        <v>32.460014828833188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65.564933966248375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34</v>
      </c>
      <c r="FE27" s="12">
        <f>IF('Données projet'!$A$218&gt;35,FE26+FD27-FM26,IF(A27&lt;'Données projet'!$A$218,$FB$205^A27,IF(A27='Données projet'!$A$218,'Données projet'!$B$218,FE26+FD27-FM26)))</f>
        <v>258</v>
      </c>
      <c r="FF27" s="17">
        <f>FE27*VLOOKUP('Données projet'!$B$16,Paramètres!$A$1:$I$89,3,0)*VLOOKUP('Données projet'!$B$16,Paramètres!$A$1:$I$89,5,0)</f>
        <v>114.03600000000002</v>
      </c>
      <c r="FG27" s="13">
        <f t="shared" si="47"/>
        <v>30.279894261296121</v>
      </c>
      <c r="FH27" s="20">
        <f t="shared" si="22"/>
        <v>251.35018250509077</v>
      </c>
      <c r="FI27" s="59">
        <f t="shared" si="23"/>
        <v>521.08827371466816</v>
      </c>
      <c r="FJ27" s="59">
        <f ca="1">AVERAGE(OFFSET($FI$3,0,0,'Données projet'!$E$16+1,1))-AVERAGE(OFFSET($H$3,0,0,'Données projet'!$E$16+1,1))</f>
        <v>508.71179785154317</v>
      </c>
      <c r="FK27" s="59">
        <f t="shared" si="48"/>
        <v>422.73937290731442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11.91392617268418</v>
      </c>
      <c r="FS27" s="21">
        <f>EXP(-LN(2)/2)*FS26+(1-EXP(-LN(2)/2))/(LN(2)/2)*FM27*FP27*VLOOKUP('Données projet'!$B$16,Paramètres!$A$1:$I$89,3,0)*0.475*44/12</f>
        <v>4.0736359386245224</v>
      </c>
      <c r="FT27" s="22">
        <f t="shared" si="24"/>
        <v>15.987562111308701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65.564933966248375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65.564933966248375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1.35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4.95</v>
      </c>
      <c r="H28" s="67">
        <f t="shared" si="1"/>
        <v>236.86666666666665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65.641872446611728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103</v>
      </c>
      <c r="L28" s="12">
        <f>VLOOKUP(A28,'Données projet'!$A$35:$I$55,9,0)</f>
        <v>6</v>
      </c>
      <c r="M28" s="12">
        <f t="array" ref="M28">INDEX(L:L,MIN(IF(ISNUMBER(L28:L224),ROW(L28:L224),"")))</f>
        <v>6</v>
      </c>
      <c r="N28" s="13">
        <f>IF('Données projet'!$A$36&gt;35,N27+M28-V27,IF(A28&lt;'Données projet'!$A$36,$K$205^A28,IF(A28='Données projet'!$A$36,'Données projet'!$B$36,N27+M28-V27)))</f>
        <v>103</v>
      </c>
      <c r="O28" s="13">
        <f>N28*VLOOKUP('Données projet'!$B$9,Paramètres!$A$1:$I$89,3,0)*VLOOKUP('Données projet'!$B$9,Paramètres!$A$1:$I$89,5,0)</f>
        <v>93.194400000000002</v>
      </c>
      <c r="P28" s="13">
        <f t="shared" si="33"/>
        <v>25.33406653691528</v>
      </c>
      <c r="Q28" s="20">
        <f t="shared" si="2"/>
        <v>206.43707921846078</v>
      </c>
      <c r="R28" s="59">
        <f t="shared" si="0"/>
        <v>477.67950041159264</v>
      </c>
      <c r="S28" s="59">
        <f ca="1">AVERAGE(OFFSET($R$3,0,0,'Données projet'!$E$9+1,1))-AVERAGE(OFFSET($H$3,0,0,'Données projet'!$E$9+1,1))</f>
        <v>466.90449882701591</v>
      </c>
      <c r="T28" s="59">
        <f t="shared" si="34"/>
        <v>283.37641704892053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65.641872446611728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70</v>
      </c>
      <c r="AG28" s="12">
        <f>VLOOKUP(A28,'Données projet'!$A$61:$I$81,9,0)</f>
        <v>5.6</v>
      </c>
      <c r="AH28" s="12">
        <f t="array" ref="AH28">INDEX(AG:AG,MIN(IF(ISNUMBER(AG28:AG224),ROW(AG28:AG224),"")))</f>
        <v>5.6</v>
      </c>
      <c r="AI28" s="13">
        <f>IF('Données projet'!$A$62&gt;35,AI27+AH28-AQ27,IF(A28&lt;'Données projet'!$A$62,$AF$205^A28,IF(A28='Données projet'!$A$62,'Données projet'!$B$62,AI27+AH28-AQ27)))</f>
        <v>70</v>
      </c>
      <c r="AJ28" s="13">
        <f>AI28*VLOOKUP('Données projet'!$B$10,Paramètres!$A$1:$I$89,3,0)*VLOOKUP('Données projet'!$B$10,Paramètres!$A$1:$I$89,5,0)</f>
        <v>66.611999999999995</v>
      </c>
      <c r="AK28" s="13">
        <f t="shared" si="35"/>
        <v>18.829683939536395</v>
      </c>
      <c r="AL28" s="20">
        <f t="shared" si="4"/>
        <v>148.81093286135922</v>
      </c>
      <c r="AM28" s="59">
        <f t="shared" si="5"/>
        <v>420.05335405449108</v>
      </c>
      <c r="AN28" s="59">
        <f ca="1">AVERAGE(OFFSET($AM$3,0,0,'Données projet'!$E$10+1,1))-AVERAGE(OFFSET($H$3,0,0,'Données projet'!$E$10+1,1))</f>
        <v>399.5572791581468</v>
      </c>
      <c r="AO28" s="59">
        <f t="shared" si="36"/>
        <v>246.34185986079777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65.641872446611728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113</v>
      </c>
      <c r="BB28" s="12">
        <f>VLOOKUP(A28,'Données projet'!$A$87:$I$107,9,0)</f>
        <v>10.6</v>
      </c>
      <c r="BC28" s="12">
        <f t="array" ref="BC28">INDEX(BB:BB,MIN(IF(ISNUMBER(BB28:BB224),ROW(BB28:BB224),"")))</f>
        <v>10.6</v>
      </c>
      <c r="BD28" s="12">
        <f>IF('Données projet'!$A$88&gt;35,BD27+BC28-BL27,IF(A28&lt;'Données projet'!$A$88,$BA$205^A28,IF(A28='Données projet'!$A$88,'Données projet'!$B$88,BD27+BC28-BL27)))</f>
        <v>112.99999999999996</v>
      </c>
      <c r="BE28" s="13">
        <f>BD28*VLOOKUP('Données projet'!$B$11,Paramètres!$A$1:$I$89,3,0)*VLOOKUP('Données projet'!$B$11,Paramètres!$A$1:$I$89,5,0)</f>
        <v>88.139999999999972</v>
      </c>
      <c r="BF28" s="13">
        <f t="shared" si="37"/>
        <v>24.116094026318823</v>
      </c>
      <c r="BG28" s="20">
        <f t="shared" si="7"/>
        <v>195.51269709583855</v>
      </c>
      <c r="BH28" s="59">
        <f t="shared" si="8"/>
        <v>466.75511828897038</v>
      </c>
      <c r="BI28" s="59">
        <f ca="1">AVERAGE(OFFSET($BH$3,0,0,'Données projet'!$E$11+1,1))-AVERAGE(OFFSET($H$3,0,0,'Données projet'!$E$11+1,1))</f>
        <v>294.23449029791681</v>
      </c>
      <c r="BJ28" s="59">
        <f t="shared" si="38"/>
        <v>288.64639202306159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27</v>
      </c>
      <c r="BM28" s="16">
        <f>IF(ISNA(VLOOKUP(A28,'Données projet'!$A$87:$I$107,5,0)),0%,VLOOKUP(A28,'Données projet'!$A$87:$I$107,5,0)*VLOOKUP('Données projet'!$B$11,Paramètres!$A$1:$I$89,7,0))</f>
        <v>8.6000000000000007E-2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2.0021837325948981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2.0021837325948981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65.641872446611728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70</v>
      </c>
      <c r="BW28" s="12">
        <f>VLOOKUP(A28,'Données projet'!$A$113:$I$133,9,0)</f>
        <v>5.6</v>
      </c>
      <c r="BX28" s="12">
        <f t="array" ref="BX28">INDEX(BW:BW,MIN(IF(ISNUMBER(BW28:BW224),ROW(BW28:BW224),"")))</f>
        <v>5.6</v>
      </c>
      <c r="BY28" s="12">
        <f>IF('Données projet'!$A$114&gt;35,BY27+BX28-CG27,IF(A28&lt;'Données projet'!$A$114,$BV$205^A28,IF(A28='Données projet'!$A$114,'Données projet'!$B$114,BY27+BX28-CG27)))</f>
        <v>70</v>
      </c>
      <c r="BZ28" s="13">
        <f>BY28*VLOOKUP('Données projet'!$B$12,Paramètres!$A$1:$I$89,3,0)*VLOOKUP('Données projet'!$B$12,Paramètres!$A$1:$I$89,5,0)</f>
        <v>75.347999999999999</v>
      </c>
      <c r="CA28" s="13">
        <f t="shared" si="39"/>
        <v>20.99581051771704</v>
      </c>
      <c r="CB28" s="20">
        <f t="shared" si="10"/>
        <v>167.79880331835713</v>
      </c>
      <c r="CC28" s="59">
        <f t="shared" si="11"/>
        <v>439.04122451148896</v>
      </c>
      <c r="CD28" s="59">
        <f ca="1">AVERAGE(OFFSET($CC$3,0,0,'Données projet'!$E$12+1,1))-AVERAGE(OFFSET($H$3,0,0,'Données projet'!$E$12+1,1))</f>
        <v>445.38112098358147</v>
      </c>
      <c r="CE28" s="59">
        <f t="shared" si="40"/>
        <v>272.45883568548516</v>
      </c>
      <c r="CF28" s="15">
        <f>IF(ISNA(VLOOKUP(A28,'Données projet'!$A$113:$I$133,3,0)),0,VLOOKUP(A28,'Données projet'!$A$113:$I$133,3,0))</f>
        <v>2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65.641872446611728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70</v>
      </c>
      <c r="CR28" s="12">
        <f>VLOOKUP(A28,'Données projet'!$A$139:$I$159,9,0)</f>
        <v>5.6</v>
      </c>
      <c r="CS28" s="12">
        <f t="array" ref="CS28">INDEX(CR:CR,MIN(IF(ISNUMBER(CR28:CR224),ROW(CR28:CR224),"")))</f>
        <v>5.6</v>
      </c>
      <c r="CT28" s="12">
        <f>IF('Données projet'!$A$140&gt;35,CT27+CS28-DB27,IF(A28&lt;'Données projet'!$A$140,$CQ$205^A28,IF(A28='Données projet'!$A$140,'Données projet'!$B$140,CT27+CS28-DB27)))</f>
        <v>70</v>
      </c>
      <c r="CU28" s="17">
        <f>CT28*VLOOKUP('Données projet'!$B$13,Paramètres!$A$1:$I$89,3,0)*VLOOKUP('Données projet'!$B$13,Paramètres!$A$1:$I$89,5,0)</f>
        <v>75.347999999999999</v>
      </c>
      <c r="CV28" s="13">
        <f t="shared" si="41"/>
        <v>20.99581051771704</v>
      </c>
      <c r="CW28" s="20">
        <f t="shared" si="13"/>
        <v>167.79880331835713</v>
      </c>
      <c r="CX28" s="59">
        <f t="shared" si="14"/>
        <v>439.04122451148896</v>
      </c>
      <c r="CY28" s="59">
        <f ca="1">AVERAGE(OFFSET($CX$3,0,0,'Données projet'!$E$13+1,1))-AVERAGE(OFFSET($H$3,0,0,'Données projet'!$E$13+1,1))</f>
        <v>445.38112098358147</v>
      </c>
      <c r="CZ28" s="59">
        <f t="shared" si="42"/>
        <v>272.45883568548516</v>
      </c>
      <c r="DA28" s="15">
        <f>IF(ISNA(VLOOKUP(A28,'Données projet'!$A$139:$I$159,3,0)),0,VLOOKUP(A28,'Données projet'!$A$139:$I$159,3,0))</f>
        <v>2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65.641872446611728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70</v>
      </c>
      <c r="DM28" s="12">
        <f>VLOOKUP(A28,'Données projet'!$A$165:$I$185,9,0)</f>
        <v>5.6</v>
      </c>
      <c r="DN28" s="12">
        <f t="array" ref="DN28">INDEX(DM:DM,MIN(IF(ISNUMBER(DM28:DM224),ROW(DM28:DM224),"")))</f>
        <v>5.6</v>
      </c>
      <c r="DO28" s="12">
        <f>IF('Données projet'!$A$166&gt;35,DO27+DN28-DW27,IF(A28&lt;'Données projet'!$A$166,$DL$205^A28,IF(A28='Données projet'!$A$166,'Données projet'!$B$166,DO27+DN28-DW27)))</f>
        <v>70</v>
      </c>
      <c r="DP28" s="17">
        <f>DO28*VLOOKUP('Données projet'!$B$14,Paramètres!$A$1:$I$89,3,0)*VLOOKUP('Données projet'!$B$14,Paramètres!$A$1:$I$89,5,0)</f>
        <v>67.703999999999994</v>
      </c>
      <c r="DQ28" s="13">
        <f t="shared" si="43"/>
        <v>19.102177882771514</v>
      </c>
      <c r="DR28" s="20">
        <f t="shared" si="16"/>
        <v>151.18742647916039</v>
      </c>
      <c r="DS28" s="59">
        <f t="shared" si="17"/>
        <v>422.42984767229223</v>
      </c>
      <c r="DT28" s="59">
        <f ca="1">AVERAGE(OFFSET($DS$3,0,0,'Données projet'!$E$14+1,1))-AVERAGE(OFFSET($H$3,0,0,'Données projet'!$E$14+1,1))</f>
        <v>405.29179902613089</v>
      </c>
      <c r="DU28" s="59">
        <f t="shared" si="44"/>
        <v>249.61049717638238</v>
      </c>
      <c r="DV28" s="15">
        <f>IF(ISNA(VLOOKUP(A28,'Données projet'!$A$165:$I$185,3,0)),0,VLOOKUP(A28,'Données projet'!$A$165:$I$185,3,0))</f>
        <v>2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65.641872446611728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20.86333333333334</v>
      </c>
      <c r="EJ28" s="12">
        <f>IF('Données projet'!$A$192&gt;35,EJ27+EI28-ER27,IF(A28&lt;'Données projet'!$A$192,$EG$205^A28,IF(A28='Données projet'!$A$192,'Données projet'!$B$192,EJ27+EI28-ER27)))</f>
        <v>155.78333333333336</v>
      </c>
      <c r="EK28" s="17">
        <f>EJ28*VLOOKUP('Données projet'!$B$15,Paramètres!$A$1:$I$89,3,0)*VLOOKUP('Données projet'!$B$15,Paramètres!$A$1:$I$89,5,0)</f>
        <v>93.158433333333363</v>
      </c>
      <c r="EL28" s="13">
        <f t="shared" si="45"/>
        <v>25.325427193384016</v>
      </c>
      <c r="EM28" s="20">
        <f t="shared" si="19"/>
        <v>206.35939041736609</v>
      </c>
      <c r="EN28" s="59">
        <f t="shared" si="20"/>
        <v>477.60181161049798</v>
      </c>
      <c r="EO28" s="59">
        <f ca="1">AVERAGE(OFFSET($EN$3,0,0,'Données projet'!$E$15+1,1))-AVERAGE(OFFSET($H$3,0,0,'Données projet'!$E$15+1,1))</f>
        <v>444.77624981561257</v>
      </c>
      <c r="EP28" s="59">
        <f t="shared" si="46"/>
        <v>382.10319641527587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6.0850742178171107</v>
      </c>
      <c r="EW28" s="21">
        <f>EXP(-LN(2)/25)*EW27+(1-EXP(-LN(2)/25))/(LN(2)/25)*Calculateur!ER28*Calculateur!ET28*VLOOKUP('Données projet'!$B$15,Paramètres!$A$1:$I$89,3,0)*0.475*44/12</f>
        <v>13.276453797783265</v>
      </c>
      <c r="EX28" s="21">
        <f>EXP(-LN(2)/2)*EX27+(1-EXP(-LN(2)/2))/(LN(2)/2)*ER28*EU28*VLOOKUP('Données projet'!$B$15,Paramètres!$A$1:$I$89,3,0)*0.475*44/12</f>
        <v>8.9120370148351267</v>
      </c>
      <c r="EY28" s="22">
        <f t="shared" si="21"/>
        <v>28.273565030435506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65.641872446611728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>
        <f>VLOOKUP(A28,'Données projet'!$A$217:$I$237,2,0)</f>
        <v>292</v>
      </c>
      <c r="FC28" s="12">
        <f>VLOOKUP(A28,'Données projet'!$A$217:$I$237,9,0)</f>
        <v>34</v>
      </c>
      <c r="FD28" s="12">
        <f t="array" ref="FD28">INDEX(FC:FC,MIN(IF(ISNUMBER(FC28:FC224),ROW(FC28:FC224),"")))</f>
        <v>34</v>
      </c>
      <c r="FE28" s="12">
        <f>IF('Données projet'!$A$218&gt;35,FE27+FD28-FM27,IF(A28&lt;'Données projet'!$A$218,$FB$205^A28,IF(A28='Données projet'!$A$218,'Données projet'!$B$218,FE27+FD28-FM27)))</f>
        <v>292</v>
      </c>
      <c r="FF28" s="17">
        <f>FE28*VLOOKUP('Données projet'!$B$16,Paramètres!$A$1:$I$89,3,0)*VLOOKUP('Données projet'!$B$16,Paramètres!$A$1:$I$89,5,0)</f>
        <v>129.06399999999999</v>
      </c>
      <c r="FG28" s="13">
        <f t="shared" si="47"/>
        <v>33.779986339365287</v>
      </c>
      <c r="FH28" s="20">
        <f t="shared" si="22"/>
        <v>283.61994287439455</v>
      </c>
      <c r="FI28" s="59">
        <f t="shared" si="23"/>
        <v>554.86236406752641</v>
      </c>
      <c r="FJ28" s="59">
        <f ca="1">AVERAGE(OFFSET($FI$3,0,0,'Données projet'!$E$16+1,1))-AVERAGE(OFFSET($H$3,0,0,'Données projet'!$E$16+1,1))</f>
        <v>508.71179785154317</v>
      </c>
      <c r="FK28" s="59">
        <f t="shared" si="48"/>
        <v>422.73937290731442</v>
      </c>
      <c r="FL28" s="15">
        <f>IF(ISNA(VLOOKUP(A28,'Données projet'!$A$217:$I$237,3,0)),0,VLOOKUP(A28,'Données projet'!$A$217:$I$237,3,0))</f>
        <v>3</v>
      </c>
      <c r="FM28" s="15">
        <f>IF(ISNA(VLOOKUP(A28,'Données projet'!$A$217:$I$237,4,0)),0,VLOOKUP(A28,'Données projet'!$A$217:$I$237,4,0))</f>
        <v>84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0.30800000000000005</v>
      </c>
      <c r="FP28" s="16">
        <f>IF(ISNA(VLOOKUP(A28,'Données projet'!$A$217:$I$237,7,0)),0%,VLOOKUP(A28,'Données projet'!$A$217:$I$237,7,0))</f>
        <v>0.44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26.698236857145574</v>
      </c>
      <c r="FS28" s="21">
        <f>EXP(-LN(2)/2)*FS27+(1-EXP(-LN(2)/2))/(LN(2)/2)*FM28*FP28*VLOOKUP('Données projet'!$B$16,Paramètres!$A$1:$I$89,3,0)*0.475*44/12</f>
        <v>21.377004723014181</v>
      </c>
      <c r="FT28" s="22">
        <f t="shared" si="24"/>
        <v>48.075241580159755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65.641872446611728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65.641872446611728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1.35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4.95</v>
      </c>
      <c r="H29" s="67">
        <f t="shared" si="1"/>
        <v>236.86666666666665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65.717476216349468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3.6</v>
      </c>
      <c r="N29" s="13">
        <f>IF('Données projet'!$A$36&gt;35,N28+M29-V28,IF(A29&lt;'Données projet'!$A$36,$K$205^A29,IF(A29='Données projet'!$A$36,'Données projet'!$B$36,N28+M29-V28)))</f>
        <v>106.6</v>
      </c>
      <c r="O29" s="13">
        <f>N29*VLOOKUP('Données projet'!$B$9,Paramètres!$A$1:$I$89,3,0)*VLOOKUP('Données projet'!$B$9,Paramètres!$A$1:$I$89,5,0)</f>
        <v>96.451679999999996</v>
      </c>
      <c r="P29" s="13">
        <f t="shared" si="33"/>
        <v>26.114890017542621</v>
      </c>
      <c r="Q29" s="20">
        <f t="shared" si="2"/>
        <v>213.47010944722004</v>
      </c>
      <c r="R29" s="59">
        <f t="shared" si="0"/>
        <v>486.21196668494588</v>
      </c>
      <c r="S29" s="59">
        <f ca="1">AVERAGE(OFFSET($R$3,0,0,'Données projet'!$E$9+1,1))-AVERAGE(OFFSET($H$3,0,0,'Données projet'!$E$9+1,1))</f>
        <v>466.90449882701591</v>
      </c>
      <c r="T29" s="59">
        <f t="shared" si="34"/>
        <v>283.37641704892053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65.717476216349468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5.4</v>
      </c>
      <c r="AI29" s="13">
        <f>IF('Données projet'!$A$62&gt;35,AI28+AH29-AQ28,IF(A29&lt;'Données projet'!$A$62,$AF$205^A29,IF(A29='Données projet'!$A$62,'Données projet'!$B$62,AI28+AH29-AQ28)))</f>
        <v>75.400000000000006</v>
      </c>
      <c r="AJ29" s="13">
        <f>AI29*VLOOKUP('Données projet'!$B$10,Paramètres!$A$1:$I$89,3,0)*VLOOKUP('Données projet'!$B$10,Paramètres!$A$1:$I$89,5,0)</f>
        <v>71.750640000000004</v>
      </c>
      <c r="AK29" s="13">
        <f t="shared" si="35"/>
        <v>20.107576209927593</v>
      </c>
      <c r="AL29" s="20">
        <f t="shared" si="4"/>
        <v>159.98639323229057</v>
      </c>
      <c r="AM29" s="59">
        <f t="shared" si="5"/>
        <v>432.72825047001641</v>
      </c>
      <c r="AN29" s="59">
        <f ca="1">AVERAGE(OFFSET($AM$3,0,0,'Données projet'!$E$10+1,1))-AVERAGE(OFFSET($H$3,0,0,'Données projet'!$E$10+1,1))</f>
        <v>399.5572791581468</v>
      </c>
      <c r="AO29" s="59">
        <f t="shared" si="36"/>
        <v>246.34185986079777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65.717476216349468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11.5</v>
      </c>
      <c r="BD29" s="12">
        <f>IF('Données projet'!$A$88&gt;35,BD28+BC29-BL28,IF(A29&lt;'Données projet'!$A$88,$BA$205^A29,IF(A29='Données projet'!$A$88,'Données projet'!$B$88,BD28+BC29-BL28)))</f>
        <v>97.499999999999957</v>
      </c>
      <c r="BE29" s="13">
        <f>BD29*VLOOKUP('Données projet'!$B$11,Paramètres!$A$1:$I$89,3,0)*VLOOKUP('Données projet'!$B$11,Paramètres!$A$1:$I$89,5,0)</f>
        <v>76.049999999999969</v>
      </c>
      <c r="BF29" s="13">
        <f t="shared" si="37"/>
        <v>21.168560890749262</v>
      </c>
      <c r="BG29" s="20">
        <f t="shared" si="7"/>
        <v>169.32232688472158</v>
      </c>
      <c r="BH29" s="59">
        <f t="shared" si="8"/>
        <v>442.06418412244739</v>
      </c>
      <c r="BI29" s="59">
        <f ca="1">AVERAGE(OFFSET($BH$3,0,0,'Données projet'!$E$11+1,1))-AVERAGE(OFFSET($H$3,0,0,'Données projet'!$E$11+1,1))</f>
        <v>294.23449029791681</v>
      </c>
      <c r="BJ29" s="59">
        <f t="shared" si="38"/>
        <v>288.64639202306159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1.9629221308102045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1.9629221308102045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65.717476216349468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5.4</v>
      </c>
      <c r="BY29" s="12">
        <f>IF('Données projet'!$A$114&gt;35,BY28+BX29-CG28,IF(A29&lt;'Données projet'!$A$114,$BV$205^A29,IF(A29='Données projet'!$A$114,'Données projet'!$B$114,BY28+BX29-CG28)))</f>
        <v>75.400000000000006</v>
      </c>
      <c r="BZ29" s="13">
        <f>BY29*VLOOKUP('Données projet'!$B$12,Paramètres!$A$1:$I$89,3,0)*VLOOKUP('Données projet'!$B$12,Paramètres!$A$1:$I$89,5,0)</f>
        <v>81.160560000000004</v>
      </c>
      <c r="CA29" s="13">
        <f t="shared" si="39"/>
        <v>22.420708782464519</v>
      </c>
      <c r="CB29" s="20">
        <f t="shared" si="10"/>
        <v>180.40404312945904</v>
      </c>
      <c r="CC29" s="59">
        <f t="shared" si="11"/>
        <v>453.14590036718482</v>
      </c>
      <c r="CD29" s="59">
        <f ca="1">AVERAGE(OFFSET($CC$3,0,0,'Données projet'!$E$12+1,1))-AVERAGE(OFFSET($H$3,0,0,'Données projet'!$E$12+1,1))</f>
        <v>445.38112098358147</v>
      </c>
      <c r="CE29" s="59">
        <f t="shared" si="40"/>
        <v>272.45883568548516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65.717476216349468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5.4</v>
      </c>
      <c r="CT29" s="12">
        <f>IF('Données projet'!$A$140&gt;35,CT28+CS29-DB28,IF(A29&lt;'Données projet'!$A$140,$CQ$205^A29,IF(A29='Données projet'!$A$140,'Données projet'!$B$140,CT28+CS29-DB28)))</f>
        <v>75.400000000000006</v>
      </c>
      <c r="CU29" s="17">
        <f>CT29*VLOOKUP('Données projet'!$B$13,Paramètres!$A$1:$I$89,3,0)*VLOOKUP('Données projet'!$B$13,Paramètres!$A$1:$I$89,5,0)</f>
        <v>81.160560000000004</v>
      </c>
      <c r="CV29" s="13">
        <f t="shared" si="41"/>
        <v>22.420708782464519</v>
      </c>
      <c r="CW29" s="20">
        <f t="shared" si="13"/>
        <v>180.40404312945904</v>
      </c>
      <c r="CX29" s="59">
        <f t="shared" si="14"/>
        <v>453.14590036718482</v>
      </c>
      <c r="CY29" s="59">
        <f ca="1">AVERAGE(OFFSET($CX$3,0,0,'Données projet'!$E$13+1,1))-AVERAGE(OFFSET($H$3,0,0,'Données projet'!$E$13+1,1))</f>
        <v>445.38112098358147</v>
      </c>
      <c r="CZ29" s="59">
        <f t="shared" si="42"/>
        <v>272.45883568548516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65.717476216349468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5.4</v>
      </c>
      <c r="DO29" s="12">
        <f>IF('Données projet'!$A$166&gt;35,DO28+DN29-DW28,IF(A29&lt;'Données projet'!$A$166,$DL$205^A29,IF(A29='Données projet'!$A$166,'Données projet'!$B$166,DO28+DN29-DW28)))</f>
        <v>75.400000000000006</v>
      </c>
      <c r="DP29" s="17">
        <f>DO29*VLOOKUP('Données projet'!$B$14,Paramètres!$A$1:$I$89,3,0)*VLOOKUP('Données projet'!$B$14,Paramètres!$A$1:$I$89,5,0)</f>
        <v>72.926880000000011</v>
      </c>
      <c r="DQ29" s="13">
        <f t="shared" si="43"/>
        <v>20.398563182833673</v>
      </c>
      <c r="DR29" s="20">
        <f t="shared" si="16"/>
        <v>162.54181354343532</v>
      </c>
      <c r="DS29" s="59">
        <f t="shared" si="17"/>
        <v>435.28367078116116</v>
      </c>
      <c r="DT29" s="59">
        <f ca="1">AVERAGE(OFFSET($DS$3,0,0,'Données projet'!$E$14+1,1))-AVERAGE(OFFSET($H$3,0,0,'Données projet'!$E$14+1,1))</f>
        <v>405.29179902613089</v>
      </c>
      <c r="DU29" s="59">
        <f t="shared" si="44"/>
        <v>249.61049717638238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65.717476216349468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20.86333333333334</v>
      </c>
      <c r="EJ29" s="12">
        <f>IF('Données projet'!$A$192&gt;35,EJ28+EI29-ER28,IF(A29&lt;'Données projet'!$A$192,$EG$205^A29,IF(A29='Données projet'!$A$192,'Données projet'!$B$192,EJ28+EI29-ER28)))</f>
        <v>176.6466666666667</v>
      </c>
      <c r="EK29" s="17">
        <f>EJ29*VLOOKUP('Données projet'!$B$15,Paramètres!$A$1:$I$89,3,0)*VLOOKUP('Données projet'!$B$15,Paramètres!$A$1:$I$89,5,0)</f>
        <v>105.6347066666667</v>
      </c>
      <c r="EL29" s="13">
        <f t="shared" si="45"/>
        <v>28.30007612423924</v>
      </c>
      <c r="EM29" s="20">
        <f t="shared" si="19"/>
        <v>233.2697466941612</v>
      </c>
      <c r="EN29" s="59">
        <f t="shared" si="20"/>
        <v>506.01160393188701</v>
      </c>
      <c r="EO29" s="59">
        <f ca="1">AVERAGE(OFFSET($EN$3,0,0,'Données projet'!$E$15+1,1))-AVERAGE(OFFSET($H$3,0,0,'Données projet'!$E$15+1,1))</f>
        <v>444.77624981561257</v>
      </c>
      <c r="EP29" s="59">
        <f t="shared" si="46"/>
        <v>382.10319641527587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5.9657496239345074</v>
      </c>
      <c r="EW29" s="21">
        <f>EXP(-LN(2)/25)*EW28+(1-EXP(-LN(2)/25))/(LN(2)/25)*Calculateur!ER29*Calculateur!ET29*VLOOKUP('Données projet'!$B$15,Paramètres!$A$1:$I$89,3,0)*0.475*44/12</f>
        <v>12.913408470504521</v>
      </c>
      <c r="EX29" s="21">
        <f>EXP(-LN(2)/2)*EX28+(1-EXP(-LN(2)/2))/(LN(2)/2)*ER29*EU29*VLOOKUP('Données projet'!$B$15,Paramètres!$A$1:$I$89,3,0)*0.475*44/12</f>
        <v>6.3017618073754349</v>
      </c>
      <c r="EY29" s="22">
        <f t="shared" si="21"/>
        <v>25.180919901814462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65.717476216349468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37.4</v>
      </c>
      <c r="FE29" s="12">
        <f>IF('Données projet'!$A$218&gt;35,FE28+FD29-FM28,IF(A29&lt;'Données projet'!$A$218,$FB$205^A29,IF(A29='Données projet'!$A$218,'Données projet'!$B$218,FE28+FD29-FM28)))</f>
        <v>245.39999999999998</v>
      </c>
      <c r="FF29" s="17">
        <f>FE29*VLOOKUP('Données projet'!$B$16,Paramètres!$A$1:$I$89,3,0)*VLOOKUP('Données projet'!$B$16,Paramètres!$A$1:$I$89,5,0)</f>
        <v>108.46679999999999</v>
      </c>
      <c r="FG29" s="13">
        <f t="shared" si="47"/>
        <v>28.969456129097562</v>
      </c>
      <c r="FH29" s="20">
        <f t="shared" si="22"/>
        <v>239.36814609151156</v>
      </c>
      <c r="FI29" s="59">
        <f t="shared" si="23"/>
        <v>512.11000332923732</v>
      </c>
      <c r="FJ29" s="59">
        <f ca="1">AVERAGE(OFFSET($FI$3,0,0,'Données projet'!$E$16+1,1))-AVERAGE(OFFSET($H$3,0,0,'Données projet'!$E$16+1,1))</f>
        <v>508.71179785154317</v>
      </c>
      <c r="FK29" s="59">
        <f t="shared" si="48"/>
        <v>422.73937290731442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25.968172166287673</v>
      </c>
      <c r="FS29" s="21">
        <f>EXP(-LN(2)/2)*FS28+(1-EXP(-LN(2)/2))/(LN(2)/2)*FM29*FP29*VLOOKUP('Données projet'!$B$16,Paramètres!$A$1:$I$89,3,0)*0.475*44/12</f>
        <v>15.115825001100182</v>
      </c>
      <c r="FT29" s="22">
        <f t="shared" si="24"/>
        <v>41.083997167387857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65.717476216349468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65.717476216349468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1.35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4.95</v>
      </c>
      <c r="H30" s="67">
        <f t="shared" si="1"/>
        <v>236.86666666666665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65.791768429706948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3.6</v>
      </c>
      <c r="N30" s="13">
        <f>IF('Données projet'!$A$36&gt;35,N29+M30-V29,IF(A30&lt;'Données projet'!$A$36,$K$205^A30,IF(A30='Données projet'!$A$36,'Données projet'!$B$36,N29+M30-V29)))</f>
        <v>110.19999999999999</v>
      </c>
      <c r="O30" s="13">
        <f>N30*VLOOKUP('Données projet'!$B$9,Paramètres!$A$1:$I$89,3,0)*VLOOKUP('Données projet'!$B$9,Paramètres!$A$1:$I$89,5,0)</f>
        <v>99.70895999999999</v>
      </c>
      <c r="P30" s="13">
        <f t="shared" si="33"/>
        <v>26.892649524411862</v>
      </c>
      <c r="Q30" s="20">
        <f t="shared" si="2"/>
        <v>220.49780325501729</v>
      </c>
      <c r="R30" s="59">
        <f t="shared" si="0"/>
        <v>494.73428749727611</v>
      </c>
      <c r="S30" s="59">
        <f ca="1">AVERAGE(OFFSET($R$3,0,0,'Données projet'!$E$9+1,1))-AVERAGE(OFFSET($H$3,0,0,'Données projet'!$E$9+1,1))</f>
        <v>466.90449882701591</v>
      </c>
      <c r="T30" s="59">
        <f t="shared" si="34"/>
        <v>283.37641704892053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65.791768429706948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5.4</v>
      </c>
      <c r="AI30" s="13">
        <f>IF('Données projet'!$A$62&gt;35,AI29+AH30-AQ29,IF(A30&lt;'Données projet'!$A$62,$AF$205^A30,IF(A30='Données projet'!$A$62,'Données projet'!$B$62,AI29+AH30-AQ29)))</f>
        <v>80.800000000000011</v>
      </c>
      <c r="AJ30" s="13">
        <f>AI30*VLOOKUP('Données projet'!$B$10,Paramètres!$A$1:$I$89,3,0)*VLOOKUP('Données projet'!$B$10,Paramètres!$A$1:$I$89,5,0)</f>
        <v>76.889280000000014</v>
      </c>
      <c r="AK30" s="13">
        <f t="shared" si="35"/>
        <v>21.3748502393221</v>
      </c>
      <c r="AL30" s="20">
        <f t="shared" si="4"/>
        <v>171.14336016681935</v>
      </c>
      <c r="AM30" s="59">
        <f t="shared" si="5"/>
        <v>445.37984440907815</v>
      </c>
      <c r="AN30" s="59">
        <f ca="1">AVERAGE(OFFSET($AM$3,0,0,'Données projet'!$E$10+1,1))-AVERAGE(OFFSET($H$3,0,0,'Données projet'!$E$10+1,1))</f>
        <v>399.5572791581468</v>
      </c>
      <c r="AO30" s="59">
        <f t="shared" si="36"/>
        <v>246.34185986079777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65.791768429706948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11.5</v>
      </c>
      <c r="BD30" s="12">
        <f>IF('Données projet'!$A$88&gt;35,BD29+BC30-BL29,IF(A30&lt;'Données projet'!$A$88,$BA$205^A30,IF(A30='Données projet'!$A$88,'Données projet'!$B$88,BD29+BC30-BL29)))</f>
        <v>108.99999999999996</v>
      </c>
      <c r="BE30" s="13">
        <f>BD30*VLOOKUP('Données projet'!$B$11,Paramètres!$A$1:$I$89,3,0)*VLOOKUP('Données projet'!$B$11,Paramètres!$A$1:$I$89,5,0)</f>
        <v>85.019999999999968</v>
      </c>
      <c r="BF30" s="13">
        <f t="shared" si="37"/>
        <v>23.360218970693097</v>
      </c>
      <c r="BG30" s="20">
        <f t="shared" si="7"/>
        <v>188.76221470729038</v>
      </c>
      <c r="BH30" s="59">
        <f t="shared" si="8"/>
        <v>462.99869894954918</v>
      </c>
      <c r="BI30" s="59">
        <f ca="1">AVERAGE(OFFSET($BH$3,0,0,'Données projet'!$E$11+1,1))-AVERAGE(OFFSET($H$3,0,0,'Données projet'!$E$11+1,1))</f>
        <v>294.23449029791681</v>
      </c>
      <c r="BJ30" s="59">
        <f t="shared" si="38"/>
        <v>288.64639202306159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1.9244304250892961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1.9244304250892961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65.791768429706948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5.4</v>
      </c>
      <c r="BY30" s="12">
        <f>IF('Données projet'!$A$114&gt;35,BY29+BX30-CG29,IF(A30&lt;'Données projet'!$A$114,$BV$205^A30,IF(A30='Données projet'!$A$114,'Données projet'!$B$114,BY29+BX30-CG29)))</f>
        <v>80.800000000000011</v>
      </c>
      <c r="BZ30" s="13">
        <f>BY30*VLOOKUP('Données projet'!$B$12,Paramètres!$A$1:$I$89,3,0)*VLOOKUP('Données projet'!$B$12,Paramètres!$A$1:$I$89,5,0)</f>
        <v>86.973120000000009</v>
      </c>
      <c r="CA30" s="13">
        <f t="shared" si="39"/>
        <v>23.833767306475281</v>
      </c>
      <c r="CB30" s="20">
        <f t="shared" si="10"/>
        <v>192.98866205877778</v>
      </c>
      <c r="CC30" s="59">
        <f t="shared" si="11"/>
        <v>467.2251463010366</v>
      </c>
      <c r="CD30" s="59">
        <f ca="1">AVERAGE(OFFSET($CC$3,0,0,'Données projet'!$E$12+1,1))-AVERAGE(OFFSET($H$3,0,0,'Données projet'!$E$12+1,1))</f>
        <v>445.38112098358147</v>
      </c>
      <c r="CE30" s="59">
        <f t="shared" si="40"/>
        <v>272.45883568548516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65.791768429706948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5.4</v>
      </c>
      <c r="CT30" s="12">
        <f>IF('Données projet'!$A$140&gt;35,CT29+CS30-DB29,IF(A30&lt;'Données projet'!$A$140,$CQ$205^A30,IF(A30='Données projet'!$A$140,'Données projet'!$B$140,CT29+CS30-DB29)))</f>
        <v>80.800000000000011</v>
      </c>
      <c r="CU30" s="17">
        <f>CT30*VLOOKUP('Données projet'!$B$13,Paramètres!$A$1:$I$89,3,0)*VLOOKUP('Données projet'!$B$13,Paramètres!$A$1:$I$89,5,0)</f>
        <v>86.973120000000009</v>
      </c>
      <c r="CV30" s="13">
        <f t="shared" si="41"/>
        <v>23.833767306475281</v>
      </c>
      <c r="CW30" s="20">
        <f t="shared" si="13"/>
        <v>192.98866205877778</v>
      </c>
      <c r="CX30" s="59">
        <f t="shared" si="14"/>
        <v>467.2251463010366</v>
      </c>
      <c r="CY30" s="59">
        <f ca="1">AVERAGE(OFFSET($CX$3,0,0,'Données projet'!$E$13+1,1))-AVERAGE(OFFSET($H$3,0,0,'Données projet'!$E$13+1,1))</f>
        <v>445.38112098358147</v>
      </c>
      <c r="CZ30" s="59">
        <f t="shared" si="42"/>
        <v>272.45883568548516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65.791768429706948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5.4</v>
      </c>
      <c r="DO30" s="12">
        <f>IF('Données projet'!$A$166&gt;35,DO29+DN30-DW29,IF(A30&lt;'Données projet'!$A$166,$DL$205^A30,IF(A30='Données projet'!$A$166,'Données projet'!$B$166,DO29+DN30-DW29)))</f>
        <v>80.800000000000011</v>
      </c>
      <c r="DP30" s="17">
        <f>DO30*VLOOKUP('Données projet'!$B$14,Paramètres!$A$1:$I$89,3,0)*VLOOKUP('Données projet'!$B$14,Paramètres!$A$1:$I$89,5,0)</f>
        <v>78.149760000000015</v>
      </c>
      <c r="DQ30" s="13">
        <f t="shared" si="43"/>
        <v>21.684176579927502</v>
      </c>
      <c r="DR30" s="20">
        <f t="shared" si="16"/>
        <v>173.87743954337375</v>
      </c>
      <c r="DS30" s="59">
        <f t="shared" si="17"/>
        <v>448.11392378563255</v>
      </c>
      <c r="DT30" s="59">
        <f ca="1">AVERAGE(OFFSET($DS$3,0,0,'Données projet'!$E$14+1,1))-AVERAGE(OFFSET($H$3,0,0,'Données projet'!$E$14+1,1))</f>
        <v>405.29179902613089</v>
      </c>
      <c r="DU30" s="59">
        <f t="shared" si="44"/>
        <v>249.61049717638238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65.791768429706948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20.86333333333334</v>
      </c>
      <c r="EJ30" s="12">
        <f>IF('Données projet'!$A$192&gt;35,EJ29+EI30-ER29,IF(A30&lt;'Données projet'!$A$192,$EG$205^A30,IF(A30='Données projet'!$A$192,'Données projet'!$B$192,EJ29+EI30-ER29)))</f>
        <v>197.51000000000005</v>
      </c>
      <c r="EK30" s="17">
        <f>EJ30*VLOOKUP('Données projet'!$B$15,Paramètres!$A$1:$I$89,3,0)*VLOOKUP('Données projet'!$B$15,Paramètres!$A$1:$I$89,5,0)</f>
        <v>118.11098000000003</v>
      </c>
      <c r="EL30" s="13">
        <f t="shared" si="45"/>
        <v>31.234010364950812</v>
      </c>
      <c r="EM30" s="20">
        <f t="shared" si="19"/>
        <v>260.10919155228936</v>
      </c>
      <c r="EN30" s="59">
        <f t="shared" si="20"/>
        <v>534.34567579454824</v>
      </c>
      <c r="EO30" s="59">
        <f ca="1">AVERAGE(OFFSET($EN$3,0,0,'Données projet'!$E$15+1,1))-AVERAGE(OFFSET($H$3,0,0,'Données projet'!$E$15+1,1))</f>
        <v>444.77624981561257</v>
      </c>
      <c r="EP30" s="59">
        <f t="shared" si="46"/>
        <v>382.10319641527587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5.8487649125571259</v>
      </c>
      <c r="EW30" s="21">
        <f>EXP(-LN(2)/25)*EW29+(1-EXP(-LN(2)/25))/(LN(2)/25)*Calculateur!ER30*Calculateur!ET30*VLOOKUP('Données projet'!$B$15,Paramètres!$A$1:$I$89,3,0)*0.475*44/12</f>
        <v>12.560290636791937</v>
      </c>
      <c r="EX30" s="21">
        <f>EXP(-LN(2)/2)*EX29+(1-EXP(-LN(2)/2))/(LN(2)/2)*ER30*EU30*VLOOKUP('Données projet'!$B$15,Paramètres!$A$1:$I$89,3,0)*0.475*44/12</f>
        <v>4.4560185074175642</v>
      </c>
      <c r="EY30" s="22">
        <f t="shared" si="21"/>
        <v>22.865074056766627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65.791768429706948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37.4</v>
      </c>
      <c r="FE30" s="12">
        <f>IF('Données projet'!$A$218&gt;35,FE29+FD30-FM29,IF(A30&lt;'Données projet'!$A$218,$FB$205^A30,IF(A30='Données projet'!$A$218,'Données projet'!$B$218,FE29+FD30-FM29)))</f>
        <v>282.79999999999995</v>
      </c>
      <c r="FF30" s="17">
        <f>FE30*VLOOKUP('Données projet'!$B$16,Paramètres!$A$1:$I$89,3,0)*VLOOKUP('Données projet'!$B$16,Paramètres!$A$1:$I$89,5,0)</f>
        <v>124.99759999999999</v>
      </c>
      <c r="FG30" s="13">
        <f t="shared" si="47"/>
        <v>32.837825026716871</v>
      </c>
      <c r="FH30" s="20">
        <f t="shared" si="22"/>
        <v>274.89669858819849</v>
      </c>
      <c r="FI30" s="59">
        <f t="shared" si="23"/>
        <v>549.13318283045737</v>
      </c>
      <c r="FJ30" s="59">
        <f ca="1">AVERAGE(OFFSET($FI$3,0,0,'Données projet'!$E$16+1,1))-AVERAGE(OFFSET($H$3,0,0,'Données projet'!$E$16+1,1))</f>
        <v>508.71179785154317</v>
      </c>
      <c r="FK30" s="59">
        <f t="shared" si="48"/>
        <v>422.73937290731442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25.258071132793713</v>
      </c>
      <c r="FS30" s="21">
        <f>EXP(-LN(2)/2)*FS29+(1-EXP(-LN(2)/2))/(LN(2)/2)*FM30*FP30*VLOOKUP('Données projet'!$B$16,Paramètres!$A$1:$I$89,3,0)*0.475*44/12</f>
        <v>10.688502361507092</v>
      </c>
      <c r="FT30" s="22">
        <f t="shared" si="24"/>
        <v>35.946573494300807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65.791768429706948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65.791768429706948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1.35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4.95</v>
      </c>
      <c r="H31" s="67">
        <f t="shared" si="1"/>
        <v>236.86666666666665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65.864771839255198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3.6</v>
      </c>
      <c r="N31" s="13">
        <f>IF('Données projet'!$A$36&gt;35,N30+M31-V30,IF(A31&lt;'Données projet'!$A$36,$K$205^A31,IF(A31='Données projet'!$A$36,'Données projet'!$B$36,N30+M31-V30)))</f>
        <v>113.79999999999998</v>
      </c>
      <c r="O31" s="13">
        <f>N31*VLOOKUP('Données projet'!$B$9,Paramètres!$A$1:$I$89,3,0)*VLOOKUP('Données projet'!$B$9,Paramètres!$A$1:$I$89,5,0)</f>
        <v>102.96623999999998</v>
      </c>
      <c r="P31" s="13">
        <f t="shared" si="33"/>
        <v>27.6674566300326</v>
      </c>
      <c r="Q31" s="20">
        <f t="shared" si="2"/>
        <v>227.5203549639734</v>
      </c>
      <c r="R31" s="59">
        <f t="shared" si="0"/>
        <v>503.24674059679796</v>
      </c>
      <c r="S31" s="59">
        <f ca="1">AVERAGE(OFFSET($R$3,0,0,'Données projet'!$E$9+1,1))-AVERAGE(OFFSET($H$3,0,0,'Données projet'!$E$9+1,1))</f>
        <v>466.90449882701591</v>
      </c>
      <c r="T31" s="59">
        <f t="shared" si="34"/>
        <v>283.37641704892053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65.864771839255198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5.4</v>
      </c>
      <c r="AI31" s="13">
        <f>IF('Données projet'!$A$62&gt;35,AI30+AH31-AQ30,IF(A31&lt;'Données projet'!$A$62,$AF$205^A31,IF(A31='Données projet'!$A$62,'Données projet'!$B$62,AI30+AH31-AQ30)))</f>
        <v>86.200000000000017</v>
      </c>
      <c r="AJ31" s="13">
        <f>AI31*VLOOKUP('Données projet'!$B$10,Paramètres!$A$1:$I$89,3,0)*VLOOKUP('Données projet'!$B$10,Paramètres!$A$1:$I$89,5,0)</f>
        <v>82.027920000000009</v>
      </c>
      <c r="AK31" s="13">
        <f t="shared" si="35"/>
        <v>22.632296406471401</v>
      </c>
      <c r="AL31" s="20">
        <f t="shared" si="4"/>
        <v>182.28321024127104</v>
      </c>
      <c r="AM31" s="59">
        <f t="shared" si="5"/>
        <v>458.00959587409562</v>
      </c>
      <c r="AN31" s="59">
        <f ca="1">AVERAGE(OFFSET($AM$3,0,0,'Données projet'!$E$10+1,1))-AVERAGE(OFFSET($H$3,0,0,'Données projet'!$E$10+1,1))</f>
        <v>399.5572791581468</v>
      </c>
      <c r="AO31" s="59">
        <f t="shared" si="36"/>
        <v>246.34185986079777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65.864771839255198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11.5</v>
      </c>
      <c r="BD31" s="12">
        <f>IF('Données projet'!$A$88&gt;35,BD30+BC31-BL30,IF(A31&lt;'Données projet'!$A$88,$BA$205^A31,IF(A31='Données projet'!$A$88,'Données projet'!$B$88,BD30+BC31-BL30)))</f>
        <v>120.49999999999996</v>
      </c>
      <c r="BE31" s="13">
        <f>BD31*VLOOKUP('Données projet'!$B$11,Paramètres!$A$1:$I$89,3,0)*VLOOKUP('Données projet'!$B$11,Paramètres!$A$1:$I$89,5,0)</f>
        <v>93.989999999999966</v>
      </c>
      <c r="BF31" s="13">
        <f t="shared" si="37"/>
        <v>25.525074036970054</v>
      </c>
      <c r="BG31" s="20">
        <f t="shared" si="7"/>
        <v>208.15542061438944</v>
      </c>
      <c r="BH31" s="59">
        <f t="shared" si="8"/>
        <v>483.88180624721406</v>
      </c>
      <c r="BI31" s="59">
        <f ca="1">AVERAGE(OFFSET($BH$3,0,0,'Données projet'!$E$11+1,1))-AVERAGE(OFFSET($H$3,0,0,'Données projet'!$E$11+1,1))</f>
        <v>294.23449029791681</v>
      </c>
      <c r="BJ31" s="59">
        <f t="shared" si="38"/>
        <v>288.64639202306159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1.8866935182399525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1.8866935182399525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65.864771839255198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5.4</v>
      </c>
      <c r="BY31" s="12">
        <f>IF('Données projet'!$A$114&gt;35,BY30+BX31-CG30,IF(A31&lt;'Données projet'!$A$114,$BV$205^A31,IF(A31='Données projet'!$A$114,'Données projet'!$B$114,BY30+BX31-CG30)))</f>
        <v>86.200000000000017</v>
      </c>
      <c r="BZ31" s="13">
        <f>BY31*VLOOKUP('Données projet'!$B$12,Paramètres!$A$1:$I$89,3,0)*VLOOKUP('Données projet'!$B$12,Paramètres!$A$1:$I$89,5,0)</f>
        <v>92.785680000000013</v>
      </c>
      <c r="CA31" s="13">
        <f t="shared" si="39"/>
        <v>25.235867391982413</v>
      </c>
      <c r="CB31" s="20">
        <f t="shared" si="10"/>
        <v>205.55419504103602</v>
      </c>
      <c r="CC31" s="59">
        <f t="shared" si="11"/>
        <v>481.28058067386064</v>
      </c>
      <c r="CD31" s="59">
        <f ca="1">AVERAGE(OFFSET($CC$3,0,0,'Données projet'!$E$12+1,1))-AVERAGE(OFFSET($H$3,0,0,'Données projet'!$E$12+1,1))</f>
        <v>445.38112098358147</v>
      </c>
      <c r="CE31" s="59">
        <f t="shared" si="40"/>
        <v>272.45883568548516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65.864771839255198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5.4</v>
      </c>
      <c r="CT31" s="12">
        <f>IF('Données projet'!$A$140&gt;35,CT30+CS31-DB30,IF(A31&lt;'Données projet'!$A$140,$CQ$205^A31,IF(A31='Données projet'!$A$140,'Données projet'!$B$140,CT30+CS31-DB30)))</f>
        <v>86.200000000000017</v>
      </c>
      <c r="CU31" s="17">
        <f>CT31*VLOOKUP('Données projet'!$B$13,Paramètres!$A$1:$I$89,3,0)*VLOOKUP('Données projet'!$B$13,Paramètres!$A$1:$I$89,5,0)</f>
        <v>92.785680000000013</v>
      </c>
      <c r="CV31" s="13">
        <f t="shared" si="41"/>
        <v>25.235867391982413</v>
      </c>
      <c r="CW31" s="20">
        <f t="shared" si="13"/>
        <v>205.55419504103602</v>
      </c>
      <c r="CX31" s="59">
        <f t="shared" si="14"/>
        <v>481.28058067386064</v>
      </c>
      <c r="CY31" s="59">
        <f ca="1">AVERAGE(OFFSET($CX$3,0,0,'Données projet'!$E$13+1,1))-AVERAGE(OFFSET($H$3,0,0,'Données projet'!$E$13+1,1))</f>
        <v>445.38112098358147</v>
      </c>
      <c r="CZ31" s="59">
        <f t="shared" si="42"/>
        <v>272.45883568548516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65.864771839255198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5.4</v>
      </c>
      <c r="DO31" s="12">
        <f>IF('Données projet'!$A$166&gt;35,DO30+DN31-DW30,IF(A31&lt;'Données projet'!$A$166,$DL$205^A31,IF(A31='Données projet'!$A$166,'Données projet'!$B$166,DO30+DN31-DW30)))</f>
        <v>86.200000000000017</v>
      </c>
      <c r="DP31" s="17">
        <f>DO31*VLOOKUP('Données projet'!$B$14,Paramètres!$A$1:$I$89,3,0)*VLOOKUP('Données projet'!$B$14,Paramètres!$A$1:$I$89,5,0)</f>
        <v>83.372640000000018</v>
      </c>
      <c r="DQ31" s="13">
        <f t="shared" si="43"/>
        <v>22.959819890777826</v>
      </c>
      <c r="DR31" s="20">
        <f t="shared" si="16"/>
        <v>185.19570097643805</v>
      </c>
      <c r="DS31" s="59">
        <f t="shared" si="17"/>
        <v>460.92208660926264</v>
      </c>
      <c r="DT31" s="59">
        <f ca="1">AVERAGE(OFFSET($DS$3,0,0,'Données projet'!$E$14+1,1))-AVERAGE(OFFSET($H$3,0,0,'Données projet'!$E$14+1,1))</f>
        <v>405.29179902613089</v>
      </c>
      <c r="DU31" s="59">
        <f t="shared" si="44"/>
        <v>249.61049717638238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65.864771839255198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20.86333333333334</v>
      </c>
      <c r="EJ31" s="12">
        <f>IF('Données projet'!$A$192&gt;35,EJ30+EI31-ER30,IF(A31&lt;'Données projet'!$A$192,$EG$205^A31,IF(A31='Données projet'!$A$192,'Données projet'!$B$192,EJ30+EI31-ER30)))</f>
        <v>218.37333333333339</v>
      </c>
      <c r="EK31" s="17">
        <f>EJ31*VLOOKUP('Données projet'!$B$15,Paramètres!$A$1:$I$89,3,0)*VLOOKUP('Données projet'!$B$15,Paramètres!$A$1:$I$89,5,0)</f>
        <v>130.58725333333339</v>
      </c>
      <c r="EL31" s="13">
        <f t="shared" si="45"/>
        <v>34.132020719394767</v>
      </c>
      <c r="EM31" s="20">
        <f t="shared" si="19"/>
        <v>286.8860689751682</v>
      </c>
      <c r="EN31" s="59">
        <f t="shared" si="20"/>
        <v>562.61245460799273</v>
      </c>
      <c r="EO31" s="59">
        <f ca="1">AVERAGE(OFFSET($EN$3,0,0,'Données projet'!$E$15+1,1))-AVERAGE(OFFSET($H$3,0,0,'Données projet'!$E$15+1,1))</f>
        <v>444.77624981561257</v>
      </c>
      <c r="EP31" s="59">
        <f t="shared" si="46"/>
        <v>382.10319641527587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5.7340742000162264</v>
      </c>
      <c r="EW31" s="21">
        <f>EXP(-LN(2)/25)*EW30+(1-EXP(-LN(2)/25))/(LN(2)/25)*Calculateur!ER31*Calculateur!ET31*VLOOKUP('Données projet'!$B$15,Paramètres!$A$1:$I$89,3,0)*0.475*44/12</f>
        <v>12.216828828811883</v>
      </c>
      <c r="EX31" s="21">
        <f>EXP(-LN(2)/2)*EX30+(1-EXP(-LN(2)/2))/(LN(2)/2)*ER31*EU31*VLOOKUP('Données projet'!$B$15,Paramètres!$A$1:$I$89,3,0)*0.475*44/12</f>
        <v>3.1508809036877179</v>
      </c>
      <c r="EY31" s="22">
        <f t="shared" si="21"/>
        <v>21.101783932515826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65.864771839255198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37.4</v>
      </c>
      <c r="FE31" s="12">
        <f>IF('Données projet'!$A$218&gt;35,FE30+FD31-FM30,IF(A31&lt;'Données projet'!$A$218,$FB$205^A31,IF(A31='Données projet'!$A$218,'Données projet'!$B$218,FE30+FD31-FM30)))</f>
        <v>320.19999999999993</v>
      </c>
      <c r="FF31" s="17">
        <f>FE31*VLOOKUP('Données projet'!$B$16,Paramètres!$A$1:$I$89,3,0)*VLOOKUP('Données projet'!$B$16,Paramètres!$A$1:$I$89,5,0)</f>
        <v>141.52839999999998</v>
      </c>
      <c r="FG31" s="13">
        <f t="shared" si="47"/>
        <v>36.646918903168391</v>
      </c>
      <c r="FH31" s="20">
        <f t="shared" si="22"/>
        <v>310.32201375635157</v>
      </c>
      <c r="FI31" s="59">
        <f t="shared" si="23"/>
        <v>586.04839938917621</v>
      </c>
      <c r="FJ31" s="59">
        <f ca="1">AVERAGE(OFFSET($FI$3,0,0,'Données projet'!$E$16+1,1))-AVERAGE(OFFSET($H$3,0,0,'Données projet'!$E$16+1,1))</f>
        <v>508.71179785154317</v>
      </c>
      <c r="FK31" s="59">
        <f t="shared" si="48"/>
        <v>422.73937290731442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24.567387849403236</v>
      </c>
      <c r="FS31" s="21">
        <f>EXP(-LN(2)/2)*FS30+(1-EXP(-LN(2)/2))/(LN(2)/2)*FM31*FP31*VLOOKUP('Données projet'!$B$16,Paramètres!$A$1:$I$89,3,0)*0.475*44/12</f>
        <v>7.5579125005500929</v>
      </c>
      <c r="FT31" s="22">
        <f t="shared" si="24"/>
        <v>32.125300349953328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65.864771839255198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65.864771839255198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1.35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4.95</v>
      </c>
      <c r="H32" s="67">
        <f t="shared" si="1"/>
        <v>236.86666666666665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65.936508802858953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3.6</v>
      </c>
      <c r="N32" s="13">
        <f>IF('Données projet'!$A$36&gt;35,N31+M32-V31,IF(A32&lt;'Données projet'!$A$36,$K$205^A32,IF(A32='Données projet'!$A$36,'Données projet'!$B$36,N31+M32-V31)))</f>
        <v>117.39999999999998</v>
      </c>
      <c r="O32" s="13">
        <f>N32*VLOOKUP('Données projet'!$B$9,Paramètres!$A$1:$I$89,3,0)*VLOOKUP('Données projet'!$B$9,Paramètres!$A$1:$I$89,5,0)</f>
        <v>106.22351999999998</v>
      </c>
      <c r="P32" s="13">
        <f t="shared" si="33"/>
        <v>28.439415446966855</v>
      </c>
      <c r="Q32" s="20">
        <f t="shared" si="2"/>
        <v>234.5379459034672</v>
      </c>
      <c r="R32" s="59">
        <f t="shared" si="0"/>
        <v>511.74958929172783</v>
      </c>
      <c r="S32" s="59">
        <f ca="1">AVERAGE(OFFSET($R$3,0,0,'Données projet'!$E$9+1,1))-AVERAGE(OFFSET($H$3,0,0,'Données projet'!$E$9+1,1))</f>
        <v>466.90449882701591</v>
      </c>
      <c r="T32" s="59">
        <f t="shared" si="34"/>
        <v>283.37641704892053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65.936508802858953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5.4</v>
      </c>
      <c r="AI32" s="13">
        <f>IF('Données projet'!$A$62&gt;35,AI31+AH32-AQ31,IF(A32&lt;'Données projet'!$A$62,$AF$205^A32,IF(A32='Données projet'!$A$62,'Données projet'!$B$62,AI31+AH32-AQ31)))</f>
        <v>91.600000000000023</v>
      </c>
      <c r="AJ32" s="13">
        <f>AI32*VLOOKUP('Données projet'!$B$10,Paramètres!$A$1:$I$89,3,0)*VLOOKUP('Données projet'!$B$10,Paramètres!$A$1:$I$89,5,0)</f>
        <v>87.166560000000018</v>
      </c>
      <c r="AK32" s="13">
        <f t="shared" si="35"/>
        <v>23.880600466404793</v>
      </c>
      <c r="AL32" s="20">
        <f t="shared" si="4"/>
        <v>193.40713781232171</v>
      </c>
      <c r="AM32" s="59">
        <f t="shared" si="5"/>
        <v>470.6187812005823</v>
      </c>
      <c r="AN32" s="59">
        <f ca="1">AVERAGE(OFFSET($AM$3,0,0,'Données projet'!$E$10+1,1))-AVERAGE(OFFSET($H$3,0,0,'Données projet'!$E$10+1,1))</f>
        <v>399.5572791581468</v>
      </c>
      <c r="AO32" s="59">
        <f t="shared" si="36"/>
        <v>246.34185986079777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65.936508802858953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11.5</v>
      </c>
      <c r="BD32" s="12">
        <f>IF('Données projet'!$A$88&gt;35,BD31+BC32-BL31,IF(A32&lt;'Données projet'!$A$88,$BA$205^A32,IF(A32='Données projet'!$A$88,'Données projet'!$B$88,BD31+BC32-BL31)))</f>
        <v>131.99999999999994</v>
      </c>
      <c r="BE32" s="13">
        <f>BD32*VLOOKUP('Données projet'!$B$11,Paramètres!$A$1:$I$89,3,0)*VLOOKUP('Données projet'!$B$11,Paramètres!$A$1:$I$89,5,0)</f>
        <v>102.95999999999997</v>
      </c>
      <c r="BF32" s="13">
        <f t="shared" si="37"/>
        <v>27.665975080374633</v>
      </c>
      <c r="BG32" s="20">
        <f t="shared" si="7"/>
        <v>227.50690659831903</v>
      </c>
      <c r="BH32" s="59">
        <f t="shared" si="8"/>
        <v>504.71854998657966</v>
      </c>
      <c r="BI32" s="59">
        <f ca="1">AVERAGE(OFFSET($BH$3,0,0,'Données projet'!$E$11+1,1))-AVERAGE(OFFSET($H$3,0,0,'Données projet'!$E$11+1,1))</f>
        <v>294.23449029791681</v>
      </c>
      <c r="BJ32" s="59">
        <f t="shared" si="38"/>
        <v>288.64639202306159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1.849696609116684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1.849696609116684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65.936508802858953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5.4</v>
      </c>
      <c r="BY32" s="12">
        <f>IF('Données projet'!$A$114&gt;35,BY31+BX32-CG31,IF(A32&lt;'Données projet'!$A$114,$BV$205^A32,IF(A32='Données projet'!$A$114,'Données projet'!$B$114,BY31+BX32-CG31)))</f>
        <v>91.600000000000023</v>
      </c>
      <c r="BZ32" s="13">
        <f>BY32*VLOOKUP('Données projet'!$B$12,Paramètres!$A$1:$I$89,3,0)*VLOOKUP('Données projet'!$B$12,Paramètres!$A$1:$I$89,5,0)</f>
        <v>98.598240000000018</v>
      </c>
      <c r="CA32" s="13">
        <f t="shared" si="39"/>
        <v>26.627773681807483</v>
      </c>
      <c r="CB32" s="20">
        <f t="shared" si="10"/>
        <v>218.10197382914805</v>
      </c>
      <c r="CC32" s="59">
        <f t="shared" si="11"/>
        <v>495.31361721740865</v>
      </c>
      <c r="CD32" s="59">
        <f ca="1">AVERAGE(OFFSET($CC$3,0,0,'Données projet'!$E$12+1,1))-AVERAGE(OFFSET($H$3,0,0,'Données projet'!$E$12+1,1))</f>
        <v>445.38112098358147</v>
      </c>
      <c r="CE32" s="59">
        <f t="shared" si="40"/>
        <v>272.45883568548516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65.936508802858953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5.4</v>
      </c>
      <c r="CT32" s="12">
        <f>IF('Données projet'!$A$140&gt;35,CT31+CS32-DB31,IF(A32&lt;'Données projet'!$A$140,$CQ$205^A32,IF(A32='Données projet'!$A$140,'Données projet'!$B$140,CT31+CS32-DB31)))</f>
        <v>91.600000000000023</v>
      </c>
      <c r="CU32" s="17">
        <f>CT32*VLOOKUP('Données projet'!$B$13,Paramètres!$A$1:$I$89,3,0)*VLOOKUP('Données projet'!$B$13,Paramètres!$A$1:$I$89,5,0)</f>
        <v>98.598240000000018</v>
      </c>
      <c r="CV32" s="13">
        <f t="shared" si="41"/>
        <v>26.627773681807483</v>
      </c>
      <c r="CW32" s="20">
        <f t="shared" si="13"/>
        <v>218.10197382914805</v>
      </c>
      <c r="CX32" s="59">
        <f t="shared" si="14"/>
        <v>495.31361721740865</v>
      </c>
      <c r="CY32" s="59">
        <f ca="1">AVERAGE(OFFSET($CX$3,0,0,'Données projet'!$E$13+1,1))-AVERAGE(OFFSET($H$3,0,0,'Données projet'!$E$13+1,1))</f>
        <v>445.38112098358147</v>
      </c>
      <c r="CZ32" s="59">
        <f t="shared" si="42"/>
        <v>272.45883568548516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65.936508802858953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5.4</v>
      </c>
      <c r="DO32" s="12">
        <f>IF('Données projet'!$A$166&gt;35,DO31+DN32-DW31,IF(A32&lt;'Données projet'!$A$166,$DL$205^A32,IF(A32='Données projet'!$A$166,'Données projet'!$B$166,DO31+DN32-DW31)))</f>
        <v>91.600000000000023</v>
      </c>
      <c r="DP32" s="17">
        <f>DO32*VLOOKUP('Données projet'!$B$14,Paramètres!$A$1:$I$89,3,0)*VLOOKUP('Données projet'!$B$14,Paramètres!$A$1:$I$89,5,0)</f>
        <v>88.595520000000022</v>
      </c>
      <c r="DQ32" s="13">
        <f t="shared" si="43"/>
        <v>24.226188794324088</v>
      </c>
      <c r="DR32" s="20">
        <f t="shared" si="16"/>
        <v>196.49780948344781</v>
      </c>
      <c r="DS32" s="59">
        <f t="shared" si="17"/>
        <v>473.70945287170844</v>
      </c>
      <c r="DT32" s="59">
        <f ca="1">AVERAGE(OFFSET($DS$3,0,0,'Données projet'!$E$14+1,1))-AVERAGE(OFFSET($H$3,0,0,'Données projet'!$E$14+1,1))</f>
        <v>405.29179902613089</v>
      </c>
      <c r="DU32" s="59">
        <f t="shared" si="44"/>
        <v>249.61049717638238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65.936508802858953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20.86333333333334</v>
      </c>
      <c r="EJ32" s="12">
        <f>IF('Données projet'!$A$192&gt;35,EJ31+EI32-ER31,IF(A32&lt;'Données projet'!$A$192,$EG$205^A32,IF(A32='Données projet'!$A$192,'Données projet'!$B$192,EJ31+EI32-ER31)))</f>
        <v>239.23666666666674</v>
      </c>
      <c r="EK32" s="17">
        <f>EJ32*VLOOKUP('Données projet'!$B$15,Paramètres!$A$1:$I$89,3,0)*VLOOKUP('Données projet'!$B$15,Paramètres!$A$1:$I$89,5,0)</f>
        <v>143.06352666666672</v>
      </c>
      <c r="EL32" s="13">
        <f t="shared" si="45"/>
        <v>36.997929837448268</v>
      </c>
      <c r="EM32" s="20">
        <f t="shared" si="19"/>
        <v>313.60703674466691</v>
      </c>
      <c r="EN32" s="59">
        <f t="shared" si="20"/>
        <v>590.81868013292751</v>
      </c>
      <c r="EO32" s="59">
        <f ca="1">AVERAGE(OFFSET($EN$3,0,0,'Données projet'!$E$15+1,1))-AVERAGE(OFFSET($H$3,0,0,'Données projet'!$E$15+1,1))</f>
        <v>444.77624981561257</v>
      </c>
      <c r="EP32" s="59">
        <f t="shared" si="46"/>
        <v>382.10319641527587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5.6216325023938269</v>
      </c>
      <c r="EW32" s="21">
        <f>EXP(-LN(2)/25)*EW31+(1-EXP(-LN(2)/25))/(LN(2)/25)*Calculateur!ER32*Calculateur!ET32*VLOOKUP('Données projet'!$B$15,Paramètres!$A$1:$I$89,3,0)*0.475*44/12</f>
        <v>11.882759002032916</v>
      </c>
      <c r="EX32" s="21">
        <f>EXP(-LN(2)/2)*EX31+(1-EXP(-LN(2)/2))/(LN(2)/2)*ER32*EU32*VLOOKUP('Données projet'!$B$15,Paramètres!$A$1:$I$89,3,0)*0.475*44/12</f>
        <v>2.2280092537087826</v>
      </c>
      <c r="EY32" s="22">
        <f t="shared" si="21"/>
        <v>19.732400758135526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65.936508802858953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37.4</v>
      </c>
      <c r="FE32" s="12">
        <f>IF('Données projet'!$A$218&gt;35,FE31+FD32-FM31,IF(A32&lt;'Données projet'!$A$218,$FB$205^A32,IF(A32='Données projet'!$A$218,'Données projet'!$B$218,FE31+FD32-FM31)))</f>
        <v>357.59999999999991</v>
      </c>
      <c r="FF32" s="17">
        <f>FE32*VLOOKUP('Données projet'!$B$16,Paramètres!$A$1:$I$89,3,0)*VLOOKUP('Données projet'!$B$16,Paramètres!$A$1:$I$89,5,0)</f>
        <v>158.05919999999998</v>
      </c>
      <c r="FG32" s="13">
        <f t="shared" si="47"/>
        <v>40.404452106627382</v>
      </c>
      <c r="FH32" s="20">
        <f t="shared" si="22"/>
        <v>345.65752741904265</v>
      </c>
      <c r="FI32" s="59">
        <f t="shared" si="23"/>
        <v>622.86917080730325</v>
      </c>
      <c r="FJ32" s="59">
        <f ca="1">AVERAGE(OFFSET($FI$3,0,0,'Données projet'!$E$16+1,1))-AVERAGE(OFFSET($H$3,0,0,'Données projet'!$E$16+1,1))</f>
        <v>508.71179785154317</v>
      </c>
      <c r="FK32" s="59">
        <f t="shared" si="48"/>
        <v>422.73937290731442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23.895591336718528</v>
      </c>
      <c r="FS32" s="21">
        <f>EXP(-LN(2)/2)*FS31+(1-EXP(-LN(2)/2))/(LN(2)/2)*FM32*FP32*VLOOKUP('Données projet'!$B$16,Paramètres!$A$1:$I$89,3,0)*0.475*44/12</f>
        <v>5.3442511807535471</v>
      </c>
      <c r="FT32" s="22">
        <f t="shared" si="24"/>
        <v>29.239842517472077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65.936508802858953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65.936508802858953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1.35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4.95</v>
      </c>
      <c r="H33" s="67">
        <f t="shared" si="1"/>
        <v>236.86666666666665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66.007001290524002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121</v>
      </c>
      <c r="L33" s="12">
        <f>VLOOKUP(A33,'Données projet'!$A$35:$I$55,9,0)</f>
        <v>3.6</v>
      </c>
      <c r="M33" s="12">
        <f t="array" ref="M33">INDEX(L:L,MIN(IF(ISNUMBER(L33:L229),ROW(L33:L229),"")))</f>
        <v>3.6</v>
      </c>
      <c r="N33" s="13">
        <f>IF('Données projet'!$A$36&gt;35,N32+M33-V32,IF(A33&lt;'Données projet'!$A$36,$K$205^A33,IF(A33='Données projet'!$A$36,'Données projet'!$B$36,N32+M33-V32)))</f>
        <v>120.99999999999997</v>
      </c>
      <c r="O33" s="13">
        <f>N33*VLOOKUP('Données projet'!$B$9,Paramètres!$A$1:$I$89,3,0)*VLOOKUP('Données projet'!$B$9,Paramètres!$A$1:$I$89,5,0)</f>
        <v>109.48079999999997</v>
      </c>
      <c r="P33" s="13">
        <f t="shared" si="33"/>
        <v>29.208623339903898</v>
      </c>
      <c r="Q33" s="20">
        <f t="shared" si="2"/>
        <v>241.55074565033257</v>
      </c>
      <c r="R33" s="59">
        <f t="shared" si="0"/>
        <v>520.2430837155872</v>
      </c>
      <c r="S33" s="59">
        <f ca="1">AVERAGE(OFFSET($R$3,0,0,'Données projet'!$E$9+1,1))-AVERAGE(OFFSET($H$3,0,0,'Données projet'!$E$9+1,1))</f>
        <v>466.90449882701591</v>
      </c>
      <c r="T33" s="59">
        <f t="shared" si="34"/>
        <v>283.37641704892053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28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66.007001290524002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97</v>
      </c>
      <c r="AG33" s="12">
        <f>VLOOKUP(A33,'Données projet'!$A$61:$I$81,9,0)</f>
        <v>5.4</v>
      </c>
      <c r="AH33" s="12">
        <f t="array" ref="AH33">INDEX(AG:AG,MIN(IF(ISNUMBER(AG33:AG229),ROW(AG33:AG229),"")))</f>
        <v>5.4</v>
      </c>
      <c r="AI33" s="13">
        <f>IF('Données projet'!$A$62&gt;35,AI32+AH33-AQ32,IF(A33&lt;'Données projet'!$A$62,$AF$205^A33,IF(A33='Données projet'!$A$62,'Données projet'!$B$62,AI32+AH33-AQ32)))</f>
        <v>97.000000000000028</v>
      </c>
      <c r="AJ33" s="13">
        <f>AI33*VLOOKUP('Données projet'!$B$10,Paramètres!$A$1:$I$89,3,0)*VLOOKUP('Données projet'!$B$10,Paramètres!$A$1:$I$89,5,0)</f>
        <v>92.305200000000028</v>
      </c>
      <c r="AK33" s="13">
        <f t="shared" si="35"/>
        <v>25.12036275342183</v>
      </c>
      <c r="AL33" s="20">
        <f t="shared" si="4"/>
        <v>204.51618846220973</v>
      </c>
      <c r="AM33" s="59">
        <f t="shared" si="5"/>
        <v>483.20852652746441</v>
      </c>
      <c r="AN33" s="59">
        <f ca="1">AVERAGE(OFFSET($AM$3,0,0,'Données projet'!$E$10+1,1))-AVERAGE(OFFSET($H$3,0,0,'Données projet'!$E$10+1,1))</f>
        <v>399.5572791581468</v>
      </c>
      <c r="AO33" s="59">
        <f t="shared" si="36"/>
        <v>246.34185986079777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21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66.007001290524002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11.5</v>
      </c>
      <c r="BD33" s="12">
        <f>IF('Données projet'!$A$88&gt;35,BD32+BC33-BL32,IF(A33&lt;'Données projet'!$A$88,$BA$205^A33,IF(A33='Données projet'!$A$88,'Données projet'!$B$88,BD32+BC33-BL32)))</f>
        <v>143.49999999999994</v>
      </c>
      <c r="BE33" s="13">
        <f>BD33*VLOOKUP('Données projet'!$B$11,Paramètres!$A$1:$I$89,3,0)*VLOOKUP('Données projet'!$B$11,Paramètres!$A$1:$I$89,5,0)</f>
        <v>111.92999999999996</v>
      </c>
      <c r="BF33" s="13">
        <f t="shared" si="37"/>
        <v>29.785246291563833</v>
      </c>
      <c r="BG33" s="20">
        <f t="shared" si="7"/>
        <v>246.82072062447358</v>
      </c>
      <c r="BH33" s="59">
        <f t="shared" si="8"/>
        <v>525.51305868972827</v>
      </c>
      <c r="BI33" s="59">
        <f ca="1">AVERAGE(OFFSET($BH$3,0,0,'Données projet'!$E$11+1,1))-AVERAGE(OFFSET($H$3,0,0,'Données projet'!$E$11+1,1))</f>
        <v>294.23449029791681</v>
      </c>
      <c r="BJ33" s="59">
        <f t="shared" si="38"/>
        <v>288.64639202306159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1.8134251868154365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1.8134251868154365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66.007001290524002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97</v>
      </c>
      <c r="BW33" s="12">
        <f>VLOOKUP(A33,'Données projet'!$A$113:$I$133,9,0)</f>
        <v>5.4</v>
      </c>
      <c r="BX33" s="12">
        <f t="array" ref="BX33">INDEX(BW:BW,MIN(IF(ISNUMBER(BW33:BW229),ROW(BW33:BW229),"")))</f>
        <v>5.4</v>
      </c>
      <c r="BY33" s="12">
        <f>IF('Données projet'!$A$114&gt;35,BY32+BX33-CG32,IF(A33&lt;'Données projet'!$A$114,$BV$205^A33,IF(A33='Données projet'!$A$114,'Données projet'!$B$114,BY32+BX33-CG32)))</f>
        <v>97.000000000000028</v>
      </c>
      <c r="BZ33" s="13">
        <f>BY33*VLOOKUP('Données projet'!$B$12,Paramètres!$A$1:$I$89,3,0)*VLOOKUP('Données projet'!$B$12,Paramètres!$A$1:$I$89,5,0)</f>
        <v>104.41080000000004</v>
      </c>
      <c r="CA33" s="13">
        <f t="shared" si="39"/>
        <v>28.010155571424168</v>
      </c>
      <c r="CB33" s="20">
        <f t="shared" si="10"/>
        <v>230.63316428689714</v>
      </c>
      <c r="CC33" s="59">
        <f t="shared" si="11"/>
        <v>509.32550235215183</v>
      </c>
      <c r="CD33" s="59">
        <f ca="1">AVERAGE(OFFSET($CC$3,0,0,'Données projet'!$E$12+1,1))-AVERAGE(OFFSET($H$3,0,0,'Données projet'!$E$12+1,1))</f>
        <v>445.38112098358147</v>
      </c>
      <c r="CE33" s="59">
        <f t="shared" si="40"/>
        <v>272.45883568548516</v>
      </c>
      <c r="CF33" s="15">
        <f>IF(ISNA(VLOOKUP(A33,'Données projet'!$A$113:$I$133,3,0)),0,VLOOKUP(A33,'Données projet'!$A$113:$I$133,3,0))</f>
        <v>3</v>
      </c>
      <c r="CG33" s="15">
        <f>IF(ISNA(VLOOKUP(A33,'Données projet'!$A$113:$I$133,4,0)),0,VLOOKUP(A33,'Données projet'!$A$113:$I$133,4,0))</f>
        <v>21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66.007001290524002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97</v>
      </c>
      <c r="CR33" s="12">
        <f>VLOOKUP(A33,'Données projet'!$A$139:$I$159,9,0)</f>
        <v>5.4</v>
      </c>
      <c r="CS33" s="12">
        <f t="array" ref="CS33">INDEX(CR:CR,MIN(IF(ISNUMBER(CR33:CR229),ROW(CR33:CR229),"")))</f>
        <v>5.4</v>
      </c>
      <c r="CT33" s="12">
        <f>IF('Données projet'!$A$140&gt;35,CT32+CS33-DB32,IF(A33&lt;'Données projet'!$A$140,$CQ$205^A33,IF(A33='Données projet'!$A$140,'Données projet'!$B$140,CT32+CS33-DB32)))</f>
        <v>97.000000000000028</v>
      </c>
      <c r="CU33" s="17">
        <f>CT33*VLOOKUP('Données projet'!$B$13,Paramètres!$A$1:$I$89,3,0)*VLOOKUP('Données projet'!$B$13,Paramètres!$A$1:$I$89,5,0)</f>
        <v>104.41080000000004</v>
      </c>
      <c r="CV33" s="13">
        <f t="shared" si="41"/>
        <v>28.010155571424168</v>
      </c>
      <c r="CW33" s="20">
        <f t="shared" si="13"/>
        <v>230.63316428689714</v>
      </c>
      <c r="CX33" s="59">
        <f t="shared" si="14"/>
        <v>509.32550235215183</v>
      </c>
      <c r="CY33" s="59">
        <f ca="1">AVERAGE(OFFSET($CX$3,0,0,'Données projet'!$E$13+1,1))-AVERAGE(OFFSET($H$3,0,0,'Données projet'!$E$13+1,1))</f>
        <v>445.38112098358147</v>
      </c>
      <c r="CZ33" s="59">
        <f t="shared" si="42"/>
        <v>272.45883568548516</v>
      </c>
      <c r="DA33" s="15">
        <f>IF(ISNA(VLOOKUP(A33,'Données projet'!$A$139:$I$159,3,0)),0,VLOOKUP(A33,'Données projet'!$A$139:$I$159,3,0))</f>
        <v>3</v>
      </c>
      <c r="DB33" s="15">
        <f>IF(ISNA(VLOOKUP(A33,'Données projet'!$A$139:$I$159,4,0)),0,VLOOKUP(A33,'Données projet'!$A$139:$I$159,4,0))</f>
        <v>21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66.007001290524002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97</v>
      </c>
      <c r="DM33" s="12">
        <f>VLOOKUP(A33,'Données projet'!$A$165:$I$185,9,0)</f>
        <v>5.4</v>
      </c>
      <c r="DN33" s="12">
        <f t="array" ref="DN33">INDEX(DM:DM,MIN(IF(ISNUMBER(DM33:DM229),ROW(DM33:DM229),"")))</f>
        <v>5.4</v>
      </c>
      <c r="DO33" s="12">
        <f>IF('Données projet'!$A$166&gt;35,DO32+DN33-DW32,IF(A33&lt;'Données projet'!$A$166,$DL$205^A33,IF(A33='Données projet'!$A$166,'Données projet'!$B$166,DO32+DN33-DW32)))</f>
        <v>97.000000000000028</v>
      </c>
      <c r="DP33" s="17">
        <f>DO33*VLOOKUP('Données projet'!$B$14,Paramètres!$A$1:$I$89,3,0)*VLOOKUP('Données projet'!$B$14,Paramètres!$A$1:$I$89,5,0)</f>
        <v>93.818400000000025</v>
      </c>
      <c r="DQ33" s="13">
        <f t="shared" si="43"/>
        <v>25.483892312609182</v>
      </c>
      <c r="DR33" s="20">
        <f t="shared" si="16"/>
        <v>207.78482577779437</v>
      </c>
      <c r="DS33" s="59">
        <f t="shared" si="17"/>
        <v>486.47716384304903</v>
      </c>
      <c r="DT33" s="59">
        <f ca="1">AVERAGE(OFFSET($DS$3,0,0,'Données projet'!$E$14+1,1))-AVERAGE(OFFSET($H$3,0,0,'Données projet'!$E$14+1,1))</f>
        <v>405.29179902613089</v>
      </c>
      <c r="DU33" s="59">
        <f t="shared" si="44"/>
        <v>249.61049717638238</v>
      </c>
      <c r="DV33" s="15">
        <f>IF(ISNA(VLOOKUP(A33,'Données projet'!$A$165:$I$185,3,0)),0,VLOOKUP(A33,'Données projet'!$A$165:$I$185,3,0))</f>
        <v>3</v>
      </c>
      <c r="DW33" s="15">
        <f>IF(ISNA(VLOOKUP(A33,'Données projet'!$A$165:$I$185,4,0)),0,VLOOKUP(A33,'Données projet'!$A$165:$I$185,4,0))</f>
        <v>21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66.007001290524002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260.10000000000002</v>
      </c>
      <c r="EH33" s="12">
        <f>VLOOKUP(A33,'Données projet'!$A$191:$I$211,9,0)</f>
        <v>20.86333333333334</v>
      </c>
      <c r="EI33" s="12">
        <f t="array" ref="EI33">INDEX(EH:EH,MIN(IF(ISNUMBER(EH33:EH229),ROW(EH33:EH229),"")))</f>
        <v>20.86333333333334</v>
      </c>
      <c r="EJ33" s="12">
        <f>IF('Données projet'!$A$192&gt;35,EJ32+EI33-ER32,IF(A33&lt;'Données projet'!$A$192,$EG$205^A33,IF(A33='Données projet'!$A$192,'Données projet'!$B$192,EJ32+EI33-ER32)))</f>
        <v>260.10000000000008</v>
      </c>
      <c r="EK33" s="17">
        <f>EJ33*VLOOKUP('Données projet'!$B$15,Paramètres!$A$1:$I$89,3,0)*VLOOKUP('Données projet'!$B$15,Paramètres!$A$1:$I$89,5,0)</f>
        <v>155.53980000000007</v>
      </c>
      <c r="EL33" s="13">
        <f t="shared" si="45"/>
        <v>39.834855511973885</v>
      </c>
      <c r="EM33" s="20">
        <f t="shared" si="19"/>
        <v>340.27752501668795</v>
      </c>
      <c r="EN33" s="59">
        <f t="shared" si="20"/>
        <v>618.96986308194255</v>
      </c>
      <c r="EO33" s="59">
        <f ca="1">AVERAGE(OFFSET($EN$3,0,0,'Données projet'!$E$15+1,1))-AVERAGE(OFFSET($H$3,0,0,'Données projet'!$E$15+1,1))</f>
        <v>444.77624981561257</v>
      </c>
      <c r="EP33" s="59">
        <f t="shared" si="46"/>
        <v>382.10319641527587</v>
      </c>
      <c r="EQ33" s="15">
        <f>IF(ISNA(VLOOKUP(A33,'Données projet'!$A$191:$I$211,3,0)),0,VLOOKUP(A33,'Données projet'!$A$191:$I$211,3,0))</f>
        <v>4</v>
      </c>
      <c r="ER33" s="15">
        <f>IF(ISNA(VLOOKUP(A33,'Données projet'!$A$191:$I$211,4,0)),0,VLOOKUP(A33,'Données projet'!$A$191:$I$211,4,0))</f>
        <v>66.989999999999995</v>
      </c>
      <c r="ES33" s="16">
        <f>IF(ISNA(VLOOKUP(A33,'Données projet'!$A$191:$I$211,5,0)),0%,VLOOKUP(A33,'Données projet'!$A$191:$I$211,5,0)*VLOOKUP('Données projet'!$B$15,Paramètres!$A$1:$I$89,7,0))</f>
        <v>9.0000000000000011E-2</v>
      </c>
      <c r="ET33" s="16">
        <f>IF(ISNA(VLOOKUP(A33,'Données projet'!$A$191:$I$211,6,0)),0%,VLOOKUP(A33,'Données projet'!$A$191:$I$211,6,0)*VLOOKUP('Données projet'!$B$15,Paramètres!$A$1:$I$89,7,0))</f>
        <v>0.20250000000000001</v>
      </c>
      <c r="EU33" s="16">
        <f>IF(ISNA(VLOOKUP(A33,'Données projet'!$A$191:$I$211,7,0)),0%,VLOOKUP(A33,'Données projet'!$A$191:$I$211,7,0))</f>
        <v>0.35</v>
      </c>
      <c r="EV33" s="21">
        <f>EXP(-LN(2)/35)*EV32+(1-EXP(-LN(2)/35))/(LN(2)/35)*ER33*ES33*VLOOKUP('Données projet'!$B$15,Paramètres!$A$1:$I$89,3,0)*0.475*44/12</f>
        <v>10.294193593336878</v>
      </c>
      <c r="EW33" s="21">
        <f>EXP(-LN(2)/25)*EW32+(1-EXP(-LN(2)/25))/(LN(2)/25)*Calculateur!ER33*Calculateur!ET33*VLOOKUP('Données projet'!$B$15,Paramètres!$A$1:$I$89,3,0)*0.475*44/12</f>
        <v>22.276748232359882</v>
      </c>
      <c r="EX33" s="21">
        <f>EXP(-LN(2)/2)*EX32+(1-EXP(-LN(2)/2))/(LN(2)/2)*ER33*EU33*VLOOKUP('Données projet'!$B$15,Paramètres!$A$1:$I$89,3,0)*0.475*44/12</f>
        <v>17.450477421088515</v>
      </c>
      <c r="EY33" s="22">
        <f t="shared" si="21"/>
        <v>50.021419246785278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66.007001290524002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395</v>
      </c>
      <c r="FC33" s="12">
        <f>VLOOKUP(A33,'Données projet'!$A$217:$I$237,9,0)</f>
        <v>37.4</v>
      </c>
      <c r="FD33" s="12">
        <f t="array" ref="FD33">INDEX(FC:FC,MIN(IF(ISNUMBER(FC33:FC229),ROW(FC33:FC229),"")))</f>
        <v>37.4</v>
      </c>
      <c r="FE33" s="12">
        <f>IF('Données projet'!$A$218&gt;35,FE32+FD33-FM32,IF(A33&lt;'Données projet'!$A$218,$FB$205^A33,IF(A33='Données projet'!$A$218,'Données projet'!$B$218,FE32+FD33-FM32)))</f>
        <v>394.99999999999989</v>
      </c>
      <c r="FF33" s="17">
        <f>FE33*VLOOKUP('Données projet'!$B$16,Paramètres!$A$1:$I$89,3,0)*VLOOKUP('Données projet'!$B$16,Paramètres!$A$1:$I$89,5,0)</f>
        <v>174.58999999999997</v>
      </c>
      <c r="FG33" s="13">
        <f t="shared" si="47"/>
        <v>44.116431488264027</v>
      </c>
      <c r="FH33" s="20">
        <f t="shared" si="22"/>
        <v>380.91370150872643</v>
      </c>
      <c r="FI33" s="59">
        <f t="shared" si="23"/>
        <v>659.60603957398109</v>
      </c>
      <c r="FJ33" s="59">
        <f ca="1">AVERAGE(OFFSET($FI$3,0,0,'Données projet'!$E$16+1,1))-AVERAGE(OFFSET($H$3,0,0,'Données projet'!$E$16+1,1))</f>
        <v>508.71179785154317</v>
      </c>
      <c r="FK33" s="59">
        <f t="shared" si="48"/>
        <v>422.73937290731442</v>
      </c>
      <c r="FL33" s="15">
        <f>IF(ISNA(VLOOKUP(A33,'Données projet'!$A$217:$I$237,3,0)),0,VLOOKUP(A33,'Données projet'!$A$217:$I$237,3,0))</f>
        <v>4</v>
      </c>
      <c r="FM33" s="15">
        <f>IF(ISNA(VLOOKUP(A33,'Données projet'!$A$217:$I$237,4,0)),0,VLOOKUP(A33,'Données projet'!$A$217:$I$237,4,0))</f>
        <v>84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0.30800000000000005</v>
      </c>
      <c r="FP33" s="16">
        <f>IF(ISNA(VLOOKUP(A33,'Données projet'!$A$217:$I$237,7,0)),0%,VLOOKUP(A33,'Données projet'!$A$217:$I$237,7,0))</f>
        <v>0.44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38.352262757181016</v>
      </c>
      <c r="FS33" s="21">
        <f>EXP(-LN(2)/2)*FS32+(1-EXP(-LN(2)/2))/(LN(2)/2)*FM33*FP33*VLOOKUP('Données projet'!$B$16,Paramètres!$A$1:$I$89,3,0)*0.475*44/12</f>
        <v>22.275465377002604</v>
      </c>
      <c r="FT33" s="22">
        <f t="shared" si="24"/>
        <v>60.62772813418362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66.007001290524002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66.007001290524002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1.35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4.95</v>
      </c>
      <c r="H34" s="67">
        <f t="shared" si="1"/>
        <v>236.86666666666665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66.07627089112566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10.8</v>
      </c>
      <c r="N34" s="13">
        <f>IF('Données projet'!$A$36&gt;35,N33+M34-V33,IF(A34&lt;'Données projet'!$A$36,$K$205^A34,IF(A34='Données projet'!$A$36,'Données projet'!$B$36,N33+M34-V33)))</f>
        <v>103.79999999999998</v>
      </c>
      <c r="O34" s="13">
        <f>N34*VLOOKUP('Données projet'!$B$9,Paramètres!$A$1:$I$89,3,0)*VLOOKUP('Données projet'!$B$9,Paramètres!$A$1:$I$89,5,0)</f>
        <v>93.918239999999983</v>
      </c>
      <c r="P34" s="13">
        <f t="shared" si="33"/>
        <v>25.507853654185997</v>
      </c>
      <c r="Q34" s="20">
        <f t="shared" si="2"/>
        <v>208.00044644770722</v>
      </c>
      <c r="R34" s="59">
        <f t="shared" si="0"/>
        <v>486.94677304850131</v>
      </c>
      <c r="S34" s="59">
        <f ca="1">AVERAGE(OFFSET($R$3,0,0,'Données projet'!$E$9+1,1))-AVERAGE(OFFSET($H$3,0,0,'Données projet'!$E$9+1,1))</f>
        <v>466.90449882701591</v>
      </c>
      <c r="T34" s="59">
        <f t="shared" si="34"/>
        <v>283.37641704892053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66.07627089112566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</v>
      </c>
      <c r="AI34" s="13">
        <f>IF('Données projet'!$A$62&gt;35,AI33+AH34-AQ33,IF(A34&lt;'Données projet'!$A$62,$AF$205^A34,IF(A34='Données projet'!$A$62,'Données projet'!$B$62,AI33+AH34-AQ33)))</f>
        <v>84.000000000000028</v>
      </c>
      <c r="AJ34" s="13">
        <f>AI34*VLOOKUP('Données projet'!$B$10,Paramètres!$A$1:$I$89,3,0)*VLOOKUP('Données projet'!$B$10,Paramètres!$A$1:$I$89,5,0)</f>
        <v>79.934400000000025</v>
      </c>
      <c r="AK34" s="13">
        <f t="shared" si="35"/>
        <v>22.121143821921812</v>
      </c>
      <c r="AL34" s="20">
        <f t="shared" si="4"/>
        <v>177.74673882318052</v>
      </c>
      <c r="AM34" s="59">
        <f t="shared" si="5"/>
        <v>456.69306542397459</v>
      </c>
      <c r="AN34" s="59">
        <f ca="1">AVERAGE(OFFSET($AM$3,0,0,'Données projet'!$E$10+1,1))-AVERAGE(OFFSET($H$3,0,0,'Données projet'!$E$10+1,1))</f>
        <v>399.5572791581468</v>
      </c>
      <c r="AO34" s="59">
        <f t="shared" si="36"/>
        <v>246.34185986079777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66.07627089112566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>
        <f>VLOOKUP(A34,'Données projet'!$A$87:$I$107,2,0)</f>
        <v>155</v>
      </c>
      <c r="BB34" s="12">
        <f>VLOOKUP(A34,'Données projet'!$A$87:$I$107,9,0)</f>
        <v>11.5</v>
      </c>
      <c r="BC34" s="12">
        <f t="array" ref="BC34">INDEX(BB:BB,MIN(IF(ISNUMBER(BB34:BB230),ROW(BB34:BB230),"")))</f>
        <v>11.5</v>
      </c>
      <c r="BD34" s="12">
        <f>IF('Données projet'!$A$88&gt;35,BD33+BC34-BL33,IF(A34&lt;'Données projet'!$A$88,$BA$205^A34,IF(A34='Données projet'!$A$88,'Données projet'!$B$88,BD33+BC34-BL33)))</f>
        <v>154.99999999999994</v>
      </c>
      <c r="BE34" s="13">
        <f>BD34*VLOOKUP('Données projet'!$B$11,Paramètres!$A$1:$I$89,3,0)*VLOOKUP('Données projet'!$B$11,Paramètres!$A$1:$I$89,5,0)</f>
        <v>120.89999999999996</v>
      </c>
      <c r="BF34" s="13">
        <f t="shared" si="37"/>
        <v>31.884818143351602</v>
      </c>
      <c r="BG34" s="20">
        <f t="shared" si="7"/>
        <v>266.10022493300397</v>
      </c>
      <c r="BH34" s="59">
        <f t="shared" si="8"/>
        <v>545.04655153379804</v>
      </c>
      <c r="BI34" s="59">
        <f ca="1">AVERAGE(OFFSET($BH$3,0,0,'Données projet'!$E$11+1,1))-AVERAGE(OFFSET($H$3,0,0,'Données projet'!$E$11+1,1))</f>
        <v>294.23449029791681</v>
      </c>
      <c r="BJ34" s="59">
        <f t="shared" si="38"/>
        <v>288.64639202306159</v>
      </c>
      <c r="BK34" s="15">
        <f>IF(ISNA(VLOOKUP(A34,'Données projet'!$A$87:$I$107,3,0)),0,VLOOKUP(A34,'Données projet'!$A$87:$I$107,3,0))</f>
        <v>4</v>
      </c>
      <c r="BL34" s="15">
        <f>IF(ISNA(VLOOKUP(A34,'Données projet'!$A$87:$I$107,4,0)),0,VLOOKUP(A34,'Données projet'!$A$87:$I$107,4,0))</f>
        <v>36</v>
      </c>
      <c r="BM34" s="16">
        <f>IF(ISNA(VLOOKUP(A34,'Données projet'!$A$87:$I$107,5,0)),0%,VLOOKUP(A34,'Données projet'!$A$87:$I$107,5,0)*VLOOKUP('Données projet'!$B$11,Paramètres!$A$1:$I$89,7,0))</f>
        <v>0.129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5.7822324901719302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5.7822324901719302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66.07627089112566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8</v>
      </c>
      <c r="BY34" s="12">
        <f>IF('Données projet'!$A$114&gt;35,BY33+BX34-CG33,IF(A34&lt;'Données projet'!$A$114,$BV$205^A34,IF(A34='Données projet'!$A$114,'Données projet'!$B$114,BY33+BX34-CG33)))</f>
        <v>84.000000000000028</v>
      </c>
      <c r="BZ34" s="13">
        <f>BY34*VLOOKUP('Données projet'!$B$12,Paramètres!$A$1:$I$89,3,0)*VLOOKUP('Données projet'!$B$12,Paramètres!$A$1:$I$89,5,0)</f>
        <v>90.417600000000022</v>
      </c>
      <c r="CA34" s="13">
        <f t="shared" si="39"/>
        <v>24.665912907068826</v>
      </c>
      <c r="CB34" s="20">
        <f t="shared" si="10"/>
        <v>200.43711831314491</v>
      </c>
      <c r="CC34" s="59">
        <f t="shared" si="11"/>
        <v>479.383444913939</v>
      </c>
      <c r="CD34" s="59">
        <f ca="1">AVERAGE(OFFSET($CC$3,0,0,'Données projet'!$E$12+1,1))-AVERAGE(OFFSET($H$3,0,0,'Données projet'!$E$12+1,1))</f>
        <v>445.38112098358147</v>
      </c>
      <c r="CE34" s="59">
        <f t="shared" si="40"/>
        <v>272.45883568548516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66.07627089112566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8</v>
      </c>
      <c r="CT34" s="12">
        <f>IF('Données projet'!$A$140&gt;35,CT33+CS34-DB33,IF(A34&lt;'Données projet'!$A$140,$CQ$205^A34,IF(A34='Données projet'!$A$140,'Données projet'!$B$140,CT33+CS34-DB33)))</f>
        <v>84.000000000000028</v>
      </c>
      <c r="CU34" s="17">
        <f>CT34*VLOOKUP('Données projet'!$B$13,Paramètres!$A$1:$I$89,3,0)*VLOOKUP('Données projet'!$B$13,Paramètres!$A$1:$I$89,5,0)</f>
        <v>90.417600000000022</v>
      </c>
      <c r="CV34" s="13">
        <f t="shared" si="41"/>
        <v>24.665912907068826</v>
      </c>
      <c r="CW34" s="20">
        <f t="shared" si="13"/>
        <v>200.43711831314491</v>
      </c>
      <c r="CX34" s="59">
        <f t="shared" si="14"/>
        <v>479.383444913939</v>
      </c>
      <c r="CY34" s="59">
        <f ca="1">AVERAGE(OFFSET($CX$3,0,0,'Données projet'!$E$13+1,1))-AVERAGE(OFFSET($H$3,0,0,'Données projet'!$E$13+1,1))</f>
        <v>445.38112098358147</v>
      </c>
      <c r="CZ34" s="59">
        <f t="shared" si="42"/>
        <v>272.45883568548516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66.07627089112566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8</v>
      </c>
      <c r="DO34" s="12">
        <f>IF('Données projet'!$A$166&gt;35,DO33+DN34-DW33,IF(A34&lt;'Données projet'!$A$166,$DL$205^A34,IF(A34='Données projet'!$A$166,'Données projet'!$B$166,DO33+DN34-DW33)))</f>
        <v>84.000000000000028</v>
      </c>
      <c r="DP34" s="17">
        <f>DO34*VLOOKUP('Données projet'!$B$14,Paramètres!$A$1:$I$89,3,0)*VLOOKUP('Données projet'!$B$14,Paramètres!$A$1:$I$89,5,0)</f>
        <v>81.244800000000026</v>
      </c>
      <c r="DQ34" s="13">
        <f t="shared" si="43"/>
        <v>22.441270156928962</v>
      </c>
      <c r="DR34" s="20">
        <f t="shared" si="16"/>
        <v>180.58657218998465</v>
      </c>
      <c r="DS34" s="59">
        <f t="shared" si="17"/>
        <v>459.53289879077875</v>
      </c>
      <c r="DT34" s="59">
        <f ca="1">AVERAGE(OFFSET($DS$3,0,0,'Données projet'!$E$14+1,1))-AVERAGE(OFFSET($H$3,0,0,'Données projet'!$E$14+1,1))</f>
        <v>405.29179902613089</v>
      </c>
      <c r="DU34" s="59">
        <f t="shared" si="44"/>
        <v>249.61049717638238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66.07627089112566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18.61999999999999</v>
      </c>
      <c r="EJ34" s="12">
        <f>IF('Données projet'!$A$192&gt;35,EJ33+EI34-ER33,IF(A34&lt;'Données projet'!$A$192,$EG$205^A34,IF(A34='Données projet'!$A$192,'Données projet'!$B$192,EJ33+EI34-ER33)))</f>
        <v>211.73000000000008</v>
      </c>
      <c r="EK34" s="17">
        <f>EJ34*VLOOKUP('Données projet'!$B$15,Paramètres!$A$1:$I$89,3,0)*VLOOKUP('Données projet'!$B$15,Paramètres!$A$1:$I$89,5,0)</f>
        <v>126.61454000000005</v>
      </c>
      <c r="EL34" s="13">
        <f t="shared" si="45"/>
        <v>33.21288161570979</v>
      </c>
      <c r="EM34" s="20">
        <f t="shared" si="19"/>
        <v>278.36609264736131</v>
      </c>
      <c r="EN34" s="59">
        <f t="shared" si="20"/>
        <v>557.31241924815538</v>
      </c>
      <c r="EO34" s="59">
        <f ca="1">AVERAGE(OFFSET($EN$3,0,0,'Données projet'!$E$15+1,1))-AVERAGE(OFFSET($H$3,0,0,'Données projet'!$E$15+1,1))</f>
        <v>444.77624981561257</v>
      </c>
      <c r="EP34" s="59">
        <f t="shared" si="46"/>
        <v>382.10319641527587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10.09233073580965</v>
      </c>
      <c r="EW34" s="21">
        <f>EXP(-LN(2)/25)*EW33+(1-EXP(-LN(2)/25))/(LN(2)/25)*Calculateur!ER34*Calculateur!ET34*VLOOKUP('Données projet'!$B$15,Paramètres!$A$1:$I$89,3,0)*0.475*44/12</f>
        <v>21.667589380462726</v>
      </c>
      <c r="EX34" s="21">
        <f>EXP(-LN(2)/2)*EX33+(1-EXP(-LN(2)/2))/(LN(2)/2)*ER34*EU34*VLOOKUP('Données projet'!$B$15,Paramètres!$A$1:$I$89,3,0)*0.475*44/12</f>
        <v>12.339350919394425</v>
      </c>
      <c r="EY34" s="22">
        <f t="shared" si="21"/>
        <v>44.099271035666803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66.07627089112566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37</v>
      </c>
      <c r="FE34" s="12">
        <f>IF('Données projet'!$A$218&gt;35,FE33+FD34-FM33,IF(A34&lt;'Données projet'!$A$218,$FB$205^A34,IF(A34='Données projet'!$A$218,'Données projet'!$B$218,FE33+FD34-FM33)))</f>
        <v>347.99999999999989</v>
      </c>
      <c r="FF34" s="17">
        <f>FE34*VLOOKUP('Données projet'!$B$16,Paramètres!$A$1:$I$89,3,0)*VLOOKUP('Données projet'!$B$16,Paramètres!$A$1:$I$89,5,0)</f>
        <v>153.81599999999995</v>
      </c>
      <c r="FG34" s="13">
        <f t="shared" si="47"/>
        <v>39.444513325737027</v>
      </c>
      <c r="FH34" s="20">
        <f t="shared" si="22"/>
        <v>336.59539404232521</v>
      </c>
      <c r="FI34" s="59">
        <f t="shared" si="23"/>
        <v>615.54172064311933</v>
      </c>
      <c r="FJ34" s="59">
        <f ca="1">AVERAGE(OFFSET($FI$3,0,0,'Données projet'!$E$16+1,1))-AVERAGE(OFFSET($H$3,0,0,'Données projet'!$E$16+1,1))</f>
        <v>508.71179785154317</v>
      </c>
      <c r="FK34" s="59">
        <f t="shared" si="48"/>
        <v>422.73937290731442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37.303518115228059</v>
      </c>
      <c r="FS34" s="21">
        <f>EXP(-LN(2)/2)*FS33+(1-EXP(-LN(2)/2))/(LN(2)/2)*FM34*FP34*VLOOKUP('Données projet'!$B$16,Paramètres!$A$1:$I$89,3,0)*0.475*44/12</f>
        <v>15.751132622164697</v>
      </c>
      <c r="FT34" s="22">
        <f t="shared" si="24"/>
        <v>53.054650737392755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66.07627089112566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66.07627089112566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1.35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4.95</v>
      </c>
      <c r="H35" s="67">
        <f t="shared" si="1"/>
        <v>236.86666666666665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66.144338819020504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10.8</v>
      </c>
      <c r="N35" s="13">
        <f>IF('Données projet'!$A$36&gt;35,N34+M35-V34,IF(A35&lt;'Données projet'!$A$36,$K$205^A35,IF(A35='Données projet'!$A$36,'Données projet'!$B$36,N34+M35-V34)))</f>
        <v>114.59999999999998</v>
      </c>
      <c r="O35" s="13">
        <f>N35*VLOOKUP('Données projet'!$B$9,Paramètres!$A$1:$I$89,3,0)*VLOOKUP('Données projet'!$B$9,Paramètres!$A$1:$I$89,5,0)</f>
        <v>103.69007999999998</v>
      </c>
      <c r="P35" s="13">
        <f t="shared" si="33"/>
        <v>27.83924565319537</v>
      </c>
      <c r="Q35" s="20">
        <f t="shared" ref="Q35:Q66" si="53">(O35+P35)*0.475*44/12</f>
        <v>229.08024217931521</v>
      </c>
      <c r="R35" s="59">
        <f t="shared" si="0"/>
        <v>508.27615118239044</v>
      </c>
      <c r="S35" s="59">
        <f ca="1">AVERAGE(OFFSET($R$3,0,0,'Données projet'!$E$9+1,1))-AVERAGE(OFFSET($H$3,0,0,'Données projet'!$E$9+1,1))</f>
        <v>466.90449882701591</v>
      </c>
      <c r="T35" s="59">
        <f t="shared" si="34"/>
        <v>283.37641704892053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66.144338819020504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</v>
      </c>
      <c r="AI35" s="13">
        <f>IF('Données projet'!$A$62&gt;35,AI34+AH35-AQ34,IF(A35&lt;'Données projet'!$A$62,$AF$205^A35,IF(A35='Données projet'!$A$62,'Données projet'!$B$62,AI34+AH35-AQ34)))</f>
        <v>92.000000000000028</v>
      </c>
      <c r="AJ35" s="13">
        <f>AI35*VLOOKUP('Données projet'!$B$10,Paramètres!$A$1:$I$89,3,0)*VLOOKUP('Données projet'!$B$10,Paramètres!$A$1:$I$89,5,0)</f>
        <v>87.547200000000032</v>
      </c>
      <c r="AK35" s="13">
        <f t="shared" si="35"/>
        <v>23.972720748088616</v>
      </c>
      <c r="AL35" s="20">
        <f t="shared" si="4"/>
        <v>194.23052863625438</v>
      </c>
      <c r="AM35" s="59">
        <f t="shared" si="5"/>
        <v>473.42643763932961</v>
      </c>
      <c r="AN35" s="59">
        <f ca="1">AVERAGE(OFFSET($AM$3,0,0,'Données projet'!$E$10+1,1))-AVERAGE(OFFSET($H$3,0,0,'Données projet'!$E$10+1,1))</f>
        <v>399.5572791581468</v>
      </c>
      <c r="AO35" s="59">
        <f t="shared" si="36"/>
        <v>246.34185986079777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66.144338819020504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11.5</v>
      </c>
      <c r="BD35" s="12">
        <f>IF('Données projet'!$A$88&gt;35,BD34+BC35-BL34,IF(A35&lt;'Données projet'!$A$88,$BA$205^A35,IF(A35='Données projet'!$A$88,'Données projet'!$B$88,BD34+BC35-BL34)))</f>
        <v>130.49999999999994</v>
      </c>
      <c r="BE35" s="13">
        <f>BD35*VLOOKUP('Données projet'!$B$11,Paramètres!$A$1:$I$89,3,0)*VLOOKUP('Données projet'!$B$11,Paramètres!$A$1:$I$89,5,0)</f>
        <v>101.78999999999996</v>
      </c>
      <c r="BF35" s="13">
        <f t="shared" si="37"/>
        <v>27.38799903683508</v>
      </c>
      <c r="BG35" s="20">
        <f t="shared" si="7"/>
        <v>224.98501498915437</v>
      </c>
      <c r="BH35" s="59">
        <f t="shared" si="8"/>
        <v>504.18092399222957</v>
      </c>
      <c r="BI35" s="59">
        <f ca="1">AVERAGE(OFFSET($BH$3,0,0,'Données projet'!$E$11+1,1))-AVERAGE(OFFSET($H$3,0,0,'Données projet'!$E$11+1,1))</f>
        <v>294.23449029791681</v>
      </c>
      <c r="BJ35" s="59">
        <f t="shared" si="38"/>
        <v>288.64639202306159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5.6688464378532339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5.6688464378532339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66.144338819020504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8</v>
      </c>
      <c r="BY35" s="12">
        <f>IF('Données projet'!$A$114&gt;35,BY34+BX35-CG34,IF(A35&lt;'Données projet'!$A$114,$BV$205^A35,IF(A35='Données projet'!$A$114,'Données projet'!$B$114,BY34+BX35-CG34)))</f>
        <v>92.000000000000028</v>
      </c>
      <c r="BZ35" s="13">
        <f>BY35*VLOOKUP('Données projet'!$B$12,Paramètres!$A$1:$I$89,3,0)*VLOOKUP('Données projet'!$B$12,Paramètres!$A$1:$I$89,5,0)</f>
        <v>99.028800000000032</v>
      </c>
      <c r="CA35" s="13">
        <f t="shared" si="39"/>
        <v>26.730491283721712</v>
      </c>
      <c r="CB35" s="20">
        <f t="shared" si="10"/>
        <v>219.03076565248205</v>
      </c>
      <c r="CC35" s="59">
        <f t="shared" si="11"/>
        <v>498.22667465555725</v>
      </c>
      <c r="CD35" s="59">
        <f ca="1">AVERAGE(OFFSET($CC$3,0,0,'Données projet'!$E$12+1,1))-AVERAGE(OFFSET($H$3,0,0,'Données projet'!$E$12+1,1))</f>
        <v>445.38112098358147</v>
      </c>
      <c r="CE35" s="59">
        <f t="shared" si="40"/>
        <v>272.45883568548516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66.144338819020504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8</v>
      </c>
      <c r="CT35" s="12">
        <f>IF('Données projet'!$A$140&gt;35,CT34+CS35-DB34,IF(A35&lt;'Données projet'!$A$140,$CQ$205^A35,IF(A35='Données projet'!$A$140,'Données projet'!$B$140,CT34+CS35-DB34)))</f>
        <v>92.000000000000028</v>
      </c>
      <c r="CU35" s="17">
        <f>CT35*VLOOKUP('Données projet'!$B$13,Paramètres!$A$1:$I$89,3,0)*VLOOKUP('Données projet'!$B$13,Paramètres!$A$1:$I$89,5,0)</f>
        <v>99.028800000000032</v>
      </c>
      <c r="CV35" s="13">
        <f t="shared" si="41"/>
        <v>26.730491283721712</v>
      </c>
      <c r="CW35" s="20">
        <f t="shared" si="13"/>
        <v>219.03076565248205</v>
      </c>
      <c r="CX35" s="59">
        <f t="shared" si="14"/>
        <v>498.22667465555725</v>
      </c>
      <c r="CY35" s="59">
        <f ca="1">AVERAGE(OFFSET($CX$3,0,0,'Données projet'!$E$13+1,1))-AVERAGE(OFFSET($H$3,0,0,'Données projet'!$E$13+1,1))</f>
        <v>445.38112098358147</v>
      </c>
      <c r="CZ35" s="59">
        <f t="shared" si="42"/>
        <v>272.45883568548516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66.144338819020504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8</v>
      </c>
      <c r="DO35" s="12">
        <f>IF('Données projet'!$A$166&gt;35,DO34+DN35-DW34,IF(A35&lt;'Données projet'!$A$166,$DL$205^A35,IF(A35='Données projet'!$A$166,'Données projet'!$B$166,DO34+DN35-DW34)))</f>
        <v>92.000000000000028</v>
      </c>
      <c r="DP35" s="17">
        <f>DO35*VLOOKUP('Données projet'!$B$14,Paramètres!$A$1:$I$89,3,0)*VLOOKUP('Données projet'!$B$14,Paramètres!$A$1:$I$89,5,0)</f>
        <v>88.982400000000041</v>
      </c>
      <c r="DQ35" s="13">
        <f t="shared" si="43"/>
        <v>24.31964219550628</v>
      </c>
      <c r="DR35" s="20">
        <f t="shared" si="16"/>
        <v>197.33439015717349</v>
      </c>
      <c r="DS35" s="59">
        <f t="shared" si="17"/>
        <v>476.53029916024866</v>
      </c>
      <c r="DT35" s="59">
        <f ca="1">AVERAGE(OFFSET($DS$3,0,0,'Données projet'!$E$14+1,1))-AVERAGE(OFFSET($H$3,0,0,'Données projet'!$E$14+1,1))</f>
        <v>405.29179902613089</v>
      </c>
      <c r="DU35" s="59">
        <f t="shared" si="44"/>
        <v>249.61049717638238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66.144338819020504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>
        <f>VLOOKUP(A35,'Données projet'!$A$191:$I$211,2,0)</f>
        <v>230.35</v>
      </c>
      <c r="EH35" s="12">
        <f>VLOOKUP(A35,'Données projet'!$A$191:$I$211,9,0)</f>
        <v>18.61999999999999</v>
      </c>
      <c r="EI35" s="12">
        <f t="array" ref="EI35">INDEX(EH:EH,MIN(IF(ISNUMBER(EH35:EH231),ROW(EH35:EH231),"")))</f>
        <v>18.61999999999999</v>
      </c>
      <c r="EJ35" s="12">
        <f>IF('Données projet'!$A$192&gt;35,EJ34+EI35-ER34,IF(A35&lt;'Données projet'!$A$192,$EG$205^A35,IF(A35='Données projet'!$A$192,'Données projet'!$B$192,EJ34+EI35-ER34)))</f>
        <v>230.35000000000008</v>
      </c>
      <c r="EK35" s="17">
        <f>EJ35*VLOOKUP('Données projet'!$B$15,Paramètres!$A$1:$I$89,3,0)*VLOOKUP('Données projet'!$B$15,Paramètres!$A$1:$I$89,5,0)</f>
        <v>137.74930000000006</v>
      </c>
      <c r="EL35" s="13">
        <f t="shared" si="45"/>
        <v>35.780916395737023</v>
      </c>
      <c r="EM35" s="20">
        <f t="shared" si="19"/>
        <v>302.23179355590872</v>
      </c>
      <c r="EN35" s="59">
        <f t="shared" si="20"/>
        <v>581.42770255898392</v>
      </c>
      <c r="EO35" s="59">
        <f ca="1">AVERAGE(OFFSET($EN$3,0,0,'Données projet'!$E$15+1,1))-AVERAGE(OFFSET($H$3,0,0,'Données projet'!$E$15+1,1))</f>
        <v>444.77624981561257</v>
      </c>
      <c r="EP35" s="59">
        <f t="shared" si="46"/>
        <v>382.10319641527587</v>
      </c>
      <c r="EQ35" s="15">
        <f>IF(ISNA(VLOOKUP(A35,'Données projet'!$A$191:$I$211,3,0)),0,VLOOKUP(A35,'Données projet'!$A$191:$I$211,3,0))</f>
        <v>5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9.8944262857943457</v>
      </c>
      <c r="EW35" s="21">
        <f>EXP(-LN(2)/25)*EW34+(1-EXP(-LN(2)/25))/(LN(2)/25)*Calculateur!ER35*Calculateur!ET35*VLOOKUP('Données projet'!$B$15,Paramètres!$A$1:$I$89,3,0)*0.475*44/12</f>
        <v>21.075088009404968</v>
      </c>
      <c r="EX35" s="21">
        <f>EXP(-LN(2)/2)*EX34+(1-EXP(-LN(2)/2))/(LN(2)/2)*ER35*EU35*VLOOKUP('Données projet'!$B$15,Paramètres!$A$1:$I$89,3,0)*0.475*44/12</f>
        <v>8.725238710544259</v>
      </c>
      <c r="EY35" s="22">
        <f t="shared" si="21"/>
        <v>39.694753005743571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66.144338819020504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37</v>
      </c>
      <c r="FE35" s="12">
        <f>IF('Données projet'!$A$218&gt;35,FE34+FD35-FM34,IF(A35&lt;'Données projet'!$A$218,$FB$205^A35,IF(A35='Données projet'!$A$218,'Données projet'!$B$218,FE34+FD35-FM34)))</f>
        <v>384.99999999999989</v>
      </c>
      <c r="FF35" s="17">
        <f>FE35*VLOOKUP('Données projet'!$B$16,Paramètres!$A$1:$I$89,3,0)*VLOOKUP('Données projet'!$B$16,Paramètres!$A$1:$I$89,5,0)</f>
        <v>170.17</v>
      </c>
      <c r="FG35" s="13">
        <f t="shared" si="47"/>
        <v>43.128095715049412</v>
      </c>
      <c r="FH35" s="20">
        <f t="shared" si="22"/>
        <v>371.4941833703777</v>
      </c>
      <c r="FI35" s="59">
        <f t="shared" si="23"/>
        <v>650.6900923734529</v>
      </c>
      <c r="FJ35" s="59">
        <f ca="1">AVERAGE(OFFSET($FI$3,0,0,'Données projet'!$E$16+1,1))-AVERAGE(OFFSET($H$3,0,0,'Données projet'!$E$16+1,1))</f>
        <v>508.71179785154317</v>
      </c>
      <c r="FK35" s="59">
        <f t="shared" si="48"/>
        <v>422.73937290731442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36.283451450660387</v>
      </c>
      <c r="FS35" s="21">
        <f>EXP(-LN(2)/2)*FS34+(1-EXP(-LN(2)/2))/(LN(2)/2)*FM35*FP35*VLOOKUP('Données projet'!$B$16,Paramètres!$A$1:$I$89,3,0)*0.475*44/12</f>
        <v>11.137732688501304</v>
      </c>
      <c r="FT35" s="22">
        <f t="shared" si="24"/>
        <v>47.421184139161689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66.144338819020504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66.144338819020504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1.35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4.95</v>
      </c>
      <c r="H36" s="67">
        <f t="shared" si="1"/>
        <v>236.86666666666665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66.211225920543455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10.8</v>
      </c>
      <c r="N36" s="13">
        <f>IF('Données projet'!$A$36&gt;35,N35+M36-V35,IF(A36&lt;'Données projet'!$A$36,$K$205^A36,IF(A36='Données projet'!$A$36,'Données projet'!$B$36,N35+M36-V35)))</f>
        <v>125.39999999999998</v>
      </c>
      <c r="O36" s="13">
        <f>N36*VLOOKUP('Données projet'!$B$9,Paramètres!$A$1:$I$89,3,0)*VLOOKUP('Données projet'!$B$9,Paramètres!$A$1:$I$89,5,0)</f>
        <v>113.46191999999998</v>
      </c>
      <c r="P36" s="13">
        <f t="shared" si="33"/>
        <v>30.145163126535493</v>
      </c>
      <c r="Q36" s="20">
        <f t="shared" si="53"/>
        <v>250.11566977871595</v>
      </c>
      <c r="R36" s="59">
        <f t="shared" si="0"/>
        <v>529.55683148737523</v>
      </c>
      <c r="S36" s="59">
        <f ca="1">AVERAGE(OFFSET($R$3,0,0,'Données projet'!$E$9+1,1))-AVERAGE(OFFSET($H$3,0,0,'Données projet'!$E$9+1,1))</f>
        <v>466.90449882701591</v>
      </c>
      <c r="T36" s="59">
        <f t="shared" si="34"/>
        <v>283.37641704892053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66.211225920543455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</v>
      </c>
      <c r="AI36" s="13">
        <f>IF('Données projet'!$A$62&gt;35,AI35+AH36-AQ35,IF(A36&lt;'Données projet'!$A$62,$AF$205^A36,IF(A36='Données projet'!$A$62,'Données projet'!$B$62,AI35+AH36-AQ35)))</f>
        <v>100.00000000000003</v>
      </c>
      <c r="AJ36" s="13">
        <f>AI36*VLOOKUP('Données projet'!$B$10,Paramètres!$A$1:$I$89,3,0)*VLOOKUP('Données projet'!$B$10,Paramètres!$A$1:$I$89,5,0)</f>
        <v>95.160000000000025</v>
      </c>
      <c r="AK36" s="13">
        <f t="shared" si="35"/>
        <v>25.805626203326192</v>
      </c>
      <c r="AL36" s="20">
        <f t="shared" si="4"/>
        <v>210.68179897079315</v>
      </c>
      <c r="AM36" s="59">
        <f t="shared" si="5"/>
        <v>490.12296067945249</v>
      </c>
      <c r="AN36" s="59">
        <f ca="1">AVERAGE(OFFSET($AM$3,0,0,'Données projet'!$E$10+1,1))-AVERAGE(OFFSET($H$3,0,0,'Données projet'!$E$10+1,1))</f>
        <v>399.5572791581468</v>
      </c>
      <c r="AO36" s="59">
        <f t="shared" si="36"/>
        <v>246.34185986079777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66.211225920543455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11.5</v>
      </c>
      <c r="BD36" s="12">
        <f>IF('Données projet'!$A$88&gt;35,BD35+BC36-BL35,IF(A36&lt;'Données projet'!$A$88,$BA$205^A36,IF(A36='Données projet'!$A$88,'Données projet'!$B$88,BD35+BC36-BL35)))</f>
        <v>141.99999999999994</v>
      </c>
      <c r="BE36" s="13">
        <f>BD36*VLOOKUP('Données projet'!$B$11,Paramètres!$A$1:$I$89,3,0)*VLOOKUP('Données projet'!$B$11,Paramètres!$A$1:$I$89,5,0)</f>
        <v>110.75999999999996</v>
      </c>
      <c r="BF36" s="13">
        <f t="shared" si="37"/>
        <v>29.509974682362923</v>
      </c>
      <c r="BG36" s="20">
        <f t="shared" si="7"/>
        <v>244.30353923844871</v>
      </c>
      <c r="BH36" s="59">
        <f t="shared" si="8"/>
        <v>523.74470094710796</v>
      </c>
      <c r="BI36" s="59">
        <f ca="1">AVERAGE(OFFSET($BH$3,0,0,'Données projet'!$E$11+1,1))-AVERAGE(OFFSET($H$3,0,0,'Données projet'!$E$11+1,1))</f>
        <v>294.23449029791681</v>
      </c>
      <c r="BJ36" s="59">
        <f t="shared" si="38"/>
        <v>288.64639202306159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5.5576838168618439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5.5576838168618439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66.211225920543455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8</v>
      </c>
      <c r="BY36" s="12">
        <f>IF('Données projet'!$A$114&gt;35,BY35+BX36-CG35,IF(A36&lt;'Données projet'!$A$114,$BV$205^A36,IF(A36='Données projet'!$A$114,'Données projet'!$B$114,BY35+BX36-CG35)))</f>
        <v>100.00000000000003</v>
      </c>
      <c r="BZ36" s="13">
        <f>BY36*VLOOKUP('Données projet'!$B$12,Paramètres!$A$1:$I$89,3,0)*VLOOKUP('Données projet'!$B$12,Paramètres!$A$1:$I$89,5,0)</f>
        <v>107.64000000000003</v>
      </c>
      <c r="CA36" s="13">
        <f t="shared" si="39"/>
        <v>28.774250263353583</v>
      </c>
      <c r="CB36" s="20">
        <f t="shared" si="10"/>
        <v>237.58815254200752</v>
      </c>
      <c r="CC36" s="59">
        <f t="shared" si="11"/>
        <v>517.02931425066686</v>
      </c>
      <c r="CD36" s="59">
        <f ca="1">AVERAGE(OFFSET($CC$3,0,0,'Données projet'!$E$12+1,1))-AVERAGE(OFFSET($H$3,0,0,'Données projet'!$E$12+1,1))</f>
        <v>445.38112098358147</v>
      </c>
      <c r="CE36" s="59">
        <f t="shared" si="40"/>
        <v>272.45883568548516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66.211225920543455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8</v>
      </c>
      <c r="CT36" s="12">
        <f>IF('Données projet'!$A$140&gt;35,CT35+CS36-DB35,IF(A36&lt;'Données projet'!$A$140,$CQ$205^A36,IF(A36='Données projet'!$A$140,'Données projet'!$B$140,CT35+CS36-DB35)))</f>
        <v>100.00000000000003</v>
      </c>
      <c r="CU36" s="17">
        <f>CT36*VLOOKUP('Données projet'!$B$13,Paramètres!$A$1:$I$89,3,0)*VLOOKUP('Données projet'!$B$13,Paramètres!$A$1:$I$89,5,0)</f>
        <v>107.64000000000003</v>
      </c>
      <c r="CV36" s="13">
        <f t="shared" si="41"/>
        <v>28.774250263353583</v>
      </c>
      <c r="CW36" s="20">
        <f t="shared" si="13"/>
        <v>237.58815254200752</v>
      </c>
      <c r="CX36" s="59">
        <f t="shared" si="14"/>
        <v>517.02931425066686</v>
      </c>
      <c r="CY36" s="59">
        <f ca="1">AVERAGE(OFFSET($CX$3,0,0,'Données projet'!$E$13+1,1))-AVERAGE(OFFSET($H$3,0,0,'Données projet'!$E$13+1,1))</f>
        <v>445.38112098358147</v>
      </c>
      <c r="CZ36" s="59">
        <f t="shared" si="42"/>
        <v>272.45883568548516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66.211225920543455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8</v>
      </c>
      <c r="DO36" s="12">
        <f>IF('Données projet'!$A$166&gt;35,DO35+DN36-DW35,IF(A36&lt;'Données projet'!$A$166,$DL$205^A36,IF(A36='Données projet'!$A$166,'Données projet'!$B$166,DO35+DN36-DW35)))</f>
        <v>100.00000000000003</v>
      </c>
      <c r="DP36" s="17">
        <f>DO36*VLOOKUP('Données projet'!$B$14,Paramètres!$A$1:$I$89,3,0)*VLOOKUP('Données projet'!$B$14,Paramètres!$A$1:$I$89,5,0)</f>
        <v>96.720000000000027</v>
      </c>
      <c r="DQ36" s="13">
        <f t="shared" si="43"/>
        <v>26.179072558792161</v>
      </c>
      <c r="DR36" s="20">
        <f t="shared" si="16"/>
        <v>214.04921803989637</v>
      </c>
      <c r="DS36" s="59">
        <f t="shared" si="17"/>
        <v>493.49037974855571</v>
      </c>
      <c r="DT36" s="59">
        <f ca="1">AVERAGE(OFFSET($DS$3,0,0,'Données projet'!$E$14+1,1))-AVERAGE(OFFSET($H$3,0,0,'Données projet'!$E$14+1,1))</f>
        <v>405.29179902613089</v>
      </c>
      <c r="DU36" s="59">
        <f t="shared" si="44"/>
        <v>249.61049717638238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66.211225920543455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21.354000000000003</v>
      </c>
      <c r="EJ36" s="12">
        <f>IF('Données projet'!$A$192&gt;35,EJ35+EI36-ER35,IF(A36&lt;'Données projet'!$A$192,$EG$205^A36,IF(A36='Données projet'!$A$192,'Données projet'!$B$192,EJ35+EI36-ER35)))</f>
        <v>251.70400000000009</v>
      </c>
      <c r="EK36" s="17">
        <f>EJ36*VLOOKUP('Données projet'!$B$15,Paramètres!$A$1:$I$89,3,0)*VLOOKUP('Données projet'!$B$15,Paramètres!$A$1:$I$89,5,0)</f>
        <v>150.51899200000008</v>
      </c>
      <c r="EL36" s="13">
        <f t="shared" si="45"/>
        <v>38.696504695699332</v>
      </c>
      <c r="EM36" s="20">
        <f t="shared" si="19"/>
        <v>329.55032341167646</v>
      </c>
      <c r="EN36" s="59">
        <f t="shared" si="20"/>
        <v>608.99148512033571</v>
      </c>
      <c r="EO36" s="59">
        <f ca="1">AVERAGE(OFFSET($EN$3,0,0,'Données projet'!$E$15+1,1))-AVERAGE(OFFSET($H$3,0,0,'Données projet'!$E$15+1,1))</f>
        <v>444.77624981561257</v>
      </c>
      <c r="EP36" s="59">
        <f t="shared" si="46"/>
        <v>382.10319641527587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9.700402621334046</v>
      </c>
      <c r="EW36" s="21">
        <f>EXP(-LN(2)/25)*EW35+(1-EXP(-LN(2)/25))/(LN(2)/25)*Calculateur!ER36*Calculateur!ET36*VLOOKUP('Données projet'!$B$15,Paramètres!$A$1:$I$89,3,0)*0.475*44/12</f>
        <v>20.498788619497081</v>
      </c>
      <c r="EX36" s="21">
        <f>EXP(-LN(2)/2)*EX35+(1-EXP(-LN(2)/2))/(LN(2)/2)*ER36*EU36*VLOOKUP('Données projet'!$B$15,Paramètres!$A$1:$I$89,3,0)*0.475*44/12</f>
        <v>6.1696754596972134</v>
      </c>
      <c r="EY36" s="22">
        <f t="shared" si="21"/>
        <v>36.368866700528343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66.211225920543455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37</v>
      </c>
      <c r="FE36" s="12">
        <f>IF('Données projet'!$A$218&gt;35,FE35+FD36-FM35,IF(A36&lt;'Données projet'!$A$218,$FB$205^A36,IF(A36='Données projet'!$A$218,'Données projet'!$B$218,FE35+FD36-FM35)))</f>
        <v>421.99999999999989</v>
      </c>
      <c r="FF36" s="17">
        <f>FE36*VLOOKUP('Données projet'!$B$16,Paramètres!$A$1:$I$89,3,0)*VLOOKUP('Données projet'!$B$16,Paramètres!$A$1:$I$89,5,0)</f>
        <v>186.52399999999994</v>
      </c>
      <c r="FG36" s="13">
        <f t="shared" si="47"/>
        <v>46.770634721831932</v>
      </c>
      <c r="FH36" s="20">
        <f t="shared" si="22"/>
        <v>406.32148880719052</v>
      </c>
      <c r="FI36" s="59">
        <f t="shared" si="23"/>
        <v>685.76265051584983</v>
      </c>
      <c r="FJ36" s="59">
        <f ca="1">AVERAGE(OFFSET($FI$3,0,0,'Données projet'!$E$16+1,1))-AVERAGE(OFFSET($H$3,0,0,'Données projet'!$E$16+1,1))</f>
        <v>508.71179785154317</v>
      </c>
      <c r="FK36" s="59">
        <f t="shared" si="48"/>
        <v>422.73937290731442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35.291278562678293</v>
      </c>
      <c r="FS36" s="21">
        <f>EXP(-LN(2)/2)*FS35+(1-EXP(-LN(2)/2))/(LN(2)/2)*FM36*FP36*VLOOKUP('Données projet'!$B$16,Paramètres!$A$1:$I$89,3,0)*0.475*44/12</f>
        <v>7.8755663110823493</v>
      </c>
      <c r="FT36" s="22">
        <f t="shared" si="24"/>
        <v>43.166844873760645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66.211225920543455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66.211225920543455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1.35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4.95</v>
      </c>
      <c r="H37" s="67">
        <f t="shared" si="1"/>
        <v>236.86666666666665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66.276952680392156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10.8</v>
      </c>
      <c r="N37" s="13">
        <f>IF('Données projet'!$A$36&gt;35,N36+M37-V36,IF(A37&lt;'Données projet'!$A$36,$K$205^A37,IF(A37='Données projet'!$A$36,'Données projet'!$B$36,N36+M37-V36)))</f>
        <v>136.19999999999999</v>
      </c>
      <c r="O37" s="13">
        <f>N37*VLOOKUP('Données projet'!$B$9,Paramètres!$A$1:$I$89,3,0)*VLOOKUP('Données projet'!$B$9,Paramètres!$A$1:$I$89,5,0)</f>
        <v>123.23375999999998</v>
      </c>
      <c r="P37" s="13">
        <f t="shared" si="33"/>
        <v>32.428049504876462</v>
      </c>
      <c r="Q37" s="20">
        <f t="shared" si="53"/>
        <v>271.11098488765975</v>
      </c>
      <c r="R37" s="59">
        <f t="shared" si="0"/>
        <v>550.79314471576436</v>
      </c>
      <c r="S37" s="59">
        <f ca="1">AVERAGE(OFFSET($R$3,0,0,'Données projet'!$E$9+1,1))-AVERAGE(OFFSET($H$3,0,0,'Données projet'!$E$9+1,1))</f>
        <v>466.90449882701591</v>
      </c>
      <c r="T37" s="59">
        <f t="shared" si="34"/>
        <v>283.37641704892053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66.276952680392156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</v>
      </c>
      <c r="AI37" s="13">
        <f>IF('Données projet'!$A$62&gt;35,AI36+AH37-AQ36,IF(A37&lt;'Données projet'!$A$62,$AF$205^A37,IF(A37='Données projet'!$A$62,'Données projet'!$B$62,AI36+AH37-AQ36)))</f>
        <v>108.00000000000003</v>
      </c>
      <c r="AJ37" s="13">
        <f>AI37*VLOOKUP('Données projet'!$B$10,Paramètres!$A$1:$I$89,3,0)*VLOOKUP('Données projet'!$B$10,Paramètres!$A$1:$I$89,5,0)</f>
        <v>102.77280000000002</v>
      </c>
      <c r="AK37" s="13">
        <f t="shared" si="35"/>
        <v>27.62152372741507</v>
      </c>
      <c r="AL37" s="20">
        <f t="shared" si="4"/>
        <v>227.10344715858128</v>
      </c>
      <c r="AM37" s="59">
        <f t="shared" si="5"/>
        <v>506.78560698668588</v>
      </c>
      <c r="AN37" s="59">
        <f ca="1">AVERAGE(OFFSET($AM$3,0,0,'Données projet'!$E$10+1,1))-AVERAGE(OFFSET($H$3,0,0,'Données projet'!$E$10+1,1))</f>
        <v>399.5572791581468</v>
      </c>
      <c r="AO37" s="59">
        <f t="shared" si="36"/>
        <v>246.34185986079777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66.276952680392156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11.5</v>
      </c>
      <c r="BD37" s="12">
        <f>IF('Données projet'!$A$88&gt;35,BD36+BC37-BL36,IF(A37&lt;'Données projet'!$A$88,$BA$205^A37,IF(A37='Données projet'!$A$88,'Données projet'!$B$88,BD36+BC37-BL36)))</f>
        <v>153.49999999999994</v>
      </c>
      <c r="BE37" s="13">
        <f>BD37*VLOOKUP('Données projet'!$B$11,Paramètres!$A$1:$I$89,3,0)*VLOOKUP('Données projet'!$B$11,Paramètres!$A$1:$I$89,5,0)</f>
        <v>119.72999999999996</v>
      </c>
      <c r="BF37" s="13">
        <f t="shared" si="37"/>
        <v>31.612017974790529</v>
      </c>
      <c r="BG37" s="20">
        <f t="shared" si="7"/>
        <v>263.58734797276003</v>
      </c>
      <c r="BH37" s="59">
        <f t="shared" si="8"/>
        <v>543.26950780086463</v>
      </c>
      <c r="BI37" s="59">
        <f ca="1">AVERAGE(OFFSET($BH$3,0,0,'Données projet'!$E$11+1,1))-AVERAGE(OFFSET($H$3,0,0,'Données projet'!$E$11+1,1))</f>
        <v>294.23449029791681</v>
      </c>
      <c r="BJ37" s="59">
        <f t="shared" si="38"/>
        <v>288.64639202306159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5.4487010270655913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5.4487010270655913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66.276952680392156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8</v>
      </c>
      <c r="BY37" s="12">
        <f>IF('Données projet'!$A$114&gt;35,BY36+BX37-CG36,IF(A37&lt;'Données projet'!$A$114,$BV$205^A37,IF(A37='Données projet'!$A$114,'Données projet'!$B$114,BY36+BX37-CG36)))</f>
        <v>108.00000000000003</v>
      </c>
      <c r="BZ37" s="13">
        <f>BY37*VLOOKUP('Données projet'!$B$12,Paramètres!$A$1:$I$89,3,0)*VLOOKUP('Données projet'!$B$12,Paramètres!$A$1:$I$89,5,0)</f>
        <v>116.25120000000003</v>
      </c>
      <c r="CA37" s="13">
        <f t="shared" si="39"/>
        <v>30.799044755804353</v>
      </c>
      <c r="CB37" s="20">
        <f t="shared" si="10"/>
        <v>256.11250961635932</v>
      </c>
      <c r="CC37" s="59">
        <f t="shared" si="11"/>
        <v>535.79466944446392</v>
      </c>
      <c r="CD37" s="59">
        <f ca="1">AVERAGE(OFFSET($CC$3,0,0,'Données projet'!$E$12+1,1))-AVERAGE(OFFSET($H$3,0,0,'Données projet'!$E$12+1,1))</f>
        <v>445.38112098358147</v>
      </c>
      <c r="CE37" s="59">
        <f t="shared" si="40"/>
        <v>272.45883568548516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66.276952680392156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8</v>
      </c>
      <c r="CT37" s="12">
        <f>IF('Données projet'!$A$140&gt;35,CT36+CS37-DB36,IF(A37&lt;'Données projet'!$A$140,$CQ$205^A37,IF(A37='Données projet'!$A$140,'Données projet'!$B$140,CT36+CS37-DB36)))</f>
        <v>108.00000000000003</v>
      </c>
      <c r="CU37" s="17">
        <f>CT37*VLOOKUP('Données projet'!$B$13,Paramètres!$A$1:$I$89,3,0)*VLOOKUP('Données projet'!$B$13,Paramètres!$A$1:$I$89,5,0)</f>
        <v>116.25120000000003</v>
      </c>
      <c r="CV37" s="13">
        <f t="shared" si="41"/>
        <v>30.799044755804353</v>
      </c>
      <c r="CW37" s="20">
        <f t="shared" si="13"/>
        <v>256.11250961635932</v>
      </c>
      <c r="CX37" s="59">
        <f t="shared" si="14"/>
        <v>535.79466944446392</v>
      </c>
      <c r="CY37" s="59">
        <f ca="1">AVERAGE(OFFSET($CX$3,0,0,'Données projet'!$E$13+1,1))-AVERAGE(OFFSET($H$3,0,0,'Données projet'!$E$13+1,1))</f>
        <v>445.38112098358147</v>
      </c>
      <c r="CZ37" s="59">
        <f t="shared" si="42"/>
        <v>272.45883568548516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66.276952680392156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8</v>
      </c>
      <c r="DO37" s="12">
        <f>IF('Données projet'!$A$166&gt;35,DO36+DN37-DW36,IF(A37&lt;'Données projet'!$A$166,$DL$205^A37,IF(A37='Données projet'!$A$166,'Données projet'!$B$166,DO36+DN37-DW36)))</f>
        <v>108.00000000000003</v>
      </c>
      <c r="DP37" s="17">
        <f>DO37*VLOOKUP('Données projet'!$B$14,Paramètres!$A$1:$I$89,3,0)*VLOOKUP('Données projet'!$B$14,Paramètres!$A$1:$I$89,5,0)</f>
        <v>104.45760000000004</v>
      </c>
      <c r="DQ37" s="13">
        <f t="shared" si="43"/>
        <v>28.021248860498272</v>
      </c>
      <c r="DR37" s="20">
        <f t="shared" si="16"/>
        <v>230.73399509870123</v>
      </c>
      <c r="DS37" s="59">
        <f t="shared" si="17"/>
        <v>510.4161549268058</v>
      </c>
      <c r="DT37" s="59">
        <f ca="1">AVERAGE(OFFSET($DS$3,0,0,'Données projet'!$E$14+1,1))-AVERAGE(OFFSET($H$3,0,0,'Données projet'!$E$14+1,1))</f>
        <v>405.29179902613089</v>
      </c>
      <c r="DU37" s="59">
        <f t="shared" si="44"/>
        <v>249.61049717638238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66.276952680392156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21.354000000000003</v>
      </c>
      <c r="EJ37" s="12">
        <f>IF('Données projet'!$A$192&gt;35,EJ36+EI37-ER36,IF(A37&lt;'Données projet'!$A$192,$EG$205^A37,IF(A37='Données projet'!$A$192,'Données projet'!$B$192,EJ36+EI37-ER36)))</f>
        <v>273.05800000000011</v>
      </c>
      <c r="EK37" s="17">
        <f>EJ37*VLOOKUP('Données projet'!$B$15,Paramètres!$A$1:$I$89,3,0)*VLOOKUP('Données projet'!$B$15,Paramètres!$A$1:$I$89,5,0)</f>
        <v>163.28868400000007</v>
      </c>
      <c r="EL37" s="13">
        <f t="shared" si="45"/>
        <v>41.583406626001775</v>
      </c>
      <c r="EM37" s="20">
        <f t="shared" si="19"/>
        <v>356.81889117361993</v>
      </c>
      <c r="EN37" s="59">
        <f t="shared" si="20"/>
        <v>636.50105100172459</v>
      </c>
      <c r="EO37" s="59">
        <f ca="1">AVERAGE(OFFSET($EN$3,0,0,'Données projet'!$E$15+1,1))-AVERAGE(OFFSET($H$3,0,0,'Données projet'!$E$15+1,1))</f>
        <v>444.77624981561257</v>
      </c>
      <c r="EP37" s="59">
        <f t="shared" si="46"/>
        <v>382.10319641527587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9.5101836425910626</v>
      </c>
      <c r="EW37" s="21">
        <f>EXP(-LN(2)/25)*EW36+(1-EXP(-LN(2)/25))/(LN(2)/25)*Calculateur!ER37*Calculateur!ET37*VLOOKUP('Données projet'!$B$15,Paramètres!$A$1:$I$89,3,0)*0.475*44/12</f>
        <v>19.938248166712491</v>
      </c>
      <c r="EX37" s="21">
        <f>EXP(-LN(2)/2)*EX36+(1-EXP(-LN(2)/2))/(LN(2)/2)*ER37*EU37*VLOOKUP('Données projet'!$B$15,Paramètres!$A$1:$I$89,3,0)*0.475*44/12</f>
        <v>4.3626193552721295</v>
      </c>
      <c r="EY37" s="22">
        <f t="shared" si="21"/>
        <v>33.81105116457568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66.276952680392156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37</v>
      </c>
      <c r="FE37" s="12">
        <f>IF('Données projet'!$A$218&gt;35,FE36+FD37-FM36,IF(A37&lt;'Données projet'!$A$218,$FB$205^A37,IF(A37='Données projet'!$A$218,'Données projet'!$B$218,FE36+FD37-FM36)))</f>
        <v>458.99999999999989</v>
      </c>
      <c r="FF37" s="17">
        <f>FE37*VLOOKUP('Données projet'!$B$16,Paramètres!$A$1:$I$89,3,0)*VLOOKUP('Données projet'!$B$16,Paramètres!$A$1:$I$89,5,0)</f>
        <v>202.87799999999999</v>
      </c>
      <c r="FG37" s="13">
        <f t="shared" si="47"/>
        <v>50.376138116990127</v>
      </c>
      <c r="FH37" s="20">
        <f t="shared" si="22"/>
        <v>441.08429055375774</v>
      </c>
      <c r="FI37" s="59">
        <f t="shared" si="23"/>
        <v>720.76645038186234</v>
      </c>
      <c r="FJ37" s="59">
        <f ca="1">AVERAGE(OFFSET($FI$3,0,0,'Données projet'!$E$16+1,1))-AVERAGE(OFFSET($H$3,0,0,'Données projet'!$E$16+1,1))</f>
        <v>508.71179785154317</v>
      </c>
      <c r="FK37" s="59">
        <f t="shared" si="48"/>
        <v>422.73937290731442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34.326236694494177</v>
      </c>
      <c r="FS37" s="21">
        <f>EXP(-LN(2)/2)*FS36+(1-EXP(-LN(2)/2))/(LN(2)/2)*FM37*FP37*VLOOKUP('Données projet'!$B$16,Paramètres!$A$1:$I$89,3,0)*0.475*44/12</f>
        <v>5.5688663442506527</v>
      </c>
      <c r="FT37" s="22">
        <f t="shared" si="24"/>
        <v>39.895103038744828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66.276952680392156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66.276952680392156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1.35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4.95</v>
      </c>
      <c r="H38" s="67">
        <f t="shared" si="1"/>
        <v>236.86666666666665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66.341539227900483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147</v>
      </c>
      <c r="L38" s="12">
        <f>VLOOKUP(A38,'Données projet'!$A$35:$I$55,9,0)</f>
        <v>10.8</v>
      </c>
      <c r="M38" s="12">
        <f t="array" ref="M38">INDEX(L:L,MIN(IF(ISNUMBER(L38:L234),ROW(L38:L234),"")))</f>
        <v>10.8</v>
      </c>
      <c r="N38" s="13">
        <f>IF('Données projet'!$A$36&gt;35,N37+M38-V37,IF(A38&lt;'Données projet'!$A$36,$K$205^A38,IF(A38='Données projet'!$A$36,'Données projet'!$B$36,N37+M38-V37)))</f>
        <v>147</v>
      </c>
      <c r="O38" s="13">
        <f>N38*VLOOKUP('Données projet'!$B$9,Paramètres!$A$1:$I$89,3,0)*VLOOKUP('Données projet'!$B$9,Paramètres!$A$1:$I$89,5,0)</f>
        <v>133.00559999999999</v>
      </c>
      <c r="P38" s="13">
        <f t="shared" si="33"/>
        <v>34.689938673073549</v>
      </c>
      <c r="Q38" s="20">
        <f t="shared" si="53"/>
        <v>292.06972985560304</v>
      </c>
      <c r="R38" s="59">
        <f t="shared" si="0"/>
        <v>571.98870702457145</v>
      </c>
      <c r="S38" s="59">
        <f ca="1">AVERAGE(OFFSET($R$3,0,0,'Données projet'!$E$9+1,1))-AVERAGE(OFFSET($H$3,0,0,'Données projet'!$E$9+1,1))</f>
        <v>466.90449882701591</v>
      </c>
      <c r="T38" s="59">
        <f t="shared" si="34"/>
        <v>283.37641704892053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28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66.341539227900483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116</v>
      </c>
      <c r="AG38" s="12">
        <f>VLOOKUP(A38,'Données projet'!$A$61:$I$81,9,0)</f>
        <v>8</v>
      </c>
      <c r="AH38" s="12">
        <f t="array" ref="AH38">INDEX(AG:AG,MIN(IF(ISNUMBER(AG38:AG234),ROW(AG38:AG234),"")))</f>
        <v>8</v>
      </c>
      <c r="AI38" s="13">
        <f>IF('Données projet'!$A$62&gt;35,AI37+AH38-AQ37,IF(A38&lt;'Données projet'!$A$62,$AF$205^A38,IF(A38='Données projet'!$A$62,'Données projet'!$B$62,AI37+AH38-AQ37)))</f>
        <v>116.00000000000003</v>
      </c>
      <c r="AJ38" s="13">
        <f>AI38*VLOOKUP('Données projet'!$B$10,Paramètres!$A$1:$I$89,3,0)*VLOOKUP('Données projet'!$B$10,Paramètres!$A$1:$I$89,5,0)</f>
        <v>110.38560000000004</v>
      </c>
      <c r="AK38" s="13">
        <f t="shared" si="35"/>
        <v>29.421816429201407</v>
      </c>
      <c r="AL38" s="20">
        <f t="shared" si="4"/>
        <v>243.49791694752582</v>
      </c>
      <c r="AM38" s="59">
        <f t="shared" si="5"/>
        <v>523.41689411649418</v>
      </c>
      <c r="AN38" s="59">
        <f ca="1">AVERAGE(OFFSET($AM$3,0,0,'Données projet'!$E$10+1,1))-AVERAGE(OFFSET($H$3,0,0,'Données projet'!$E$10+1,1))</f>
        <v>399.5572791581468</v>
      </c>
      <c r="AO38" s="59">
        <f t="shared" si="36"/>
        <v>246.34185986079777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21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66.341539227900483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11.5</v>
      </c>
      <c r="BD38" s="12">
        <f>IF('Données projet'!$A$88&gt;35,BD37+BC38-BL37,IF(A38&lt;'Données projet'!$A$88,$BA$205^A38,IF(A38='Données projet'!$A$88,'Données projet'!$B$88,BD37+BC38-BL37)))</f>
        <v>164.99999999999994</v>
      </c>
      <c r="BE38" s="13">
        <f>BD38*VLOOKUP('Données projet'!$B$11,Paramètres!$A$1:$I$89,3,0)*VLOOKUP('Données projet'!$B$11,Paramètres!$A$1:$I$89,5,0)</f>
        <v>128.69999999999996</v>
      </c>
      <c r="BF38" s="13">
        <f t="shared" si="37"/>
        <v>33.695792019186115</v>
      </c>
      <c r="BG38" s="20">
        <f t="shared" si="7"/>
        <v>282.83933776674911</v>
      </c>
      <c r="BH38" s="59">
        <f t="shared" si="8"/>
        <v>562.75831493571752</v>
      </c>
      <c r="BI38" s="59">
        <f ca="1">AVERAGE(OFFSET($BH$3,0,0,'Données projet'!$E$11+1,1))-AVERAGE(OFFSET($H$3,0,0,'Données projet'!$E$11+1,1))</f>
        <v>294.23449029791681</v>
      </c>
      <c r="BJ38" s="59">
        <f t="shared" si="38"/>
        <v>288.64639202306159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5.3418553233043049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5.3418553233043049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66.341539227900483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116</v>
      </c>
      <c r="BW38" s="12">
        <f>VLOOKUP(A38,'Données projet'!$A$113:$I$133,9,0)</f>
        <v>8</v>
      </c>
      <c r="BX38" s="12">
        <f t="array" ref="BX38">INDEX(BW:BW,MIN(IF(ISNUMBER(BW38:BW234),ROW(BW38:BW234),"")))</f>
        <v>8</v>
      </c>
      <c r="BY38" s="12">
        <f>IF('Données projet'!$A$114&gt;35,BY37+BX38-CG37,IF(A38&lt;'Données projet'!$A$114,$BV$205^A38,IF(A38='Données projet'!$A$114,'Données projet'!$B$114,BY37+BX38-CG37)))</f>
        <v>116.00000000000003</v>
      </c>
      <c r="BZ38" s="13">
        <f>BY38*VLOOKUP('Données projet'!$B$12,Paramètres!$A$1:$I$89,3,0)*VLOOKUP('Données projet'!$B$12,Paramètres!$A$1:$I$89,5,0)</f>
        <v>124.86240000000004</v>
      </c>
      <c r="CA38" s="13">
        <f t="shared" si="39"/>
        <v>32.806439280561598</v>
      </c>
      <c r="CB38" s="20">
        <f t="shared" si="10"/>
        <v>274.60656174697812</v>
      </c>
      <c r="CC38" s="59">
        <f t="shared" si="11"/>
        <v>554.52553891594653</v>
      </c>
      <c r="CD38" s="59">
        <f ca="1">AVERAGE(OFFSET($CC$3,0,0,'Données projet'!$E$12+1,1))-AVERAGE(OFFSET($H$3,0,0,'Données projet'!$E$12+1,1))</f>
        <v>445.38112098358147</v>
      </c>
      <c r="CE38" s="59">
        <f t="shared" si="40"/>
        <v>272.45883568548516</v>
      </c>
      <c r="CF38" s="15">
        <f>IF(ISNA(VLOOKUP(A38,'Données projet'!$A$113:$I$133,3,0)),0,VLOOKUP(A38,'Données projet'!$A$113:$I$133,3,0))</f>
        <v>4</v>
      </c>
      <c r="CG38" s="15">
        <f>IF(ISNA(VLOOKUP(A38,'Données projet'!$A$113:$I$133,4,0)),0,VLOOKUP(A38,'Données projet'!$A$113:$I$133,4,0))</f>
        <v>21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66.341539227900483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116</v>
      </c>
      <c r="CR38" s="12">
        <f>VLOOKUP(A38,'Données projet'!$A$139:$I$159,9,0)</f>
        <v>8</v>
      </c>
      <c r="CS38" s="12">
        <f t="array" ref="CS38">INDEX(CR:CR,MIN(IF(ISNUMBER(CR38:CR234),ROW(CR38:CR234),"")))</f>
        <v>8</v>
      </c>
      <c r="CT38" s="12">
        <f>IF('Données projet'!$A$140&gt;35,CT37+CS38-DB37,IF(A38&lt;'Données projet'!$A$140,$CQ$205^A38,IF(A38='Données projet'!$A$140,'Données projet'!$B$140,CT37+CS38-DB37)))</f>
        <v>116.00000000000003</v>
      </c>
      <c r="CU38" s="17">
        <f>CT38*VLOOKUP('Données projet'!$B$13,Paramètres!$A$1:$I$89,3,0)*VLOOKUP('Données projet'!$B$13,Paramètres!$A$1:$I$89,5,0)</f>
        <v>124.86240000000004</v>
      </c>
      <c r="CV38" s="13">
        <f t="shared" si="41"/>
        <v>32.806439280561598</v>
      </c>
      <c r="CW38" s="20">
        <f t="shared" si="13"/>
        <v>274.60656174697812</v>
      </c>
      <c r="CX38" s="59">
        <f t="shared" si="14"/>
        <v>554.52553891594653</v>
      </c>
      <c r="CY38" s="59">
        <f ca="1">AVERAGE(OFFSET($CX$3,0,0,'Données projet'!$E$13+1,1))-AVERAGE(OFFSET($H$3,0,0,'Données projet'!$E$13+1,1))</f>
        <v>445.38112098358147</v>
      </c>
      <c r="CZ38" s="59">
        <f t="shared" si="42"/>
        <v>272.45883568548516</v>
      </c>
      <c r="DA38" s="15">
        <f>IF(ISNA(VLOOKUP(A38,'Données projet'!$A$139:$I$159,3,0)),0,VLOOKUP(A38,'Données projet'!$A$139:$I$159,3,0))</f>
        <v>4</v>
      </c>
      <c r="DB38" s="15">
        <f>IF(ISNA(VLOOKUP(A38,'Données projet'!$A$139:$I$159,4,0)),0,VLOOKUP(A38,'Données projet'!$A$139:$I$159,4,0))</f>
        <v>21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66.341539227900483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116</v>
      </c>
      <c r="DM38" s="12">
        <f>VLOOKUP(A38,'Données projet'!$A$165:$I$185,9,0)</f>
        <v>8</v>
      </c>
      <c r="DN38" s="12">
        <f t="array" ref="DN38">INDEX(DM:DM,MIN(IF(ISNUMBER(DM38:DM234),ROW(DM38:DM234),"")))</f>
        <v>8</v>
      </c>
      <c r="DO38" s="12">
        <f>IF('Données projet'!$A$166&gt;35,DO37+DN38-DW37,IF(A38&lt;'Données projet'!$A$166,$DL$205^A38,IF(A38='Données projet'!$A$166,'Données projet'!$B$166,DO37+DN38-DW37)))</f>
        <v>116.00000000000003</v>
      </c>
      <c r="DP38" s="17">
        <f>DO38*VLOOKUP('Données projet'!$B$14,Paramètres!$A$1:$I$89,3,0)*VLOOKUP('Données projet'!$B$14,Paramètres!$A$1:$I$89,5,0)</f>
        <v>112.19520000000003</v>
      </c>
      <c r="DQ38" s="13">
        <f t="shared" si="43"/>
        <v>29.847594514573263</v>
      </c>
      <c r="DR38" s="20">
        <f t="shared" si="16"/>
        <v>247.39120044621515</v>
      </c>
      <c r="DS38" s="59">
        <f t="shared" si="17"/>
        <v>527.31017761518353</v>
      </c>
      <c r="DT38" s="59">
        <f ca="1">AVERAGE(OFFSET($DS$3,0,0,'Données projet'!$E$14+1,1))-AVERAGE(OFFSET($H$3,0,0,'Données projet'!$E$14+1,1))</f>
        <v>405.29179902613089</v>
      </c>
      <c r="DU38" s="59">
        <f t="shared" si="44"/>
        <v>249.61049717638238</v>
      </c>
      <c r="DV38" s="15">
        <f>IF(ISNA(VLOOKUP(A38,'Données projet'!$A$165:$I$185,3,0)),0,VLOOKUP(A38,'Données projet'!$A$165:$I$185,3,0))</f>
        <v>4</v>
      </c>
      <c r="DW38" s="15">
        <f>IF(ISNA(VLOOKUP(A38,'Données projet'!$A$165:$I$185,4,0)),0,VLOOKUP(A38,'Données projet'!$A$165:$I$185,4,0))</f>
        <v>21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66.341539227900483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21.354000000000003</v>
      </c>
      <c r="EJ38" s="12">
        <f>IF('Données projet'!$A$192&gt;35,EJ37+EI38-ER37,IF(A38&lt;'Données projet'!$A$192,$EG$205^A38,IF(A38='Données projet'!$A$192,'Données projet'!$B$192,EJ37+EI38-ER37)))</f>
        <v>294.41200000000009</v>
      </c>
      <c r="EK38" s="17">
        <f>EJ38*VLOOKUP('Données projet'!$B$15,Paramètres!$A$1:$I$89,3,0)*VLOOKUP('Données projet'!$B$15,Paramètres!$A$1:$I$89,5,0)</f>
        <v>176.05837600000007</v>
      </c>
      <c r="EL38" s="13">
        <f t="shared" si="45"/>
        <v>44.444120610316297</v>
      </c>
      <c r="EM38" s="20">
        <f t="shared" si="19"/>
        <v>384.04184826296768</v>
      </c>
      <c r="EN38" s="59">
        <f t="shared" si="20"/>
        <v>663.96082543193609</v>
      </c>
      <c r="EO38" s="59">
        <f ca="1">AVERAGE(OFFSET($EN$3,0,0,'Données projet'!$E$15+1,1))-AVERAGE(OFFSET($H$3,0,0,'Données projet'!$E$15+1,1))</f>
        <v>444.77624981561257</v>
      </c>
      <c r="EP38" s="59">
        <f t="shared" si="46"/>
        <v>382.10319641527587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9.323694741999109</v>
      </c>
      <c r="EW38" s="21">
        <f>EXP(-LN(2)/25)*EW37+(1-EXP(-LN(2)/25))/(LN(2)/25)*Calculateur!ER38*Calculateur!ET38*VLOOKUP('Données projet'!$B$15,Paramètres!$A$1:$I$89,3,0)*0.475*44/12</f>
        <v>19.393035722086836</v>
      </c>
      <c r="EX38" s="21">
        <f>EXP(-LN(2)/2)*EX37+(1-EXP(-LN(2)/2))/(LN(2)/2)*ER38*EU38*VLOOKUP('Données projet'!$B$15,Paramètres!$A$1:$I$89,3,0)*0.475*44/12</f>
        <v>3.0848377298486067</v>
      </c>
      <c r="EY38" s="22">
        <f t="shared" si="21"/>
        <v>31.80156819393455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66.341539227900483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496</v>
      </c>
      <c r="FC38" s="12">
        <f>VLOOKUP(A38,'Données projet'!$A$217:$I$237,9,0)</f>
        <v>37</v>
      </c>
      <c r="FD38" s="12">
        <f t="array" ref="FD38">INDEX(FC:FC,MIN(IF(ISNUMBER(FC38:FC234),ROW(FC38:FC234),"")))</f>
        <v>37</v>
      </c>
      <c r="FE38" s="12">
        <f>IF('Données projet'!$A$218&gt;35,FE37+FD38-FM37,IF(A38&lt;'Données projet'!$A$218,$FB$205^A38,IF(A38='Données projet'!$A$218,'Données projet'!$B$218,FE37+FD38-FM37)))</f>
        <v>495.99999999999989</v>
      </c>
      <c r="FF38" s="17">
        <f>FE38*VLOOKUP('Données projet'!$B$16,Paramètres!$A$1:$I$89,3,0)*VLOOKUP('Données projet'!$B$16,Paramètres!$A$1:$I$89,5,0)</f>
        <v>219.232</v>
      </c>
      <c r="FG38" s="13">
        <f t="shared" si="47"/>
        <v>53.947930757504459</v>
      </c>
      <c r="FH38" s="20">
        <f t="shared" si="22"/>
        <v>475.78837940265356</v>
      </c>
      <c r="FI38" s="59">
        <f t="shared" si="23"/>
        <v>755.70735657162197</v>
      </c>
      <c r="FJ38" s="59">
        <f ca="1">AVERAGE(OFFSET($FI$3,0,0,'Données projet'!$E$16+1,1))-AVERAGE(OFFSET($H$3,0,0,'Données projet'!$E$16+1,1))</f>
        <v>508.71179785154317</v>
      </c>
      <c r="FK38" s="59">
        <f t="shared" si="48"/>
        <v>422.73937290731442</v>
      </c>
      <c r="FL38" s="15">
        <f>IF(ISNA(VLOOKUP(A38,'Données projet'!$A$217:$I$237,3,0)),0,VLOOKUP(A38,'Données projet'!$A$217:$I$237,3,0))</f>
        <v>5</v>
      </c>
      <c r="FM38" s="15">
        <f>IF(ISNA(VLOOKUP(A38,'Données projet'!$A$217:$I$237,4,0)),0,VLOOKUP(A38,'Données projet'!$A$217:$I$237,4,0))</f>
        <v>84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0.30800000000000005</v>
      </c>
      <c r="FP38" s="16">
        <f>IF(ISNA(VLOOKUP(A38,'Données projet'!$A$217:$I$237,7,0)),0%,VLOOKUP(A38,'Données projet'!$A$217:$I$237,7,0))</f>
        <v>0.44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48.497681569124495</v>
      </c>
      <c r="FS38" s="21">
        <f>EXP(-LN(2)/2)*FS37+(1-EXP(-LN(2)/2))/(LN(2)/2)*FM38*FP38*VLOOKUP('Données projet'!$B$16,Paramètres!$A$1:$I$89,3,0)*0.475*44/12</f>
        <v>22.434292282268732</v>
      </c>
      <c r="FT38" s="22">
        <f t="shared" si="24"/>
        <v>70.931973851393224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66.341539227900483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66.341539227900483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1.35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4.95</v>
      </c>
      <c r="H39" s="67">
        <f t="shared" si="1"/>
        <v>236.86666666666665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66.405005343203442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11.2</v>
      </c>
      <c r="N39" s="13">
        <f>IF('Données projet'!$A$36&gt;35,N38+M39-V38,IF(A39&lt;'Données projet'!$A$36,$K$205^A39,IF(A39='Données projet'!$A$36,'Données projet'!$B$36,N38+M39-V38)))</f>
        <v>130.19999999999999</v>
      </c>
      <c r="O39" s="13">
        <f>N39*VLOOKUP('Données projet'!$B$9,Paramètres!$A$1:$I$89,3,0)*VLOOKUP('Données projet'!$B$9,Paramètres!$A$1:$I$89,5,0)</f>
        <v>117.80495999999999</v>
      </c>
      <c r="P39" s="13">
        <f t="shared" si="33"/>
        <v>31.162493487829593</v>
      </c>
      <c r="Q39" s="20">
        <f t="shared" si="53"/>
        <v>259.45164815796983</v>
      </c>
      <c r="R39" s="59">
        <f t="shared" si="0"/>
        <v>539.60333441638249</v>
      </c>
      <c r="S39" s="59">
        <f ca="1">AVERAGE(OFFSET($R$3,0,0,'Données projet'!$E$9+1,1))-AVERAGE(OFFSET($H$3,0,0,'Données projet'!$E$9+1,1))</f>
        <v>466.90449882701591</v>
      </c>
      <c r="T39" s="59">
        <f t="shared" si="34"/>
        <v>283.37641704892053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66.405005343203442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8.4</v>
      </c>
      <c r="AI39" s="13">
        <f>IF('Données projet'!$A$62&gt;35,AI38+AH39-AQ38,IF(A39&lt;'Données projet'!$A$62,$AF$205^A39,IF(A39='Données projet'!$A$62,'Données projet'!$B$62,AI38+AH39-AQ38)))</f>
        <v>103.40000000000003</v>
      </c>
      <c r="AJ39" s="13">
        <f>AI39*VLOOKUP('Données projet'!$B$10,Paramètres!$A$1:$I$89,3,0)*VLOOKUP('Données projet'!$B$10,Paramètres!$A$1:$I$89,5,0)</f>
        <v>98.395440000000036</v>
      </c>
      <c r="AK39" s="13">
        <f t="shared" si="35"/>
        <v>26.57937412584554</v>
      </c>
      <c r="AL39" s="20">
        <f t="shared" si="4"/>
        <v>217.66446793584771</v>
      </c>
      <c r="AM39" s="59">
        <f t="shared" si="5"/>
        <v>497.81615419426032</v>
      </c>
      <c r="AN39" s="59">
        <f ca="1">AVERAGE(OFFSET($AM$3,0,0,'Données projet'!$E$10+1,1))-AVERAGE(OFFSET($H$3,0,0,'Données projet'!$E$10+1,1))</f>
        <v>399.5572791581468</v>
      </c>
      <c r="AO39" s="59">
        <f t="shared" si="36"/>
        <v>246.34185986079777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66.405005343203442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11.5</v>
      </c>
      <c r="BD39" s="12">
        <f>IF('Données projet'!$A$88&gt;35,BD38+BC39-BL38,IF(A39&lt;'Données projet'!$A$88,$BA$205^A39,IF(A39='Données projet'!$A$88,'Données projet'!$B$88,BD38+BC39-BL38)))</f>
        <v>176.49999999999994</v>
      </c>
      <c r="BE39" s="13">
        <f>BD39*VLOOKUP('Données projet'!$B$11,Paramètres!$A$1:$I$89,3,0)*VLOOKUP('Données projet'!$B$11,Paramètres!$A$1:$I$89,5,0)</f>
        <v>137.66999999999996</v>
      </c>
      <c r="BF39" s="13">
        <f t="shared" si="37"/>
        <v>35.762714965854656</v>
      </c>
      <c r="BG39" s="20">
        <f t="shared" si="7"/>
        <v>302.06197856553007</v>
      </c>
      <c r="BH39" s="59">
        <f t="shared" si="8"/>
        <v>582.21366482394274</v>
      </c>
      <c r="BI39" s="59">
        <f ca="1">AVERAGE(OFFSET($BH$3,0,0,'Données projet'!$E$11+1,1))-AVERAGE(OFFSET($H$3,0,0,'Données projet'!$E$11+1,1))</f>
        <v>294.23449029791681</v>
      </c>
      <c r="BJ39" s="59">
        <f t="shared" si="38"/>
        <v>288.64639202306159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5.2371047986243333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5.2371047986243333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66.405005343203442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8.4</v>
      </c>
      <c r="BY39" s="12">
        <f>IF('Données projet'!$A$114&gt;35,BY38+BX39-CG38,IF(A39&lt;'Données projet'!$A$114,$BV$205^A39,IF(A39='Données projet'!$A$114,'Données projet'!$B$114,BY38+BX39-CG38)))</f>
        <v>103.40000000000003</v>
      </c>
      <c r="BZ39" s="13">
        <f>BY39*VLOOKUP('Données projet'!$B$12,Paramètres!$A$1:$I$89,3,0)*VLOOKUP('Données projet'!$B$12,Paramètres!$A$1:$I$89,5,0)</f>
        <v>111.29976000000003</v>
      </c>
      <c r="CA39" s="13">
        <f t="shared" si="39"/>
        <v>29.637008492427388</v>
      </c>
      <c r="CB39" s="20">
        <f t="shared" si="10"/>
        <v>245.46487179097778</v>
      </c>
      <c r="CC39" s="59">
        <f t="shared" si="11"/>
        <v>525.61655804939039</v>
      </c>
      <c r="CD39" s="59">
        <f ca="1">AVERAGE(OFFSET($CC$3,0,0,'Données projet'!$E$12+1,1))-AVERAGE(OFFSET($H$3,0,0,'Données projet'!$E$12+1,1))</f>
        <v>445.38112098358147</v>
      </c>
      <c r="CE39" s="59">
        <f t="shared" si="40"/>
        <v>272.45883568548516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66.405005343203442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8.4</v>
      </c>
      <c r="CT39" s="12">
        <f>IF('Données projet'!$A$140&gt;35,CT38+CS39-DB38,IF(A39&lt;'Données projet'!$A$140,$CQ$205^A39,IF(A39='Données projet'!$A$140,'Données projet'!$B$140,CT38+CS39-DB38)))</f>
        <v>103.40000000000003</v>
      </c>
      <c r="CU39" s="17">
        <f>CT39*VLOOKUP('Données projet'!$B$13,Paramètres!$A$1:$I$89,3,0)*VLOOKUP('Données projet'!$B$13,Paramètres!$A$1:$I$89,5,0)</f>
        <v>111.29976000000003</v>
      </c>
      <c r="CV39" s="13">
        <f t="shared" si="41"/>
        <v>29.637008492427388</v>
      </c>
      <c r="CW39" s="20">
        <f t="shared" si="13"/>
        <v>245.46487179097778</v>
      </c>
      <c r="CX39" s="59">
        <f t="shared" si="14"/>
        <v>525.61655804939039</v>
      </c>
      <c r="CY39" s="59">
        <f ca="1">AVERAGE(OFFSET($CX$3,0,0,'Données projet'!$E$13+1,1))-AVERAGE(OFFSET($H$3,0,0,'Données projet'!$E$13+1,1))</f>
        <v>445.38112098358147</v>
      </c>
      <c r="CZ39" s="59">
        <f t="shared" si="42"/>
        <v>272.45883568548516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66.405005343203442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8.4</v>
      </c>
      <c r="DO39" s="12">
        <f>IF('Données projet'!$A$166&gt;35,DO38+DN39-DW38,IF(A39&lt;'Données projet'!$A$166,$DL$205^A39,IF(A39='Données projet'!$A$166,'Données projet'!$B$166,DO38+DN39-DW38)))</f>
        <v>103.40000000000003</v>
      </c>
      <c r="DP39" s="17">
        <f>DO39*VLOOKUP('Données projet'!$B$14,Paramètres!$A$1:$I$89,3,0)*VLOOKUP('Données projet'!$B$14,Paramètres!$A$1:$I$89,5,0)</f>
        <v>100.00848000000003</v>
      </c>
      <c r="DQ39" s="13">
        <f t="shared" si="43"/>
        <v>26.964017781444337</v>
      </c>
      <c r="DR39" s="20">
        <f t="shared" si="16"/>
        <v>221.14376696934895</v>
      </c>
      <c r="DS39" s="59">
        <f t="shared" si="17"/>
        <v>501.29545322776153</v>
      </c>
      <c r="DT39" s="59">
        <f ca="1">AVERAGE(OFFSET($DS$3,0,0,'Données projet'!$E$14+1,1))-AVERAGE(OFFSET($H$3,0,0,'Données projet'!$E$14+1,1))</f>
        <v>405.29179902613089</v>
      </c>
      <c r="DU39" s="59">
        <f t="shared" si="44"/>
        <v>249.61049717638238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66.405005343203442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21.354000000000003</v>
      </c>
      <c r="EJ39" s="12">
        <f>IF('Données projet'!$A$192&gt;35,EJ38+EI39-ER38,IF(A39&lt;'Données projet'!$A$192,$EG$205^A39,IF(A39='Données projet'!$A$192,'Données projet'!$B$192,EJ38+EI39-ER38)))</f>
        <v>315.76600000000008</v>
      </c>
      <c r="EK39" s="17">
        <f>EJ39*VLOOKUP('Données projet'!$B$15,Paramètres!$A$1:$I$89,3,0)*VLOOKUP('Données projet'!$B$15,Paramètres!$A$1:$I$89,5,0)</f>
        <v>188.82806800000006</v>
      </c>
      <c r="EL39" s="13">
        <f t="shared" si="45"/>
        <v>47.280762100017121</v>
      </c>
      <c r="EM39" s="20">
        <f t="shared" si="19"/>
        <v>411.22287909086322</v>
      </c>
      <c r="EN39" s="59">
        <f t="shared" si="20"/>
        <v>691.37456534927583</v>
      </c>
      <c r="EO39" s="59">
        <f ca="1">AVERAGE(OFFSET($EN$3,0,0,'Données projet'!$E$15+1,1))-AVERAGE(OFFSET($H$3,0,0,'Données projet'!$E$15+1,1))</f>
        <v>444.77624981561257</v>
      </c>
      <c r="EP39" s="59">
        <f t="shared" si="46"/>
        <v>382.10319641527587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9.1408627750007643</v>
      </c>
      <c r="EW39" s="21">
        <f>EXP(-LN(2)/25)*EW38+(1-EXP(-LN(2)/25))/(LN(2)/25)*Calculateur!ER39*Calculateur!ET39*VLOOKUP('Données projet'!$B$15,Paramètres!$A$1:$I$89,3,0)*0.475*44/12</f>
        <v>18.862732140430946</v>
      </c>
      <c r="EX39" s="21">
        <f>EXP(-LN(2)/2)*EX38+(1-EXP(-LN(2)/2))/(LN(2)/2)*ER39*EU39*VLOOKUP('Données projet'!$B$15,Paramètres!$A$1:$I$89,3,0)*0.475*44/12</f>
        <v>2.1813096776360648</v>
      </c>
      <c r="EY39" s="22">
        <f t="shared" si="21"/>
        <v>30.184904593067778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66.405005343203442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34</v>
      </c>
      <c r="FE39" s="12">
        <f>IF('Données projet'!$A$218&gt;35,FE38+FD39-FM38,IF(A39&lt;'Données projet'!$A$218,$FB$205^A39,IF(A39='Données projet'!$A$218,'Données projet'!$B$218,FE38+FD39-FM38)))</f>
        <v>445.99999999999989</v>
      </c>
      <c r="FF39" s="17">
        <f>FE39*VLOOKUP('Données projet'!$B$16,Paramètres!$A$1:$I$89,3,0)*VLOOKUP('Données projet'!$B$16,Paramètres!$A$1:$I$89,5,0)</f>
        <v>197.13199999999998</v>
      </c>
      <c r="FG39" s="13">
        <f t="shared" si="47"/>
        <v>49.113339261981388</v>
      </c>
      <c r="FH39" s="20">
        <f t="shared" si="22"/>
        <v>428.87729921461749</v>
      </c>
      <c r="FI39" s="59">
        <f t="shared" si="23"/>
        <v>709.02898547303016</v>
      </c>
      <c r="FJ39" s="59">
        <f ca="1">AVERAGE(OFFSET($FI$3,0,0,'Données projet'!$E$16+1,1))-AVERAGE(OFFSET($H$3,0,0,'Données projet'!$E$16+1,1))</f>
        <v>508.71179785154317</v>
      </c>
      <c r="FK39" s="59">
        <f t="shared" si="48"/>
        <v>422.73937290731442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47.171509916234555</v>
      </c>
      <c r="FS39" s="21">
        <f>EXP(-LN(2)/2)*FS38+(1-EXP(-LN(2)/2))/(LN(2)/2)*FM39*FP39*VLOOKUP('Données projet'!$B$16,Paramètres!$A$1:$I$89,3,0)*0.475*44/12</f>
        <v>15.86344020391325</v>
      </c>
      <c r="FT39" s="22">
        <f t="shared" si="24"/>
        <v>63.034950120147805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66.405005343203442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66.405005343203442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1.35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4.95</v>
      </c>
      <c r="H40" s="67">
        <f t="shared" si="1"/>
        <v>236.86666666666665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66.46737046329487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11.2</v>
      </c>
      <c r="N40" s="13">
        <f>IF('Données projet'!$A$36&gt;35,N39+M40-V39,IF(A40&lt;'Données projet'!$A$36,$K$205^A40,IF(A40='Données projet'!$A$36,'Données projet'!$B$36,N39+M40-V39)))</f>
        <v>141.39999999999998</v>
      </c>
      <c r="O40" s="13">
        <f>N40*VLOOKUP('Données projet'!$B$9,Paramètres!$A$1:$I$89,3,0)*VLOOKUP('Données projet'!$B$9,Paramètres!$A$1:$I$89,5,0)</f>
        <v>127.93871999999999</v>
      </c>
      <c r="P40" s="13">
        <f t="shared" si="33"/>
        <v>33.519615889545641</v>
      </c>
      <c r="Q40" s="20">
        <f t="shared" si="53"/>
        <v>281.2066016742919</v>
      </c>
      <c r="R40" s="59">
        <f t="shared" si="0"/>
        <v>561.58696003970636</v>
      </c>
      <c r="S40" s="59">
        <f ca="1">AVERAGE(OFFSET($R$3,0,0,'Données projet'!$E$9+1,1))-AVERAGE(OFFSET($H$3,0,0,'Données projet'!$E$9+1,1))</f>
        <v>466.90449882701591</v>
      </c>
      <c r="T40" s="59">
        <f t="shared" si="34"/>
        <v>283.37641704892053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66.46737046329487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8.4</v>
      </c>
      <c r="AI40" s="13">
        <f>IF('Données projet'!$A$62&gt;35,AI39+AH40-AQ39,IF(A40&lt;'Données projet'!$A$62,$AF$205^A40,IF(A40='Données projet'!$A$62,'Données projet'!$B$62,AI39+AH40-AQ39)))</f>
        <v>111.80000000000004</v>
      </c>
      <c r="AJ40" s="13">
        <f>AI40*VLOOKUP('Données projet'!$B$10,Paramètres!$A$1:$I$89,3,0)*VLOOKUP('Données projet'!$B$10,Paramètres!$A$1:$I$89,5,0)</f>
        <v>106.38888000000004</v>
      </c>
      <c r="AK40" s="13">
        <f t="shared" si="35"/>
        <v>28.478530760975403</v>
      </c>
      <c r="AL40" s="20">
        <f t="shared" si="4"/>
        <v>234.89407374203225</v>
      </c>
      <c r="AM40" s="59">
        <f t="shared" si="5"/>
        <v>515.27443210744673</v>
      </c>
      <c r="AN40" s="59">
        <f ca="1">AVERAGE(OFFSET($AM$3,0,0,'Données projet'!$E$10+1,1))-AVERAGE(OFFSET($H$3,0,0,'Données projet'!$E$10+1,1))</f>
        <v>399.5572791581468</v>
      </c>
      <c r="AO40" s="59">
        <f t="shared" si="36"/>
        <v>246.34185986079777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66.46737046329487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>
        <f>VLOOKUP(A40,'Données projet'!$A$87:$I$107,2,0)</f>
        <v>188</v>
      </c>
      <c r="BB40" s="12">
        <f>VLOOKUP(A40,'Données projet'!$A$87:$I$107,9,0)</f>
        <v>11.5</v>
      </c>
      <c r="BC40" s="12">
        <f t="array" ref="BC40">INDEX(BB:BB,MIN(IF(ISNUMBER(BB40:BB236),ROW(BB40:BB236),"")))</f>
        <v>11.5</v>
      </c>
      <c r="BD40" s="12">
        <f>IF('Données projet'!$A$88&gt;35,BD39+BC40-BL39,IF(A40&lt;'Données projet'!$A$88,$BA$205^A40,IF(A40='Données projet'!$A$88,'Données projet'!$B$88,BD39+BC40-BL39)))</f>
        <v>187.99999999999994</v>
      </c>
      <c r="BE40" s="13">
        <f>BD40*VLOOKUP('Données projet'!$B$11,Paramètres!$A$1:$I$89,3,0)*VLOOKUP('Données projet'!$B$11,Paramètres!$A$1:$I$89,5,0)</f>
        <v>146.63999999999996</v>
      </c>
      <c r="BF40" s="13">
        <f t="shared" si="37"/>
        <v>37.814009712703026</v>
      </c>
      <c r="BG40" s="20">
        <f t="shared" si="7"/>
        <v>321.25740024962437</v>
      </c>
      <c r="BH40" s="59">
        <f t="shared" si="8"/>
        <v>601.63775861503882</v>
      </c>
      <c r="BI40" s="59">
        <f ca="1">AVERAGE(OFFSET($BH$3,0,0,'Données projet'!$E$11+1,1))-AVERAGE(OFFSET($H$3,0,0,'Données projet'!$E$11+1,1))</f>
        <v>294.23449029791681</v>
      </c>
      <c r="BJ40" s="59">
        <f t="shared" si="38"/>
        <v>288.64639202306159</v>
      </c>
      <c r="BK40" s="15">
        <f>IF(ISNA(VLOOKUP(A40,'Données projet'!$A$87:$I$107,3,0)),0,VLOOKUP(A40,'Données projet'!$A$87:$I$107,3,0))</f>
        <v>5</v>
      </c>
      <c r="BL40" s="15">
        <f>IF(ISNA(VLOOKUP(A40,'Données projet'!$A$87:$I$107,4,0)),0,VLOOKUP(A40,'Données projet'!$A$87:$I$107,4,0))</f>
        <v>36</v>
      </c>
      <c r="BM40" s="16">
        <f>IF(ISNA(VLOOKUP(A40,'Données projet'!$A$87:$I$107,5,0)),0%,VLOOKUP(A40,'Données projet'!$A$87:$I$107,5,0)*VLOOKUP('Données projet'!$B$11,Paramètres!$A$1:$I$89,7,0))</f>
        <v>0.129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9.1387758330316196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9.1387758330316196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66.46737046329487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8.4</v>
      </c>
      <c r="BY40" s="12">
        <f>IF('Données projet'!$A$114&gt;35,BY39+BX40-CG39,IF(A40&lt;'Données projet'!$A$114,$BV$205^A40,IF(A40='Données projet'!$A$114,'Données projet'!$B$114,BY39+BX40-CG39)))</f>
        <v>111.80000000000004</v>
      </c>
      <c r="BZ40" s="13">
        <f>BY40*VLOOKUP('Données projet'!$B$12,Paramètres!$A$1:$I$89,3,0)*VLOOKUP('Données projet'!$B$12,Paramètres!$A$1:$I$89,5,0)</f>
        <v>120.34152000000005</v>
      </c>
      <c r="CA40" s="13">
        <f t="shared" si="39"/>
        <v>31.754640046026051</v>
      </c>
      <c r="CB40" s="20">
        <f t="shared" si="10"/>
        <v>264.9008120801621</v>
      </c>
      <c r="CC40" s="59">
        <f t="shared" si="11"/>
        <v>545.28117044557666</v>
      </c>
      <c r="CD40" s="59">
        <f ca="1">AVERAGE(OFFSET($CC$3,0,0,'Données projet'!$E$12+1,1))-AVERAGE(OFFSET($H$3,0,0,'Données projet'!$E$12+1,1))</f>
        <v>445.38112098358147</v>
      </c>
      <c r="CE40" s="59">
        <f t="shared" si="40"/>
        <v>272.45883568548516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66.46737046329487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8.4</v>
      </c>
      <c r="CT40" s="12">
        <f>IF('Données projet'!$A$140&gt;35,CT39+CS40-DB39,IF(A40&lt;'Données projet'!$A$140,$CQ$205^A40,IF(A40='Données projet'!$A$140,'Données projet'!$B$140,CT39+CS40-DB39)))</f>
        <v>111.80000000000004</v>
      </c>
      <c r="CU40" s="17">
        <f>CT40*VLOOKUP('Données projet'!$B$13,Paramètres!$A$1:$I$89,3,0)*VLOOKUP('Données projet'!$B$13,Paramètres!$A$1:$I$89,5,0)</f>
        <v>120.34152000000005</v>
      </c>
      <c r="CV40" s="13">
        <f t="shared" si="41"/>
        <v>31.754640046026051</v>
      </c>
      <c r="CW40" s="20">
        <f t="shared" si="13"/>
        <v>264.9008120801621</v>
      </c>
      <c r="CX40" s="59">
        <f t="shared" si="14"/>
        <v>545.28117044557666</v>
      </c>
      <c r="CY40" s="59">
        <f ca="1">AVERAGE(OFFSET($CX$3,0,0,'Données projet'!$E$13+1,1))-AVERAGE(OFFSET($H$3,0,0,'Données projet'!$E$13+1,1))</f>
        <v>445.38112098358147</v>
      </c>
      <c r="CZ40" s="59">
        <f t="shared" si="42"/>
        <v>272.45883568548516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66.46737046329487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8.4</v>
      </c>
      <c r="DO40" s="12">
        <f>IF('Données projet'!$A$166&gt;35,DO39+DN40-DW39,IF(A40&lt;'Données projet'!$A$166,$DL$205^A40,IF(A40='Données projet'!$A$166,'Données projet'!$B$166,DO39+DN40-DW39)))</f>
        <v>111.80000000000004</v>
      </c>
      <c r="DP40" s="17">
        <f>DO40*VLOOKUP('Données projet'!$B$14,Paramètres!$A$1:$I$89,3,0)*VLOOKUP('Données projet'!$B$14,Paramètres!$A$1:$I$89,5,0)</f>
        <v>108.13296000000005</v>
      </c>
      <c r="DQ40" s="13">
        <f t="shared" si="43"/>
        <v>28.890658079177882</v>
      </c>
      <c r="DR40" s="20">
        <f t="shared" si="16"/>
        <v>238.64946815456824</v>
      </c>
      <c r="DS40" s="59">
        <f t="shared" si="17"/>
        <v>519.02982651998275</v>
      </c>
      <c r="DT40" s="59">
        <f ca="1">AVERAGE(OFFSET($DS$3,0,0,'Données projet'!$E$14+1,1))-AVERAGE(OFFSET($H$3,0,0,'Données projet'!$E$14+1,1))</f>
        <v>405.29179902613089</v>
      </c>
      <c r="DU40" s="59">
        <f t="shared" si="44"/>
        <v>249.61049717638238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66.46737046329487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>
        <f>VLOOKUP(A40,'Données projet'!$A$191:$I$211,2,0)</f>
        <v>337.12</v>
      </c>
      <c r="EH40" s="12">
        <f>VLOOKUP(A40,'Données projet'!$A$191:$I$211,9,0)</f>
        <v>21.354000000000003</v>
      </c>
      <c r="EI40" s="12">
        <f t="array" ref="EI40">INDEX(EH:EH,MIN(IF(ISNUMBER(EH40:EH236),ROW(EH40:EH236),"")))</f>
        <v>21.354000000000003</v>
      </c>
      <c r="EJ40" s="12">
        <f>IF('Données projet'!$A$192&gt;35,EJ39+EI40-ER39,IF(A40&lt;'Données projet'!$A$192,$EG$205^A40,IF(A40='Données projet'!$A$192,'Données projet'!$B$192,EJ39+EI40-ER39)))</f>
        <v>337.12000000000006</v>
      </c>
      <c r="EK40" s="17">
        <f>EJ40*VLOOKUP('Données projet'!$B$15,Paramètres!$A$1:$I$89,3,0)*VLOOKUP('Données projet'!$B$15,Paramètres!$A$1:$I$89,5,0)</f>
        <v>201.59776000000005</v>
      </c>
      <c r="EL40" s="13">
        <f t="shared" si="45"/>
        <v>50.095144235751</v>
      </c>
      <c r="EM40" s="20">
        <f t="shared" si="19"/>
        <v>438.36514154393308</v>
      </c>
      <c r="EN40" s="59">
        <f t="shared" si="20"/>
        <v>718.74549990934759</v>
      </c>
      <c r="EO40" s="59">
        <f ca="1">AVERAGE(OFFSET($EN$3,0,0,'Données projet'!$E$15+1,1))-AVERAGE(OFFSET($H$3,0,0,'Données projet'!$E$15+1,1))</f>
        <v>444.77624981561257</v>
      </c>
      <c r="EP40" s="59">
        <f t="shared" si="46"/>
        <v>382.10319641527587</v>
      </c>
      <c r="EQ40" s="15">
        <f>IF(ISNA(VLOOKUP(A40,'Données projet'!$A$191:$I$211,3,0)),0,VLOOKUP(A40,'Données projet'!$A$191:$I$211,3,0))</f>
        <v>6</v>
      </c>
      <c r="ER40" s="15">
        <f>IF(ISNA(VLOOKUP(A40,'Données projet'!$A$191:$I$211,4,0)),0,VLOOKUP(A40,'Données projet'!$A$191:$I$211,4,0))</f>
        <v>55</v>
      </c>
      <c r="ES40" s="16">
        <f>IF(ISNA(VLOOKUP(A40,'Données projet'!$A$191:$I$211,5,0)),0%,VLOOKUP(A40,'Données projet'!$A$191:$I$211,5,0)*VLOOKUP('Données projet'!$B$15,Paramètres!$A$1:$I$89,7,0))</f>
        <v>9.0000000000000011E-2</v>
      </c>
      <c r="ET40" s="16">
        <f>IF(ISNA(VLOOKUP(A40,'Données projet'!$A$191:$I$211,6,0)),0%,VLOOKUP(A40,'Données projet'!$A$191:$I$211,6,0)*VLOOKUP('Données projet'!$B$15,Paramètres!$A$1:$I$89,7,0))</f>
        <v>0.20250000000000001</v>
      </c>
      <c r="EU40" s="16">
        <f>IF(ISNA(VLOOKUP(A40,'Données projet'!$A$191:$I$211,7,0)),0%,VLOOKUP(A40,'Données projet'!$A$191:$I$211,7,0))</f>
        <v>0.35</v>
      </c>
      <c r="EV40" s="21">
        <f>EXP(-LN(2)/35)*EV39+(1-EXP(-LN(2)/35))/(LN(2)/35)*ER40*ES40*VLOOKUP('Données projet'!$B$15,Paramètres!$A$1:$I$89,3,0)*0.475*44/12</f>
        <v>12.888379475905353</v>
      </c>
      <c r="EW40" s="21">
        <f>EXP(-LN(2)/25)*EW39+(1-EXP(-LN(2)/25))/(LN(2)/25)*Calculateur!ER40*Calculateur!ET40*VLOOKUP('Données projet'!$B$15,Paramètres!$A$1:$I$89,3,0)*0.475*44/12</f>
        <v>27.147359869568156</v>
      </c>
      <c r="EX40" s="21">
        <f>EXP(-LN(2)/2)*EX39+(1-EXP(-LN(2)/2))/(LN(2)/2)*ER40*EU40*VLOOKUP('Données projet'!$B$15,Paramètres!$A$1:$I$89,3,0)*0.475*44/12</f>
        <v>14.576110957900216</v>
      </c>
      <c r="EY40" s="22">
        <f t="shared" si="21"/>
        <v>54.611850303373728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66.46737046329487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34</v>
      </c>
      <c r="FE40" s="12">
        <f>IF('Données projet'!$A$218&gt;35,FE39+FD40-FM39,IF(A40&lt;'Données projet'!$A$218,$FB$205^A40,IF(A40='Données projet'!$A$218,'Données projet'!$B$218,FE39+FD40-FM39)))</f>
        <v>479.99999999999989</v>
      </c>
      <c r="FF40" s="17">
        <f>FE40*VLOOKUP('Données projet'!$B$16,Paramètres!$A$1:$I$89,3,0)*VLOOKUP('Données projet'!$B$16,Paramètres!$A$1:$I$89,5,0)</f>
        <v>212.15999999999997</v>
      </c>
      <c r="FG40" s="13">
        <f t="shared" si="47"/>
        <v>52.407318557535369</v>
      </c>
      <c r="FH40" s="20">
        <f t="shared" si="22"/>
        <v>460.78807982104064</v>
      </c>
      <c r="FI40" s="59">
        <f t="shared" si="23"/>
        <v>741.16843818645521</v>
      </c>
      <c r="FJ40" s="59">
        <f ca="1">AVERAGE(OFFSET($FI$3,0,0,'Données projet'!$E$16+1,1))-AVERAGE(OFFSET($H$3,0,0,'Données projet'!$E$16+1,1))</f>
        <v>508.71179785154317</v>
      </c>
      <c r="FK40" s="59">
        <f t="shared" si="48"/>
        <v>422.73937290731442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45.881602496933226</v>
      </c>
      <c r="FS40" s="21">
        <f>EXP(-LN(2)/2)*FS39+(1-EXP(-LN(2)/2))/(LN(2)/2)*FM40*FP40*VLOOKUP('Données projet'!$B$16,Paramètres!$A$1:$I$89,3,0)*0.475*44/12</f>
        <v>11.217146141134368</v>
      </c>
      <c r="FT40" s="22">
        <f t="shared" si="24"/>
        <v>57.09874863806759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66.46737046329487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66.46737046329487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1.35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4.95</v>
      </c>
      <c r="H41" s="67">
        <f t="shared" si="1"/>
        <v>236.86666666666665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66.528653687980238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11.2</v>
      </c>
      <c r="N41" s="13">
        <f>IF('Données projet'!$A$36&gt;35,N40+M41-V40,IF(A41&lt;'Données projet'!$A$36,$K$205^A41,IF(A41='Données projet'!$A$36,'Données projet'!$B$36,N40+M41-V40)))</f>
        <v>152.59999999999997</v>
      </c>
      <c r="O41" s="13">
        <f>N41*VLOOKUP('Données projet'!$B$9,Paramètres!$A$1:$I$89,3,0)*VLOOKUP('Données projet'!$B$9,Paramètres!$A$1:$I$89,5,0)</f>
        <v>138.07247999999996</v>
      </c>
      <c r="P41" s="13">
        <f t="shared" si="33"/>
        <v>35.855082076777961</v>
      </c>
      <c r="Q41" s="20">
        <f t="shared" si="53"/>
        <v>302.92383728372153</v>
      </c>
      <c r="R41" s="59">
        <f t="shared" si="0"/>
        <v>583.52890080631573</v>
      </c>
      <c r="S41" s="59">
        <f ca="1">AVERAGE(OFFSET($R$3,0,0,'Données projet'!$E$9+1,1))-AVERAGE(OFFSET($H$3,0,0,'Données projet'!$E$9+1,1))</f>
        <v>466.90449882701591</v>
      </c>
      <c r="T41" s="59">
        <f t="shared" si="34"/>
        <v>283.37641704892053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66.528653687980238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8.4</v>
      </c>
      <c r="AI41" s="13">
        <f>IF('Données projet'!$A$62&gt;35,AI40+AH41-AQ40,IF(A41&lt;'Données projet'!$A$62,$AF$205^A41,IF(A41='Données projet'!$A$62,'Données projet'!$B$62,AI40+AH41-AQ40)))</f>
        <v>120.20000000000005</v>
      </c>
      <c r="AJ41" s="13">
        <f>AI41*VLOOKUP('Données projet'!$B$10,Paramètres!$A$1:$I$89,3,0)*VLOOKUP('Données projet'!$B$10,Paramètres!$A$1:$I$89,5,0)</f>
        <v>114.38232000000005</v>
      </c>
      <c r="AK41" s="13">
        <f t="shared" si="35"/>
        <v>30.361134085955022</v>
      </c>
      <c r="AL41" s="20">
        <f t="shared" si="4"/>
        <v>252.0948491997051</v>
      </c>
      <c r="AM41" s="59">
        <f t="shared" si="5"/>
        <v>532.69991272229936</v>
      </c>
      <c r="AN41" s="59">
        <f ca="1">AVERAGE(OFFSET($AM$3,0,0,'Données projet'!$E$10+1,1))-AVERAGE(OFFSET($H$3,0,0,'Données projet'!$E$10+1,1))</f>
        <v>399.5572791581468</v>
      </c>
      <c r="AO41" s="59">
        <f t="shared" si="36"/>
        <v>246.34185986079777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66.528653687980238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11.142857142857142</v>
      </c>
      <c r="BD41" s="12">
        <f>IF('Données projet'!$A$88&gt;35,BD40+BC41-BL40,IF(A41&lt;'Données projet'!$A$88,$BA$205^A41,IF(A41='Données projet'!$A$88,'Données projet'!$B$88,BD40+BC41-BL40)))</f>
        <v>163.14285714285708</v>
      </c>
      <c r="BE41" s="13">
        <f>BD41*VLOOKUP('Données projet'!$B$11,Paramètres!$A$1:$I$89,3,0)*VLOOKUP('Données projet'!$B$11,Paramètres!$A$1:$I$89,5,0)</f>
        <v>127.25142857142853</v>
      </c>
      <c r="BF41" s="13">
        <f t="shared" si="37"/>
        <v>33.360457439554281</v>
      </c>
      <c r="BG41" s="20">
        <f t="shared" si="7"/>
        <v>279.73236813579501</v>
      </c>
      <c r="BH41" s="59">
        <f t="shared" si="8"/>
        <v>560.33743165838928</v>
      </c>
      <c r="BI41" s="59">
        <f ca="1">AVERAGE(OFFSET($BH$3,0,0,'Données projet'!$E$11+1,1))-AVERAGE(OFFSET($H$3,0,0,'Données projet'!$E$11+1,1))</f>
        <v>294.23449029791681</v>
      </c>
      <c r="BJ41" s="59">
        <f t="shared" si="38"/>
        <v>288.64639202306159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8.9595700130487312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8.9595700130487312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66.528653687980238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8.4</v>
      </c>
      <c r="BY41" s="12">
        <f>IF('Données projet'!$A$114&gt;35,BY40+BX41-CG40,IF(A41&lt;'Données projet'!$A$114,$BV$205^A41,IF(A41='Données projet'!$A$114,'Données projet'!$B$114,BY40+BX41-CG40)))</f>
        <v>120.20000000000005</v>
      </c>
      <c r="BZ41" s="13">
        <f>BY41*VLOOKUP('Données projet'!$B$12,Paramètres!$A$1:$I$89,3,0)*VLOOKUP('Données projet'!$B$12,Paramètres!$A$1:$I$89,5,0)</f>
        <v>129.38328000000004</v>
      </c>
      <c r="CA41" s="13">
        <f t="shared" si="39"/>
        <v>33.853814032069536</v>
      </c>
      <c r="CB41" s="20">
        <f t="shared" si="10"/>
        <v>284.30460543918787</v>
      </c>
      <c r="CC41" s="59">
        <f t="shared" si="11"/>
        <v>564.90966896178202</v>
      </c>
      <c r="CD41" s="59">
        <f ca="1">AVERAGE(OFFSET($CC$3,0,0,'Données projet'!$E$12+1,1))-AVERAGE(OFFSET($H$3,0,0,'Données projet'!$E$12+1,1))</f>
        <v>445.38112098358147</v>
      </c>
      <c r="CE41" s="59">
        <f t="shared" si="40"/>
        <v>272.45883568548516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66.528653687980238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8.4</v>
      </c>
      <c r="CT41" s="12">
        <f>IF('Données projet'!$A$140&gt;35,CT40+CS41-DB40,IF(A41&lt;'Données projet'!$A$140,$CQ$205^A41,IF(A41='Données projet'!$A$140,'Données projet'!$B$140,CT40+CS41-DB40)))</f>
        <v>120.20000000000005</v>
      </c>
      <c r="CU41" s="17">
        <f>CT41*VLOOKUP('Données projet'!$B$13,Paramètres!$A$1:$I$89,3,0)*VLOOKUP('Données projet'!$B$13,Paramètres!$A$1:$I$89,5,0)</f>
        <v>129.38328000000004</v>
      </c>
      <c r="CV41" s="13">
        <f t="shared" si="41"/>
        <v>33.853814032069536</v>
      </c>
      <c r="CW41" s="20">
        <f t="shared" si="13"/>
        <v>284.30460543918787</v>
      </c>
      <c r="CX41" s="59">
        <f t="shared" si="14"/>
        <v>564.90966896178202</v>
      </c>
      <c r="CY41" s="59">
        <f ca="1">AVERAGE(OFFSET($CX$3,0,0,'Données projet'!$E$13+1,1))-AVERAGE(OFFSET($H$3,0,0,'Données projet'!$E$13+1,1))</f>
        <v>445.38112098358147</v>
      </c>
      <c r="CZ41" s="59">
        <f t="shared" si="42"/>
        <v>272.45883568548516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66.528653687980238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8.4</v>
      </c>
      <c r="DO41" s="12">
        <f>IF('Données projet'!$A$166&gt;35,DO40+DN41-DW40,IF(A41&lt;'Données projet'!$A$166,$DL$205^A41,IF(A41='Données projet'!$A$166,'Données projet'!$B$166,DO40+DN41-DW40)))</f>
        <v>120.20000000000005</v>
      </c>
      <c r="DP41" s="17">
        <f>DO41*VLOOKUP('Données projet'!$B$14,Paramètres!$A$1:$I$89,3,0)*VLOOKUP('Données projet'!$B$14,Paramètres!$A$1:$I$89,5,0)</f>
        <v>116.25744000000005</v>
      </c>
      <c r="DQ41" s="13">
        <f t="shared" si="43"/>
        <v>30.800505515381992</v>
      </c>
      <c r="DR41" s="20">
        <f t="shared" si="16"/>
        <v>256.12592177262371</v>
      </c>
      <c r="DS41" s="59">
        <f t="shared" si="17"/>
        <v>536.73098529521792</v>
      </c>
      <c r="DT41" s="59">
        <f ca="1">AVERAGE(OFFSET($DS$3,0,0,'Données projet'!$E$14+1,1))-AVERAGE(OFFSET($H$3,0,0,'Données projet'!$E$14+1,1))</f>
        <v>405.29179902613089</v>
      </c>
      <c r="DU41" s="59">
        <f t="shared" si="44"/>
        <v>249.61049717638238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66.528653687980238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20.269999999999996</v>
      </c>
      <c r="EJ41" s="12">
        <f>IF('Données projet'!$A$192&gt;35,EJ40+EI41-ER40,IF(A41&lt;'Données projet'!$A$192,$EG$205^A41,IF(A41='Données projet'!$A$192,'Données projet'!$B$192,EJ40+EI41-ER40)))</f>
        <v>302.39000000000004</v>
      </c>
      <c r="EK41" s="17">
        <f>EJ41*VLOOKUP('Données projet'!$B$15,Paramètres!$A$1:$I$89,3,0)*VLOOKUP('Données projet'!$B$15,Paramètres!$A$1:$I$89,5,0)</f>
        <v>180.82922000000005</v>
      </c>
      <c r="EL41" s="13">
        <f t="shared" si="45"/>
        <v>45.506622960271066</v>
      </c>
      <c r="EM41" s="20">
        <f t="shared" si="19"/>
        <v>394.20159315580548</v>
      </c>
      <c r="EN41" s="59">
        <f t="shared" si="20"/>
        <v>674.80665667839969</v>
      </c>
      <c r="EO41" s="59">
        <f ca="1">AVERAGE(OFFSET($EN$3,0,0,'Données projet'!$E$15+1,1))-AVERAGE(OFFSET($H$3,0,0,'Données projet'!$E$15+1,1))</f>
        <v>444.77624981561257</v>
      </c>
      <c r="EP41" s="59">
        <f t="shared" si="46"/>
        <v>382.10319641527587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12.635646215518106</v>
      </c>
      <c r="EW41" s="21">
        <f>EXP(-LN(2)/25)*EW40+(1-EXP(-LN(2)/25))/(LN(2)/25)*Calculateur!ER41*Calculateur!ET41*VLOOKUP('Données projet'!$B$15,Paramètres!$A$1:$I$89,3,0)*0.475*44/12</f>
        <v>26.405013886317207</v>
      </c>
      <c r="EX41" s="21">
        <f>EXP(-LN(2)/2)*EX40+(1-EXP(-LN(2)/2))/(LN(2)/2)*ER41*EU41*VLOOKUP('Données projet'!$B$15,Paramètres!$A$1:$I$89,3,0)*0.475*44/12</f>
        <v>10.306866901658786</v>
      </c>
      <c r="EY41" s="22">
        <f t="shared" si="21"/>
        <v>49.3475270034941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66.528653687980238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34</v>
      </c>
      <c r="FE41" s="12">
        <f>IF('Données projet'!$A$218&gt;35,FE40+FD41-FM40,IF(A41&lt;'Données projet'!$A$218,$FB$205^A41,IF(A41='Données projet'!$A$218,'Données projet'!$B$218,FE40+FD41-FM40)))</f>
        <v>513.99999999999989</v>
      </c>
      <c r="FF41" s="17">
        <f>FE41*VLOOKUP('Données projet'!$B$16,Paramètres!$A$1:$I$89,3,0)*VLOOKUP('Données projet'!$B$16,Paramètres!$A$1:$I$89,5,0)</f>
        <v>227.18799999999996</v>
      </c>
      <c r="FG41" s="13">
        <f t="shared" si="47"/>
        <v>55.674226763576875</v>
      </c>
      <c r="FH41" s="20">
        <f t="shared" si="22"/>
        <v>492.65171161322957</v>
      </c>
      <c r="FI41" s="59">
        <f t="shared" si="23"/>
        <v>773.25677513582377</v>
      </c>
      <c r="FJ41" s="59">
        <f ca="1">AVERAGE(OFFSET($FI$3,0,0,'Données projet'!$E$16+1,1))-AVERAGE(OFFSET($H$3,0,0,'Données projet'!$E$16+1,1))</f>
        <v>508.71179785154317</v>
      </c>
      <c r="FK41" s="59">
        <f t="shared" si="48"/>
        <v>422.73937290731442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44.626967663845974</v>
      </c>
      <c r="FS41" s="21">
        <f>EXP(-LN(2)/2)*FS40+(1-EXP(-LN(2)/2))/(LN(2)/2)*FM41*FP41*VLOOKUP('Données projet'!$B$16,Paramètres!$A$1:$I$89,3,0)*0.475*44/12</f>
        <v>7.9317201019566257</v>
      </c>
      <c r="FT41" s="22">
        <f t="shared" si="24"/>
        <v>52.558687765802603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66.528653687980238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66.528653687980238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1.35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4.95</v>
      </c>
      <c r="H42" s="67">
        <f t="shared" si="1"/>
        <v>236.86666666666665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66.588873785726079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11.2</v>
      </c>
      <c r="N42" s="13">
        <f>IF('Données projet'!$A$36&gt;35,N41+M42-V41,IF(A42&lt;'Données projet'!$A$36,$K$205^A42,IF(A42='Données projet'!$A$36,'Données projet'!$B$36,N41+M42-V41)))</f>
        <v>163.79999999999995</v>
      </c>
      <c r="O42" s="13">
        <f>N42*VLOOKUP('Données projet'!$B$9,Paramètres!$A$1:$I$89,3,0)*VLOOKUP('Données projet'!$B$9,Paramètres!$A$1:$I$89,5,0)</f>
        <v>148.20623999999995</v>
      </c>
      <c r="P42" s="13">
        <f t="shared" si="33"/>
        <v>38.170662245893794</v>
      </c>
      <c r="Q42" s="20">
        <f t="shared" si="53"/>
        <v>324.60643807826494</v>
      </c>
      <c r="R42" s="59">
        <f t="shared" si="0"/>
        <v>605.43230862592725</v>
      </c>
      <c r="S42" s="59">
        <f ca="1">AVERAGE(OFFSET($R$3,0,0,'Données projet'!$E$9+1,1))-AVERAGE(OFFSET($H$3,0,0,'Données projet'!$E$9+1,1))</f>
        <v>466.90449882701591</v>
      </c>
      <c r="T42" s="59">
        <f t="shared" si="34"/>
        <v>283.37641704892053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66.588873785726079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8.4</v>
      </c>
      <c r="AI42" s="13">
        <f>IF('Données projet'!$A$62&gt;35,AI41+AH42-AQ41,IF(A42&lt;'Données projet'!$A$62,$AF$205^A42,IF(A42='Données projet'!$A$62,'Données projet'!$B$62,AI41+AH42-AQ41)))</f>
        <v>128.60000000000005</v>
      </c>
      <c r="AJ42" s="13">
        <f>AI42*VLOOKUP('Données projet'!$B$10,Paramètres!$A$1:$I$89,3,0)*VLOOKUP('Données projet'!$B$10,Paramètres!$A$1:$I$89,5,0)</f>
        <v>122.37576000000004</v>
      </c>
      <c r="AK42" s="13">
        <f t="shared" si="35"/>
        <v>32.22847248868726</v>
      </c>
      <c r="AL42" s="20">
        <f t="shared" si="4"/>
        <v>269.26903825113038</v>
      </c>
      <c r="AM42" s="59">
        <f t="shared" si="5"/>
        <v>550.09490879879263</v>
      </c>
      <c r="AN42" s="59">
        <f ca="1">AVERAGE(OFFSET($AM$3,0,0,'Données projet'!$E$10+1,1))-AVERAGE(OFFSET($H$3,0,0,'Données projet'!$E$10+1,1))</f>
        <v>399.5572791581468</v>
      </c>
      <c r="AO42" s="59">
        <f t="shared" si="36"/>
        <v>246.34185986079777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66.588873785726079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11.142857142857142</v>
      </c>
      <c r="BD42" s="12">
        <f>IF('Données projet'!$A$88&gt;35,BD41+BC42-BL41,IF(A42&lt;'Données projet'!$A$88,$BA$205^A42,IF(A42='Données projet'!$A$88,'Données projet'!$B$88,BD41+BC42-BL41)))</f>
        <v>174.28571428571422</v>
      </c>
      <c r="BE42" s="13">
        <f>BD42*VLOOKUP('Données projet'!$B$11,Paramètres!$A$1:$I$89,3,0)*VLOOKUP('Données projet'!$B$11,Paramètres!$A$1:$I$89,5,0)</f>
        <v>135.94285714285709</v>
      </c>
      <c r="BF42" s="13">
        <f t="shared" si="37"/>
        <v>35.365986273808367</v>
      </c>
      <c r="BG42" s="20">
        <f t="shared" si="7"/>
        <v>298.36290228402567</v>
      </c>
      <c r="BH42" s="59">
        <f t="shared" si="8"/>
        <v>579.18877283168797</v>
      </c>
      <c r="BI42" s="59">
        <f ca="1">AVERAGE(OFFSET($BH$3,0,0,'Données projet'!$E$11+1,1))-AVERAGE(OFFSET($H$3,0,0,'Données projet'!$E$11+1,1))</f>
        <v>294.23449029791681</v>
      </c>
      <c r="BJ42" s="59">
        <f t="shared" si="38"/>
        <v>288.64639202306159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8.7838783098909499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8.7838783098909499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66.588873785726079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8.4</v>
      </c>
      <c r="BY42" s="12">
        <f>IF('Données projet'!$A$114&gt;35,BY41+BX42-CG41,IF(A42&lt;'Données projet'!$A$114,$BV$205^A42,IF(A42='Données projet'!$A$114,'Données projet'!$B$114,BY41+BX42-CG41)))</f>
        <v>128.60000000000005</v>
      </c>
      <c r="BZ42" s="13">
        <f>BY42*VLOOKUP('Données projet'!$B$12,Paramètres!$A$1:$I$89,3,0)*VLOOKUP('Données projet'!$B$12,Paramètres!$A$1:$I$89,5,0)</f>
        <v>138.42504000000005</v>
      </c>
      <c r="CA42" s="13">
        <f t="shared" si="39"/>
        <v>35.935967051850263</v>
      </c>
      <c r="CB42" s="20">
        <f t="shared" si="10"/>
        <v>303.67875394863933</v>
      </c>
      <c r="CC42" s="59">
        <f t="shared" si="11"/>
        <v>584.50462449630163</v>
      </c>
      <c r="CD42" s="59">
        <f ca="1">AVERAGE(OFFSET($CC$3,0,0,'Données projet'!$E$12+1,1))-AVERAGE(OFFSET($H$3,0,0,'Données projet'!$E$12+1,1))</f>
        <v>445.38112098358147</v>
      </c>
      <c r="CE42" s="59">
        <f t="shared" si="40"/>
        <v>272.45883568548516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66.588873785726079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8.4</v>
      </c>
      <c r="CT42" s="12">
        <f>IF('Données projet'!$A$140&gt;35,CT41+CS42-DB41,IF(A42&lt;'Données projet'!$A$140,$CQ$205^A42,IF(A42='Données projet'!$A$140,'Données projet'!$B$140,CT41+CS42-DB41)))</f>
        <v>128.60000000000005</v>
      </c>
      <c r="CU42" s="17">
        <f>CT42*VLOOKUP('Données projet'!$B$13,Paramètres!$A$1:$I$89,3,0)*VLOOKUP('Données projet'!$B$13,Paramètres!$A$1:$I$89,5,0)</f>
        <v>138.42504000000005</v>
      </c>
      <c r="CV42" s="13">
        <f t="shared" si="41"/>
        <v>35.935967051850263</v>
      </c>
      <c r="CW42" s="20">
        <f t="shared" si="13"/>
        <v>303.67875394863933</v>
      </c>
      <c r="CX42" s="59">
        <f t="shared" si="14"/>
        <v>584.50462449630163</v>
      </c>
      <c r="CY42" s="59">
        <f ca="1">AVERAGE(OFFSET($CX$3,0,0,'Données projet'!$E$13+1,1))-AVERAGE(OFFSET($H$3,0,0,'Données projet'!$E$13+1,1))</f>
        <v>445.38112098358147</v>
      </c>
      <c r="CZ42" s="59">
        <f t="shared" si="42"/>
        <v>272.45883568548516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66.588873785726079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8.4</v>
      </c>
      <c r="DO42" s="12">
        <f>IF('Données projet'!$A$166&gt;35,DO41+DN42-DW41,IF(A42&lt;'Données projet'!$A$166,$DL$205^A42,IF(A42='Données projet'!$A$166,'Données projet'!$B$166,DO41+DN42-DW41)))</f>
        <v>128.60000000000005</v>
      </c>
      <c r="DP42" s="17">
        <f>DO42*VLOOKUP('Données projet'!$B$14,Paramètres!$A$1:$I$89,3,0)*VLOOKUP('Données projet'!$B$14,Paramètres!$A$1:$I$89,5,0)</f>
        <v>124.38192000000005</v>
      </c>
      <c r="DQ42" s="13">
        <f t="shared" si="43"/>
        <v>32.694867122876921</v>
      </c>
      <c r="DR42" s="20">
        <f t="shared" si="16"/>
        <v>273.57540423901071</v>
      </c>
      <c r="DS42" s="59">
        <f t="shared" si="17"/>
        <v>554.40127478667296</v>
      </c>
      <c r="DT42" s="59">
        <f ca="1">AVERAGE(OFFSET($DS$3,0,0,'Données projet'!$E$14+1,1))-AVERAGE(OFFSET($H$3,0,0,'Données projet'!$E$14+1,1))</f>
        <v>405.29179902613089</v>
      </c>
      <c r="DU42" s="59">
        <f t="shared" si="44"/>
        <v>249.61049717638238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66.588873785726079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20.269999999999996</v>
      </c>
      <c r="EJ42" s="12">
        <f>IF('Données projet'!$A$192&gt;35,EJ41+EI42-ER41,IF(A42&lt;'Données projet'!$A$192,$EG$205^A42,IF(A42='Données projet'!$A$192,'Données projet'!$B$192,EJ41+EI42-ER41)))</f>
        <v>322.66000000000003</v>
      </c>
      <c r="EK42" s="17">
        <f>EJ42*VLOOKUP('Données projet'!$B$15,Paramètres!$A$1:$I$89,3,0)*VLOOKUP('Données projet'!$B$15,Paramètres!$A$1:$I$89,5,0)</f>
        <v>192.95068000000003</v>
      </c>
      <c r="EL42" s="13">
        <f t="shared" si="45"/>
        <v>48.191720061592335</v>
      </c>
      <c r="EM42" s="20">
        <f t="shared" si="19"/>
        <v>419.98968010727327</v>
      </c>
      <c r="EN42" s="59">
        <f t="shared" si="20"/>
        <v>700.81555065493558</v>
      </c>
      <c r="EO42" s="59">
        <f ca="1">AVERAGE(OFFSET($EN$3,0,0,'Données projet'!$E$15+1,1))-AVERAGE(OFFSET($H$3,0,0,'Données projet'!$E$15+1,1))</f>
        <v>444.77624981561257</v>
      </c>
      <c r="EP42" s="59">
        <f t="shared" si="46"/>
        <v>382.10319641527587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12.387868900214986</v>
      </c>
      <c r="EW42" s="21">
        <f>EXP(-LN(2)/25)*EW41+(1-EXP(-LN(2)/25))/(LN(2)/25)*Calculateur!ER42*Calculateur!ET42*VLOOKUP('Données projet'!$B$15,Paramètres!$A$1:$I$89,3,0)*0.475*44/12</f>
        <v>25.682967393016533</v>
      </c>
      <c r="EX42" s="21">
        <f>EXP(-LN(2)/2)*EX41+(1-EXP(-LN(2)/2))/(LN(2)/2)*ER42*EU42*VLOOKUP('Données projet'!$B$15,Paramètres!$A$1:$I$89,3,0)*0.475*44/12</f>
        <v>7.2880554789501089</v>
      </c>
      <c r="EY42" s="22">
        <f t="shared" si="21"/>
        <v>45.358891772181629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66.588873785726079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34</v>
      </c>
      <c r="FE42" s="12">
        <f>IF('Données projet'!$A$218&gt;35,FE41+FD42-FM41,IF(A42&lt;'Données projet'!$A$218,$FB$205^A42,IF(A42='Données projet'!$A$218,'Données projet'!$B$218,FE41+FD42-FM41)))</f>
        <v>547.99999999999989</v>
      </c>
      <c r="FF42" s="17">
        <f>FE42*VLOOKUP('Données projet'!$B$16,Paramètres!$A$1:$I$89,3,0)*VLOOKUP('Données projet'!$B$16,Paramètres!$A$1:$I$89,5,0)</f>
        <v>242.21599999999995</v>
      </c>
      <c r="FG42" s="13">
        <f t="shared" si="47"/>
        <v>58.916058339548016</v>
      </c>
      <c r="FH42" s="20">
        <f t="shared" si="22"/>
        <v>524.47166827471267</v>
      </c>
      <c r="FI42" s="59">
        <f t="shared" si="23"/>
        <v>805.29753882237492</v>
      </c>
      <c r="FJ42" s="59">
        <f ca="1">AVERAGE(OFFSET($FI$3,0,0,'Données projet'!$E$16+1,1))-AVERAGE(OFFSET($H$3,0,0,'Données projet'!$E$16+1,1))</f>
        <v>508.71179785154317</v>
      </c>
      <c r="FK42" s="59">
        <f t="shared" si="48"/>
        <v>422.73937290731442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43.406640886247871</v>
      </c>
      <c r="FS42" s="21">
        <f>EXP(-LN(2)/2)*FS41+(1-EXP(-LN(2)/2))/(LN(2)/2)*FM42*FP42*VLOOKUP('Données projet'!$B$16,Paramètres!$A$1:$I$89,3,0)*0.475*44/12</f>
        <v>5.6085730705671848</v>
      </c>
      <c r="FT42" s="22">
        <f t="shared" si="24"/>
        <v>49.015213956815053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66.588873785726079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66.588873785726079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1.35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4.95</v>
      </c>
      <c r="H43" s="67">
        <f t="shared" si="1"/>
        <v>236.86666666666665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66.648049199407993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175</v>
      </c>
      <c r="L43" s="12">
        <f>VLOOKUP(A43,'Données projet'!$A$35:$I$55,9,0)</f>
        <v>11.2</v>
      </c>
      <c r="M43" s="12">
        <f t="array" ref="M43">INDEX(L:L,MIN(IF(ISNUMBER(L43:L239),ROW(L43:L239),"")))</f>
        <v>11.2</v>
      </c>
      <c r="N43" s="13">
        <f>IF('Données projet'!$A$36&gt;35,N42+M43-V42,IF(A43&lt;'Données projet'!$A$36,$K$205^A43,IF(A43='Données projet'!$A$36,'Données projet'!$B$36,N42+M43-V42)))</f>
        <v>174.99999999999994</v>
      </c>
      <c r="O43" s="13">
        <f>N43*VLOOKUP('Données projet'!$B$9,Paramètres!$A$1:$I$89,3,0)*VLOOKUP('Données projet'!$B$9,Paramètres!$A$1:$I$89,5,0)</f>
        <v>158.33999999999995</v>
      </c>
      <c r="P43" s="13">
        <f t="shared" si="33"/>
        <v>40.467870812652784</v>
      </c>
      <c r="Q43" s="20">
        <f t="shared" si="53"/>
        <v>346.2570416653702</v>
      </c>
      <c r="R43" s="59">
        <f t="shared" si="0"/>
        <v>627.2998887298661</v>
      </c>
      <c r="S43" s="59">
        <f ca="1">AVERAGE(OFFSET($R$3,0,0,'Données projet'!$E$9+1,1))-AVERAGE(OFFSET($H$3,0,0,'Données projet'!$E$9+1,1))</f>
        <v>466.90449882701591</v>
      </c>
      <c r="T43" s="59">
        <f t="shared" si="34"/>
        <v>283.37641704892053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28</v>
      </c>
      <c r="W43" s="16">
        <f>IF(ISNA(VLOOKUP(A43,'Données projet'!$A$35:$I$55,5,0)),0%,VLOOKUP(A43,'Données projet'!$A$35:$I$55,5,0)*VLOOKUP('Données projet'!$B$9,Paramètres!$A$1:$I$89,7,0))</f>
        <v>8.6000000000000007E-2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2.4085528753586032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2.4085528753586032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66.648049199407993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137</v>
      </c>
      <c r="AG43" s="12">
        <f>VLOOKUP(A43,'Données projet'!$A$61:$I$81,9,0)</f>
        <v>8.4</v>
      </c>
      <c r="AH43" s="12">
        <f t="array" ref="AH43">INDEX(AG:AG,MIN(IF(ISNUMBER(AG43:AG239),ROW(AG43:AG239),"")))</f>
        <v>8.4</v>
      </c>
      <c r="AI43" s="13">
        <f>IF('Données projet'!$A$62&gt;35,AI42+AH43-AQ42,IF(A43&lt;'Données projet'!$A$62,$AF$205^A43,IF(A43='Données projet'!$A$62,'Données projet'!$B$62,AI42+AH43-AQ42)))</f>
        <v>137.00000000000006</v>
      </c>
      <c r="AJ43" s="13">
        <f>AI43*VLOOKUP('Données projet'!$B$10,Paramètres!$A$1:$I$89,3,0)*VLOOKUP('Données projet'!$B$10,Paramètres!$A$1:$I$89,5,0)</f>
        <v>130.36920000000006</v>
      </c>
      <c r="AK43" s="13">
        <f t="shared" si="35"/>
        <v>34.081656526320486</v>
      </c>
      <c r="AL43" s="20">
        <f t="shared" si="4"/>
        <v>286.4185751166749</v>
      </c>
      <c r="AM43" s="59">
        <f t="shared" si="5"/>
        <v>567.46142218117086</v>
      </c>
      <c r="AN43" s="59">
        <f ca="1">AVERAGE(OFFSET($AM$3,0,0,'Données projet'!$E$10+1,1))-AVERAGE(OFFSET($H$3,0,0,'Données projet'!$E$10+1,1))</f>
        <v>399.5572791581468</v>
      </c>
      <c r="AO43" s="59">
        <f t="shared" si="36"/>
        <v>246.34185986079777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21</v>
      </c>
      <c r="AR43" s="16">
        <f>IF(ISNA(VLOOKUP(A43,'Données projet'!$A$61:$I$81,5,0)),0%,VLOOKUP(A43,'Données projet'!$A$61:$I$81,5,0)*VLOOKUP('Données projet'!$B$10,Paramètres!$A$1:$I$89,7,0))</f>
        <v>8.6000000000000007E-2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1.8998498973733813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1.8998498973733813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66.648049199407993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11.142857142857142</v>
      </c>
      <c r="BD43" s="12">
        <f>IF('Données projet'!$A$88&gt;35,BD42+BC43-BL42,IF(A43&lt;'Données projet'!$A$88,$BA$205^A43,IF(A43='Données projet'!$A$88,'Données projet'!$B$88,BD42+BC43-BL42)))</f>
        <v>185.42857142857136</v>
      </c>
      <c r="BE43" s="13">
        <f>BD43*VLOOKUP('Données projet'!$B$11,Paramètres!$A$1:$I$89,3,0)*VLOOKUP('Données projet'!$B$11,Paramètres!$A$1:$I$89,5,0)</f>
        <v>144.63428571428565</v>
      </c>
      <c r="BF43" s="13">
        <f t="shared" si="37"/>
        <v>37.356634728420524</v>
      </c>
      <c r="BG43" s="20">
        <f t="shared" si="7"/>
        <v>316.96751977104657</v>
      </c>
      <c r="BH43" s="59">
        <f t="shared" si="8"/>
        <v>598.01036683554253</v>
      </c>
      <c r="BI43" s="59">
        <f ca="1">AVERAGE(OFFSET($BH$3,0,0,'Données projet'!$E$11+1,1))-AVERAGE(OFFSET($H$3,0,0,'Données projet'!$E$11+1,1))</f>
        <v>294.23449029791681</v>
      </c>
      <c r="BJ43" s="59">
        <f t="shared" si="38"/>
        <v>288.64639202306159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8.6116318138707353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8.6116318138707353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66.648049199407993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137</v>
      </c>
      <c r="BW43" s="12">
        <f>VLOOKUP(A43,'Données projet'!$A$113:$I$133,9,0)</f>
        <v>8.4</v>
      </c>
      <c r="BX43" s="12">
        <f t="array" ref="BX43">INDEX(BW:BW,MIN(IF(ISNUMBER(BW43:BW239),ROW(BW43:BW239),"")))</f>
        <v>8.4</v>
      </c>
      <c r="BY43" s="12">
        <f>IF('Données projet'!$A$114&gt;35,BY42+BX43-CG42,IF(A43&lt;'Données projet'!$A$114,$BV$205^A43,IF(A43='Données projet'!$A$114,'Données projet'!$B$114,BY42+BX43-CG42)))</f>
        <v>137.00000000000006</v>
      </c>
      <c r="BZ43" s="13">
        <f>BY43*VLOOKUP('Données projet'!$B$12,Paramètres!$A$1:$I$89,3,0)*VLOOKUP('Données projet'!$B$12,Paramètres!$A$1:$I$89,5,0)</f>
        <v>147.46680000000006</v>
      </c>
      <c r="CA43" s="13">
        <f t="shared" si="39"/>
        <v>38.002337418636309</v>
      </c>
      <c r="CB43" s="20">
        <f t="shared" si="10"/>
        <v>323.02541433745836</v>
      </c>
      <c r="CC43" s="59">
        <f t="shared" si="11"/>
        <v>604.06826140195426</v>
      </c>
      <c r="CD43" s="59">
        <f ca="1">AVERAGE(OFFSET($CC$3,0,0,'Données projet'!$E$12+1,1))-AVERAGE(OFFSET($H$3,0,0,'Données projet'!$E$12+1,1))</f>
        <v>445.38112098358147</v>
      </c>
      <c r="CE43" s="59">
        <f t="shared" si="40"/>
        <v>272.45883568548516</v>
      </c>
      <c r="CF43" s="15">
        <f>IF(ISNA(VLOOKUP(A43,'Données projet'!$A$113:$I$133,3,0)),0,VLOOKUP(A43,'Données projet'!$A$113:$I$133,3,0))</f>
        <v>5</v>
      </c>
      <c r="CG43" s="15">
        <f>IF(ISNA(VLOOKUP(A43,'Données projet'!$A$113:$I$133,4,0)),0,VLOOKUP(A43,'Données projet'!$A$113:$I$133,4,0))</f>
        <v>21</v>
      </c>
      <c r="CH43" s="16">
        <f>IF(ISNA(VLOOKUP(A43,'Données projet'!$A$113:$I$133,5,0)),0%,VLOOKUP(A43,'Données projet'!$A$113:$I$133,5,0)*VLOOKUP('Données projet'!$B$12,Paramètres!$A$1:$I$89,7,0))</f>
        <v>8.6000000000000007E-2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2.1490105396518566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2.1490105396518566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66.648049199407993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137</v>
      </c>
      <c r="CR43" s="12">
        <f>VLOOKUP(A43,'Données projet'!$A$139:$I$159,9,0)</f>
        <v>8.4</v>
      </c>
      <c r="CS43" s="12">
        <f t="array" ref="CS43">INDEX(CR:CR,MIN(IF(ISNUMBER(CR43:CR239),ROW(CR43:CR239),"")))</f>
        <v>8.4</v>
      </c>
      <c r="CT43" s="12">
        <f>IF('Données projet'!$A$140&gt;35,CT42+CS43-DB42,IF(A43&lt;'Données projet'!$A$140,$CQ$205^A43,IF(A43='Données projet'!$A$140,'Données projet'!$B$140,CT42+CS43-DB42)))</f>
        <v>137.00000000000006</v>
      </c>
      <c r="CU43" s="17">
        <f>CT43*VLOOKUP('Données projet'!$B$13,Paramètres!$A$1:$I$89,3,0)*VLOOKUP('Données projet'!$B$13,Paramètres!$A$1:$I$89,5,0)</f>
        <v>147.46680000000006</v>
      </c>
      <c r="CV43" s="13">
        <f t="shared" si="41"/>
        <v>38.002337418636309</v>
      </c>
      <c r="CW43" s="20">
        <f t="shared" si="13"/>
        <v>323.02541433745836</v>
      </c>
      <c r="CX43" s="59">
        <f t="shared" si="14"/>
        <v>604.06826140195426</v>
      </c>
      <c r="CY43" s="59">
        <f ca="1">AVERAGE(OFFSET($CX$3,0,0,'Données projet'!$E$13+1,1))-AVERAGE(OFFSET($H$3,0,0,'Données projet'!$E$13+1,1))</f>
        <v>445.38112098358147</v>
      </c>
      <c r="CZ43" s="59">
        <f t="shared" si="42"/>
        <v>272.45883568548516</v>
      </c>
      <c r="DA43" s="15">
        <f>IF(ISNA(VLOOKUP(A43,'Données projet'!$A$139:$I$159,3,0)),0,VLOOKUP(A43,'Données projet'!$A$139:$I$159,3,0))</f>
        <v>5</v>
      </c>
      <c r="DB43" s="15">
        <f>IF(ISNA(VLOOKUP(A43,'Données projet'!$A$139:$I$159,4,0)),0,VLOOKUP(A43,'Données projet'!$A$139:$I$159,4,0))</f>
        <v>21</v>
      </c>
      <c r="DC43" s="16">
        <f>IF(ISNA(VLOOKUP(A43,'Données projet'!$A$139:$I$159,5,0)),0%,VLOOKUP(A43,'Données projet'!$A$139:$I$159,5,0)*VLOOKUP('Données projet'!$B$13,Paramètres!$A$1:$I$89,7,0))</f>
        <v>8.6000000000000007E-2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2.1490105396518566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2.1490105396518566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66.648049199407993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137</v>
      </c>
      <c r="DM43" s="12">
        <f>VLOOKUP(A43,'Données projet'!$A$165:$I$185,9,0)</f>
        <v>8.4</v>
      </c>
      <c r="DN43" s="12">
        <f t="array" ref="DN43">INDEX(DM:DM,MIN(IF(ISNUMBER(DM43:DM239),ROW(DM43:DM239),"")))</f>
        <v>8.4</v>
      </c>
      <c r="DO43" s="12">
        <f>IF('Données projet'!$A$166&gt;35,DO42+DN43-DW42,IF(A43&lt;'Données projet'!$A$166,$DL$205^A43,IF(A43='Données projet'!$A$166,'Données projet'!$B$166,DO42+DN43-DW42)))</f>
        <v>137.00000000000006</v>
      </c>
      <c r="DP43" s="17">
        <f>DO43*VLOOKUP('Données projet'!$B$14,Paramètres!$A$1:$I$89,3,0)*VLOOKUP('Données projet'!$B$14,Paramètres!$A$1:$I$89,5,0)</f>
        <v>132.50640000000007</v>
      </c>
      <c r="DQ43" s="13">
        <f t="shared" si="43"/>
        <v>34.574869530248939</v>
      </c>
      <c r="DR43" s="20">
        <f t="shared" si="16"/>
        <v>290.99987776518367</v>
      </c>
      <c r="DS43" s="59">
        <f t="shared" si="17"/>
        <v>572.04272482967963</v>
      </c>
      <c r="DT43" s="59">
        <f ca="1">AVERAGE(OFFSET($DS$3,0,0,'Données projet'!$E$14+1,1))-AVERAGE(OFFSET($H$3,0,0,'Données projet'!$E$14+1,1))</f>
        <v>405.29179902613089</v>
      </c>
      <c r="DU43" s="59">
        <f t="shared" si="44"/>
        <v>249.61049717638238</v>
      </c>
      <c r="DV43" s="15">
        <f>IF(ISNA(VLOOKUP(A43,'Données projet'!$A$165:$I$185,3,0)),0,VLOOKUP(A43,'Données projet'!$A$165:$I$185,3,0))</f>
        <v>5</v>
      </c>
      <c r="DW43" s="15">
        <f>IF(ISNA(VLOOKUP(A43,'Données projet'!$A$165:$I$185,4,0)),0,VLOOKUP(A43,'Données projet'!$A$165:$I$185,4,0))</f>
        <v>21</v>
      </c>
      <c r="DX43" s="16">
        <f>IF(ISNA(VLOOKUP(A43,'Données projet'!$A$165:$I$185,5,0)),0%,VLOOKUP(A43,'Données projet'!$A$165:$I$185,5,0)*VLOOKUP('Données projet'!$B$14,Paramètres!$A$1:$I$89,7,0))</f>
        <v>8.6000000000000007E-2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1.9309949776581907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1.9309949776581907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66.648049199407993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20.269999999999996</v>
      </c>
      <c r="EJ43" s="12">
        <f>IF('Données projet'!$A$192&gt;35,EJ42+EI43-ER42,IF(A43&lt;'Données projet'!$A$192,$EG$205^A43,IF(A43='Données projet'!$A$192,'Données projet'!$B$192,EJ42+EI43-ER42)))</f>
        <v>342.93</v>
      </c>
      <c r="EK43" s="17">
        <f>EJ43*VLOOKUP('Données projet'!$B$15,Paramètres!$A$1:$I$89,3,0)*VLOOKUP('Données projet'!$B$15,Paramètres!$A$1:$I$89,5,0)</f>
        <v>205.07214000000002</v>
      </c>
      <c r="EL43" s="13">
        <f t="shared" si="45"/>
        <v>50.857240608097577</v>
      </c>
      <c r="EM43" s="20">
        <f t="shared" si="19"/>
        <v>445.74367122576996</v>
      </c>
      <c r="EN43" s="59">
        <f t="shared" si="20"/>
        <v>726.78651829026592</v>
      </c>
      <c r="EO43" s="59">
        <f ca="1">AVERAGE(OFFSET($EN$3,0,0,'Données projet'!$E$15+1,1))-AVERAGE(OFFSET($H$3,0,0,'Données projet'!$E$15+1,1))</f>
        <v>444.77624981561257</v>
      </c>
      <c r="EP43" s="59">
        <f t="shared" si="46"/>
        <v>382.10319641527587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12.144950346935721</v>
      </c>
      <c r="EW43" s="21">
        <f>EXP(-LN(2)/25)*EW42+(1-EXP(-LN(2)/25))/(LN(2)/25)*Calculateur!ER43*Calculateur!ET43*VLOOKUP('Données projet'!$B$15,Paramètres!$A$1:$I$89,3,0)*0.475*44/12</f>
        <v>24.980665299045938</v>
      </c>
      <c r="EX43" s="21">
        <f>EXP(-LN(2)/2)*EX42+(1-EXP(-LN(2)/2))/(LN(2)/2)*ER43*EU43*VLOOKUP('Données projet'!$B$15,Paramètres!$A$1:$I$89,3,0)*0.475*44/12</f>
        <v>5.153433450829394</v>
      </c>
      <c r="EY43" s="22">
        <f t="shared" si="21"/>
        <v>42.279049096811057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66.648049199407993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582</v>
      </c>
      <c r="FC43" s="12">
        <f>VLOOKUP(A43,'Données projet'!$A$217:$I$237,9,0)</f>
        <v>34</v>
      </c>
      <c r="FD43" s="12">
        <f t="array" ref="FD43">INDEX(FC:FC,MIN(IF(ISNUMBER(FC43:FC239),ROW(FC43:FC239),"")))</f>
        <v>34</v>
      </c>
      <c r="FE43" s="12">
        <f>IF('Données projet'!$A$218&gt;35,FE42+FD43-FM42,IF(A43&lt;'Données projet'!$A$218,$FB$205^A43,IF(A43='Données projet'!$A$218,'Données projet'!$B$218,FE42+FD43-FM42)))</f>
        <v>581.99999999999989</v>
      </c>
      <c r="FF43" s="17">
        <f>FE43*VLOOKUP('Données projet'!$B$16,Paramètres!$A$1:$I$89,3,0)*VLOOKUP('Données projet'!$B$16,Paramètres!$A$1:$I$89,5,0)</f>
        <v>257.24399999999997</v>
      </c>
      <c r="FG43" s="13">
        <f t="shared" si="47"/>
        <v>62.134546270312008</v>
      </c>
      <c r="FH43" s="20">
        <f t="shared" si="22"/>
        <v>556.25096808745991</v>
      </c>
      <c r="FI43" s="59">
        <f t="shared" si="23"/>
        <v>837.29381515195587</v>
      </c>
      <c r="FJ43" s="59">
        <f ca="1">AVERAGE(OFFSET($FI$3,0,0,'Données projet'!$E$16+1,1))-AVERAGE(OFFSET($H$3,0,0,'Données projet'!$E$16+1,1))</f>
        <v>508.71179785154317</v>
      </c>
      <c r="FK43" s="59">
        <f t="shared" si="48"/>
        <v>422.73937290731442</v>
      </c>
      <c r="FL43" s="15">
        <f>IF(ISNA(VLOOKUP(A43,'Données projet'!$A$217:$I$237,3,0)),0,VLOOKUP(A43,'Données projet'!$A$217:$I$237,3,0))</f>
        <v>6</v>
      </c>
      <c r="FM43" s="15">
        <f>IF(ISNA(VLOOKUP(A43,'Données projet'!$A$217:$I$237,4,0)),0,VLOOKUP(A43,'Données projet'!$A$217:$I$237,4,0))</f>
        <v>84</v>
      </c>
      <c r="FN43" s="16">
        <f>IF(ISNA(VLOOKUP(A43,'Données projet'!$A$217:$I$237,5,0)),0%,VLOOKUP(A43,'Données projet'!$A$217:$I$237,5,0)*VLOOKUP('Données projet'!$B$16,Paramètres!$A$1:$I$89,7,0))</f>
        <v>0.11000000000000001</v>
      </c>
      <c r="FO43" s="16">
        <f>IF(ISNA(VLOOKUP(A43,'Données projet'!$A$217:$I$237,6,0)),0%,VLOOKUP(A43,'Données projet'!$A$217:$I$237,6,0)*VLOOKUP('Données projet'!$B$16,Paramètres!$A$1:$I$89,7,0))</f>
        <v>0.24750000000000003</v>
      </c>
      <c r="FP43" s="16">
        <f>IF(ISNA(VLOOKUP(A43,'Données projet'!$A$217:$I$237,7,0)),0%,VLOOKUP(A43,'Données projet'!$A$217:$I$237,7,0))</f>
        <v>0.35</v>
      </c>
      <c r="FQ43" s="21">
        <f>EXP(-LN(2)/35)*FQ42+(1-EXP(-LN(2)/35))/(LN(2)/35)*FM43*FN43*VLOOKUP('Données projet'!$B$16,Paramètres!$A$1:$I$89,3,0)*0.475*44/12</f>
        <v>5.4177953611715184</v>
      </c>
      <c r="FR43" s="21">
        <f>EXP(-LN(2)/25)*FR42+(1-EXP(-LN(2)/25))/(LN(2)/25)*Calculateur!FM43*Calculateur!FO43*VLOOKUP('Données projet'!$B$16,Paramètres!$A$1:$I$89,3,0)*0.475*44/12</f>
        <v>54.361726740665986</v>
      </c>
      <c r="FS43" s="21">
        <f>EXP(-LN(2)/2)*FS42+(1-EXP(-LN(2)/2))/(LN(2)/2)*FM43*FP43*VLOOKUP('Données projet'!$B$16,Paramètres!$A$1:$I$89,3,0)*0.475*44/12</f>
        <v>18.67899231087523</v>
      </c>
      <c r="FT43" s="22">
        <f t="shared" si="24"/>
        <v>78.458514412712731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66.648049199407993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66.648049199407993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1.35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4.95</v>
      </c>
      <c r="H44" s="67">
        <f t="shared" si="1"/>
        <v>236.86666666666665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66.706198051958921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11.4</v>
      </c>
      <c r="N44" s="13">
        <f>IF('Données projet'!$A$36&gt;35,N43+M44-V43,IF(A44&lt;'Données projet'!$A$36,$K$205^A44,IF(A44='Données projet'!$A$36,'Données projet'!$B$36,N43+M44-V43)))</f>
        <v>158.39999999999995</v>
      </c>
      <c r="O44" s="13">
        <f>N44*VLOOKUP('Données projet'!$B$9,Paramètres!$A$1:$I$89,3,0)*VLOOKUP('Données projet'!$B$9,Paramètres!$A$1:$I$89,5,0)</f>
        <v>143.32031999999992</v>
      </c>
      <c r="P44" s="13">
        <f t="shared" si="33"/>
        <v>37.056603420232349</v>
      </c>
      <c r="Q44" s="20">
        <f t="shared" si="53"/>
        <v>314.15647495690456</v>
      </c>
      <c r="R44" s="59">
        <f t="shared" si="0"/>
        <v>595.41253448075395</v>
      </c>
      <c r="S44" s="59">
        <f ca="1">AVERAGE(OFFSET($R$3,0,0,'Données projet'!$E$9+1,1))-AVERAGE(OFFSET($H$3,0,0,'Données projet'!$E$9+1,1))</f>
        <v>466.90449882701591</v>
      </c>
      <c r="T44" s="59">
        <f t="shared" si="34"/>
        <v>283.37641704892053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2.3613226225450159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2.3613226225450159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66.706198051958921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8.4</v>
      </c>
      <c r="AI44" s="13">
        <f>IF('Données projet'!$A$62&gt;35,AI43+AH44-AQ43,IF(A44&lt;'Données projet'!$A$62,$AF$205^A44,IF(A44='Données projet'!$A$62,'Données projet'!$B$62,AI43+AH44-AQ43)))</f>
        <v>124.40000000000006</v>
      </c>
      <c r="AJ44" s="13">
        <f>AI44*VLOOKUP('Données projet'!$B$10,Paramètres!$A$1:$I$89,3,0)*VLOOKUP('Données projet'!$B$10,Paramètres!$A$1:$I$89,5,0)</f>
        <v>118.37904000000007</v>
      </c>
      <c r="AK44" s="13">
        <f t="shared" si="35"/>
        <v>31.296638268907181</v>
      </c>
      <c r="AL44" s="20">
        <f t="shared" si="4"/>
        <v>260.68513965168012</v>
      </c>
      <c r="AM44" s="59">
        <f t="shared" si="5"/>
        <v>541.9411991755295</v>
      </c>
      <c r="AN44" s="59">
        <f ca="1">AVERAGE(OFFSET($AM$3,0,0,'Données projet'!$E$10+1,1))-AVERAGE(OFFSET($H$3,0,0,'Données projet'!$E$10+1,1))</f>
        <v>399.5572791581468</v>
      </c>
      <c r="AO44" s="59">
        <f t="shared" si="36"/>
        <v>246.34185986079777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1.8625949996799052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1.8625949996799052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66.706198051958921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11.142857142857142</v>
      </c>
      <c r="BD44" s="12">
        <f>IF('Données projet'!$A$88&gt;35,BD43+BC44-BL43,IF(A44&lt;'Données projet'!$A$88,$BA$205^A44,IF(A44='Données projet'!$A$88,'Données projet'!$B$88,BD43+BC44-BL43)))</f>
        <v>196.5714285714285</v>
      </c>
      <c r="BE44" s="13">
        <f>BD44*VLOOKUP('Données projet'!$B$11,Paramètres!$A$1:$I$89,3,0)*VLOOKUP('Données projet'!$B$11,Paramètres!$A$1:$I$89,5,0)</f>
        <v>153.32571428571424</v>
      </c>
      <c r="BF44" s="13">
        <f t="shared" si="37"/>
        <v>39.333398837614155</v>
      </c>
      <c r="BG44" s="20">
        <f t="shared" si="7"/>
        <v>335.5479553564636</v>
      </c>
      <c r="BH44" s="59">
        <f t="shared" si="8"/>
        <v>616.80401488031293</v>
      </c>
      <c r="BI44" s="59">
        <f ca="1">AVERAGE(OFFSET($BH$3,0,0,'Données projet'!$E$11+1,1))-AVERAGE(OFFSET($H$3,0,0,'Données projet'!$E$11+1,1))</f>
        <v>294.23449029791681</v>
      </c>
      <c r="BJ44" s="59">
        <f t="shared" si="38"/>
        <v>288.64639202306159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8.4427629665774884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8.4427629665774884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66.706198051958921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8.4</v>
      </c>
      <c r="BY44" s="12">
        <f>IF('Données projet'!$A$114&gt;35,BY43+BX44-CG43,IF(A44&lt;'Données projet'!$A$114,$BV$205^A44,IF(A44='Données projet'!$A$114,'Données projet'!$B$114,BY43+BX44-CG43)))</f>
        <v>124.40000000000006</v>
      </c>
      <c r="BZ44" s="13">
        <f>BY44*VLOOKUP('Données projet'!$B$12,Paramètres!$A$1:$I$89,3,0)*VLOOKUP('Données projet'!$B$12,Paramètres!$A$1:$I$89,5,0)</f>
        <v>133.90416000000008</v>
      </c>
      <c r="CA44" s="13">
        <f t="shared" si="39"/>
        <v>34.896936615904011</v>
      </c>
      <c r="CB44" s="20">
        <f t="shared" si="10"/>
        <v>293.99524327269961</v>
      </c>
      <c r="CC44" s="59">
        <f t="shared" si="11"/>
        <v>575.251302796549</v>
      </c>
      <c r="CD44" s="59">
        <f ca="1">AVERAGE(OFFSET($CC$3,0,0,'Données projet'!$E$12+1,1))-AVERAGE(OFFSET($H$3,0,0,'Données projet'!$E$12+1,1))</f>
        <v>445.38112098358147</v>
      </c>
      <c r="CE44" s="59">
        <f t="shared" si="40"/>
        <v>272.45883568548516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2.1068697537362855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2.1068697537362855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66.706198051958921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8.4</v>
      </c>
      <c r="CT44" s="12">
        <f>IF('Données projet'!$A$140&gt;35,CT43+CS44-DB43,IF(A44&lt;'Données projet'!$A$140,$CQ$205^A44,IF(A44='Données projet'!$A$140,'Données projet'!$B$140,CT43+CS44-DB43)))</f>
        <v>124.40000000000006</v>
      </c>
      <c r="CU44" s="17">
        <f>CT44*VLOOKUP('Données projet'!$B$13,Paramètres!$A$1:$I$89,3,0)*VLOOKUP('Données projet'!$B$13,Paramètres!$A$1:$I$89,5,0)</f>
        <v>133.90416000000008</v>
      </c>
      <c r="CV44" s="13">
        <f t="shared" si="41"/>
        <v>34.896936615904011</v>
      </c>
      <c r="CW44" s="20">
        <f t="shared" si="13"/>
        <v>293.99524327269961</v>
      </c>
      <c r="CX44" s="59">
        <f t="shared" si="14"/>
        <v>575.251302796549</v>
      </c>
      <c r="CY44" s="59">
        <f ca="1">AVERAGE(OFFSET($CX$3,0,0,'Données projet'!$E$13+1,1))-AVERAGE(OFFSET($H$3,0,0,'Données projet'!$E$13+1,1))</f>
        <v>445.38112098358147</v>
      </c>
      <c r="CZ44" s="59">
        <f t="shared" si="42"/>
        <v>272.45883568548516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2.1068697537362855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2.1068697537362855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66.706198051958921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8.4</v>
      </c>
      <c r="DO44" s="12">
        <f>IF('Données projet'!$A$166&gt;35,DO43+DN44-DW43,IF(A44&lt;'Données projet'!$A$166,$DL$205^A44,IF(A44='Données projet'!$A$166,'Données projet'!$B$166,DO43+DN44-DW43)))</f>
        <v>124.40000000000006</v>
      </c>
      <c r="DP44" s="17">
        <f>DO44*VLOOKUP('Données projet'!$B$14,Paramètres!$A$1:$I$89,3,0)*VLOOKUP('Données projet'!$B$14,Paramètres!$A$1:$I$89,5,0)</f>
        <v>120.31968000000008</v>
      </c>
      <c r="DQ44" s="13">
        <f t="shared" si="43"/>
        <v>31.749547855668318</v>
      </c>
      <c r="DR44" s="20">
        <f t="shared" si="16"/>
        <v>264.85390518195578</v>
      </c>
      <c r="DS44" s="59">
        <f t="shared" si="17"/>
        <v>546.10996470580517</v>
      </c>
      <c r="DT44" s="59">
        <f ca="1">AVERAGE(OFFSET($DS$3,0,0,'Données projet'!$E$14+1,1))-AVERAGE(OFFSET($H$3,0,0,'Données projet'!$E$14+1,1))</f>
        <v>405.29179902613089</v>
      </c>
      <c r="DU44" s="59">
        <f t="shared" si="44"/>
        <v>249.61049717638238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1.8931293439369528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1.8931293439369528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66.706198051958921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>
        <f>VLOOKUP(A44,'Données projet'!$A$191:$I$211,2,0)</f>
        <v>363.2</v>
      </c>
      <c r="EH44" s="12">
        <f>VLOOKUP(A44,'Données projet'!$A$191:$I$211,9,0)</f>
        <v>20.269999999999996</v>
      </c>
      <c r="EI44" s="12">
        <f t="array" ref="EI44">INDEX(EH:EH,MIN(IF(ISNUMBER(EH44:EH240),ROW(EH44:EH240),"")))</f>
        <v>20.269999999999996</v>
      </c>
      <c r="EJ44" s="12">
        <f>IF('Données projet'!$A$192&gt;35,EJ43+EI44-ER43,IF(A44&lt;'Données projet'!$A$192,$EG$205^A44,IF(A44='Données projet'!$A$192,'Données projet'!$B$192,EJ43+EI44-ER43)))</f>
        <v>363.2</v>
      </c>
      <c r="EK44" s="17">
        <f>EJ44*VLOOKUP('Données projet'!$B$15,Paramètres!$A$1:$I$89,3,0)*VLOOKUP('Données projet'!$B$15,Paramètres!$A$1:$I$89,5,0)</f>
        <v>217.1936</v>
      </c>
      <c r="EL44" s="13">
        <f t="shared" si="45"/>
        <v>53.504473537536725</v>
      </c>
      <c r="EM44" s="20">
        <f t="shared" si="19"/>
        <v>471.46581141120981</v>
      </c>
      <c r="EN44" s="59">
        <f t="shared" si="20"/>
        <v>752.7218709350592</v>
      </c>
      <c r="EO44" s="59">
        <f ca="1">AVERAGE(OFFSET($EN$3,0,0,'Données projet'!$E$15+1,1))-AVERAGE(OFFSET($H$3,0,0,'Données projet'!$E$15+1,1))</f>
        <v>444.77624981561257</v>
      </c>
      <c r="EP44" s="59">
        <f t="shared" si="46"/>
        <v>382.10319641527587</v>
      </c>
      <c r="EQ44" s="15">
        <f>IF(ISNA(VLOOKUP(A44,'Données projet'!$A$191:$I$211,3,0)),0,VLOOKUP(A44,'Données projet'!$A$191:$I$211,3,0))</f>
        <v>8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11.906795278320574</v>
      </c>
      <c r="EW44" s="21">
        <f>EXP(-LN(2)/25)*EW43+(1-EXP(-LN(2)/25))/(LN(2)/25)*Calculateur!ER44*Calculateur!ET44*VLOOKUP('Données projet'!$B$15,Paramètres!$A$1:$I$89,3,0)*0.475*44/12</f>
        <v>24.297567692767434</v>
      </c>
      <c r="EX44" s="21">
        <f>EXP(-LN(2)/2)*EX43+(1-EXP(-LN(2)/2))/(LN(2)/2)*ER44*EU44*VLOOKUP('Données projet'!$B$15,Paramètres!$A$1:$I$89,3,0)*0.475*44/12</f>
        <v>3.6440277394750549</v>
      </c>
      <c r="EY44" s="22">
        <f t="shared" si="21"/>
        <v>39.848390710563066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66.706198051958921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30.6</v>
      </c>
      <c r="FE44" s="12">
        <f>IF('Données projet'!$A$218&gt;35,FE43+FD44-FM43,IF(A44&lt;'Données projet'!$A$218,$FB$205^A44,IF(A44='Données projet'!$A$218,'Données projet'!$B$218,FE43+FD44-FM43)))</f>
        <v>528.59999999999991</v>
      </c>
      <c r="FF44" s="17">
        <f>FE44*VLOOKUP('Données projet'!$B$16,Paramètres!$A$1:$I$89,3,0)*VLOOKUP('Données projet'!$B$16,Paramètres!$A$1:$I$89,5,0)</f>
        <v>233.6412</v>
      </c>
      <c r="FG44" s="13">
        <f t="shared" si="47"/>
        <v>57.0692729250814</v>
      </c>
      <c r="FH44" s="20">
        <f t="shared" si="22"/>
        <v>506.32074034451671</v>
      </c>
      <c r="FI44" s="59">
        <f t="shared" si="23"/>
        <v>787.57679986836615</v>
      </c>
      <c r="FJ44" s="59">
        <f ca="1">AVERAGE(OFFSET($FI$3,0,0,'Données projet'!$E$16+1,1))-AVERAGE(OFFSET($H$3,0,0,'Données projet'!$E$16+1,1))</f>
        <v>508.71179785154317</v>
      </c>
      <c r="FK44" s="59">
        <f t="shared" si="48"/>
        <v>422.73937290731442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5.3115556986678198</v>
      </c>
      <c r="FR44" s="21">
        <f>EXP(-LN(2)/25)*FR43+(1-EXP(-LN(2)/25))/(LN(2)/25)*Calculateur!FM44*Calculateur!FO44*VLOOKUP('Données projet'!$B$16,Paramètres!$A$1:$I$89,3,0)*0.475*44/12</f>
        <v>52.875202464183509</v>
      </c>
      <c r="FS44" s="21">
        <f>EXP(-LN(2)/2)*FS43+(1-EXP(-LN(2)/2))/(LN(2)/2)*FM44*FP44*VLOOKUP('Données projet'!$B$16,Paramètres!$A$1:$I$89,3,0)*0.475*44/12</f>
        <v>13.208042128751256</v>
      </c>
      <c r="FT44" s="22">
        <f t="shared" si="24"/>
        <v>71.394800291602579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66.706198051958921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66.706198051958921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1.35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4.95</v>
      </c>
      <c r="H45" s="67">
        <f t="shared" si="1"/>
        <v>236.86666666666665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66.76333815191947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11.4</v>
      </c>
      <c r="N45" s="13">
        <f>IF('Données projet'!$A$36&gt;35,N44+M45-V44,IF(A45&lt;'Données projet'!$A$36,$K$205^A45,IF(A45='Données projet'!$A$36,'Données projet'!$B$36,N44+M45-V44)))</f>
        <v>169.79999999999995</v>
      </c>
      <c r="O45" s="13">
        <f>N45*VLOOKUP('Données projet'!$B$9,Paramètres!$A$1:$I$89,3,0)*VLOOKUP('Données projet'!$B$9,Paramètres!$A$1:$I$89,5,0)</f>
        <v>153.63503999999995</v>
      </c>
      <c r="P45" s="13">
        <f t="shared" si="33"/>
        <v>39.403506785222667</v>
      </c>
      <c r="Q45" s="20">
        <f t="shared" si="53"/>
        <v>336.20880231759605</v>
      </c>
      <c r="R45" s="59">
        <f t="shared" si="0"/>
        <v>617.67437554130083</v>
      </c>
      <c r="S45" s="59">
        <f ca="1">AVERAGE(OFFSET($R$3,0,0,'Données projet'!$E$9+1,1))-AVERAGE(OFFSET($H$3,0,0,'Données projet'!$E$9+1,1))</f>
        <v>466.90449882701591</v>
      </c>
      <c r="T45" s="59">
        <f t="shared" si="34"/>
        <v>283.37641704892053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2.3150185261814937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2.3150185261814937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66.76333815191947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8.4</v>
      </c>
      <c r="AI45" s="13">
        <f>IF('Données projet'!$A$62&gt;35,AI44+AH45-AQ44,IF(A45&lt;'Données projet'!$A$62,$AF$205^A45,IF(A45='Données projet'!$A$62,'Données projet'!$B$62,AI44+AH45-AQ44)))</f>
        <v>132.80000000000007</v>
      </c>
      <c r="AJ45" s="13">
        <f>AI45*VLOOKUP('Données projet'!$B$10,Paramètres!$A$1:$I$89,3,0)*VLOOKUP('Données projet'!$B$10,Paramètres!$A$1:$I$89,5,0)</f>
        <v>126.37248000000007</v>
      </c>
      <c r="AK45" s="13">
        <f t="shared" si="35"/>
        <v>33.156770349896121</v>
      </c>
      <c r="AL45" s="20">
        <f t="shared" si="4"/>
        <v>277.84677769273588</v>
      </c>
      <c r="AM45" s="59">
        <f t="shared" si="5"/>
        <v>559.31235091644066</v>
      </c>
      <c r="AN45" s="59">
        <f ca="1">AVERAGE(OFFSET($AM$3,0,0,'Données projet'!$E$10+1,1))-AVERAGE(OFFSET($H$3,0,0,'Données projet'!$E$10+1,1))</f>
        <v>399.5572791581468</v>
      </c>
      <c r="AO45" s="59">
        <f t="shared" si="36"/>
        <v>246.34185986079777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1.8260706478069544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1.8260706478069544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66.76333815191947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11.142857142857142</v>
      </c>
      <c r="BD45" s="12">
        <f>IF('Données projet'!$A$88&gt;35,BD44+BC45-BL44,IF(A45&lt;'Données projet'!$A$88,$BA$205^A45,IF(A45='Données projet'!$A$88,'Données projet'!$B$88,BD44+BC45-BL44)))</f>
        <v>207.71428571428564</v>
      </c>
      <c r="BE45" s="13">
        <f>BD45*VLOOKUP('Données projet'!$B$11,Paramètres!$A$1:$I$89,3,0)*VLOOKUP('Données projet'!$B$11,Paramètres!$A$1:$I$89,5,0)</f>
        <v>162.0171428571428</v>
      </c>
      <c r="BF45" s="13">
        <f t="shared" si="37"/>
        <v>41.29715533509664</v>
      </c>
      <c r="BG45" s="20">
        <f t="shared" si="7"/>
        <v>354.10573601815037</v>
      </c>
      <c r="BH45" s="59">
        <f t="shared" si="8"/>
        <v>635.57130924185503</v>
      </c>
      <c r="BI45" s="59">
        <f ca="1">AVERAGE(OFFSET($BH$3,0,0,'Données projet'!$E$11+1,1))-AVERAGE(OFFSET($H$3,0,0,'Données projet'!$E$11+1,1))</f>
        <v>294.23449029791681</v>
      </c>
      <c r="BJ45" s="59">
        <f t="shared" si="38"/>
        <v>288.64639202306159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8.277205534379835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8.277205534379835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66.76333815191947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8.4</v>
      </c>
      <c r="BY45" s="12">
        <f>IF('Données projet'!$A$114&gt;35,BY44+BX45-CG44,IF(A45&lt;'Données projet'!$A$114,$BV$205^A45,IF(A45='Données projet'!$A$114,'Données projet'!$B$114,BY44+BX45-CG44)))</f>
        <v>132.80000000000007</v>
      </c>
      <c r="BZ45" s="13">
        <f>BY45*VLOOKUP('Données projet'!$B$12,Paramètres!$A$1:$I$89,3,0)*VLOOKUP('Données projet'!$B$12,Paramètres!$A$1:$I$89,5,0)</f>
        <v>142.94592000000006</v>
      </c>
      <c r="CA45" s="13">
        <f t="shared" si="39"/>
        <v>36.971054314096882</v>
      </c>
      <c r="CB45" s="20">
        <f t="shared" si="10"/>
        <v>313.3553969303855</v>
      </c>
      <c r="CC45" s="59">
        <f t="shared" si="11"/>
        <v>594.82097015409022</v>
      </c>
      <c r="CD45" s="59">
        <f ca="1">AVERAGE(OFFSET($CC$3,0,0,'Données projet'!$E$12+1,1))-AVERAGE(OFFSET($H$3,0,0,'Données projet'!$E$12+1,1))</f>
        <v>445.38112098358147</v>
      </c>
      <c r="CE45" s="59">
        <f t="shared" si="40"/>
        <v>272.45883568548516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2.0655553229291774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2.0655553229291774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66.76333815191947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8.4</v>
      </c>
      <c r="CT45" s="12">
        <f>IF('Données projet'!$A$140&gt;35,CT44+CS45-DB44,IF(A45&lt;'Données projet'!$A$140,$CQ$205^A45,IF(A45='Données projet'!$A$140,'Données projet'!$B$140,CT44+CS45-DB44)))</f>
        <v>132.80000000000007</v>
      </c>
      <c r="CU45" s="17">
        <f>CT45*VLOOKUP('Données projet'!$B$13,Paramètres!$A$1:$I$89,3,0)*VLOOKUP('Données projet'!$B$13,Paramètres!$A$1:$I$89,5,0)</f>
        <v>142.94592000000006</v>
      </c>
      <c r="CV45" s="13">
        <f t="shared" si="41"/>
        <v>36.971054314096882</v>
      </c>
      <c r="CW45" s="20">
        <f t="shared" si="13"/>
        <v>313.3553969303855</v>
      </c>
      <c r="CX45" s="59">
        <f t="shared" si="14"/>
        <v>594.82097015409022</v>
      </c>
      <c r="CY45" s="59">
        <f ca="1">AVERAGE(OFFSET($CX$3,0,0,'Données projet'!$E$13+1,1))-AVERAGE(OFFSET($H$3,0,0,'Données projet'!$E$13+1,1))</f>
        <v>445.38112098358147</v>
      </c>
      <c r="CZ45" s="59">
        <f t="shared" si="42"/>
        <v>272.45883568548516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2.0655553229291774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2.0655553229291774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66.76333815191947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8.4</v>
      </c>
      <c r="DO45" s="12">
        <f>IF('Données projet'!$A$166&gt;35,DO44+DN45-DW44,IF(A45&lt;'Données projet'!$A$166,$DL$205^A45,IF(A45='Données projet'!$A$166,'Données projet'!$B$166,DO44+DN45-DW44)))</f>
        <v>132.80000000000007</v>
      </c>
      <c r="DP45" s="17">
        <f>DO45*VLOOKUP('Données projet'!$B$14,Paramètres!$A$1:$I$89,3,0)*VLOOKUP('Données projet'!$B$14,Paramètres!$A$1:$I$89,5,0)</f>
        <v>128.44416000000007</v>
      </c>
      <c r="DQ45" s="13">
        <f t="shared" si="43"/>
        <v>33.636598855068954</v>
      </c>
      <c r="DR45" s="20">
        <f t="shared" si="16"/>
        <v>282.29065500591184</v>
      </c>
      <c r="DS45" s="59">
        <f t="shared" si="17"/>
        <v>563.75622822961657</v>
      </c>
      <c r="DT45" s="59">
        <f ca="1">AVERAGE(OFFSET($DS$3,0,0,'Données projet'!$E$14+1,1))-AVERAGE(OFFSET($H$3,0,0,'Données projet'!$E$14+1,1))</f>
        <v>405.29179902613089</v>
      </c>
      <c r="DU45" s="59">
        <f t="shared" si="44"/>
        <v>249.61049717638238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1.8560062321972324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1.8560062321972324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66.76333815191947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20.612000000000002</v>
      </c>
      <c r="EJ45" s="12">
        <f>IF('Données projet'!$A$192&gt;35,EJ44+EI45-ER44,IF(A45&lt;'Données projet'!$A$192,$EG$205^A45,IF(A45='Données projet'!$A$192,'Données projet'!$B$192,EJ44+EI45-ER44)))</f>
        <v>383.81200000000001</v>
      </c>
      <c r="EK45" s="17">
        <f>EJ45*VLOOKUP('Données projet'!$B$15,Paramètres!$A$1:$I$89,3,0)*VLOOKUP('Données projet'!$B$15,Paramètres!$A$1:$I$89,5,0)</f>
        <v>229.51957600000003</v>
      </c>
      <c r="EL45" s="13">
        <f t="shared" si="45"/>
        <v>56.178789991832062</v>
      </c>
      <c r="EM45" s="20">
        <f t="shared" si="19"/>
        <v>497.59132076910754</v>
      </c>
      <c r="EN45" s="59">
        <f t="shared" si="20"/>
        <v>779.05689399281232</v>
      </c>
      <c r="EO45" s="59">
        <f ca="1">AVERAGE(OFFSET($EN$3,0,0,'Données projet'!$E$15+1,1))-AVERAGE(OFFSET($H$3,0,0,'Données projet'!$E$15+1,1))</f>
        <v>444.77624981561257</v>
      </c>
      <c r="EP45" s="59">
        <f t="shared" si="46"/>
        <v>382.10319641527587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11.673310285340722</v>
      </c>
      <c r="EW45" s="21">
        <f>EXP(-LN(2)/25)*EW44+(1-EXP(-LN(2)/25))/(LN(2)/25)*Calculateur!ER45*Calculateur!ET45*VLOOKUP('Données projet'!$B$15,Paramètres!$A$1:$I$89,3,0)*0.475*44/12</f>
        <v>23.633149426455155</v>
      </c>
      <c r="EX45" s="21">
        <f>EXP(-LN(2)/2)*EX44+(1-EXP(-LN(2)/2))/(LN(2)/2)*ER45*EU45*VLOOKUP('Données projet'!$B$15,Paramètres!$A$1:$I$89,3,0)*0.475*44/12</f>
        <v>2.5767167254146974</v>
      </c>
      <c r="EY45" s="22">
        <f t="shared" si="21"/>
        <v>37.883176437210579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66.76333815191947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30.6</v>
      </c>
      <c r="FE45" s="12">
        <f>IF('Données projet'!$A$218&gt;35,FE44+FD45-FM44,IF(A45&lt;'Données projet'!$A$218,$FB$205^A45,IF(A45='Données projet'!$A$218,'Données projet'!$B$218,FE44+FD45-FM44)))</f>
        <v>559.19999999999993</v>
      </c>
      <c r="FF45" s="17">
        <f>FE45*VLOOKUP('Données projet'!$B$16,Paramètres!$A$1:$I$89,3,0)*VLOOKUP('Données projet'!$B$16,Paramètres!$A$1:$I$89,5,0)</f>
        <v>247.16639999999998</v>
      </c>
      <c r="FG45" s="13">
        <f t="shared" si="47"/>
        <v>59.97876609639065</v>
      </c>
      <c r="FH45" s="20">
        <f t="shared" si="22"/>
        <v>534.9444976178803</v>
      </c>
      <c r="FI45" s="59">
        <f t="shared" si="23"/>
        <v>816.41007084158502</v>
      </c>
      <c r="FJ45" s="59">
        <f ca="1">AVERAGE(OFFSET($FI$3,0,0,'Données projet'!$E$16+1,1))-AVERAGE(OFFSET($H$3,0,0,'Données projet'!$E$16+1,1))</f>
        <v>508.71179785154317</v>
      </c>
      <c r="FK45" s="59">
        <f t="shared" si="48"/>
        <v>422.73937290731442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5.2073993311460232</v>
      </c>
      <c r="FR45" s="21">
        <f>EXP(-LN(2)/25)*FR44+(1-EXP(-LN(2)/25))/(LN(2)/25)*Calculateur!FM45*Calculateur!FO45*VLOOKUP('Données projet'!$B$16,Paramètres!$A$1:$I$89,3,0)*0.475*44/12</f>
        <v>51.429327272214358</v>
      </c>
      <c r="FS45" s="21">
        <f>EXP(-LN(2)/2)*FS44+(1-EXP(-LN(2)/2))/(LN(2)/2)*FM45*FP45*VLOOKUP('Données projet'!$B$16,Paramètres!$A$1:$I$89,3,0)*0.475*44/12</f>
        <v>9.339496155437617</v>
      </c>
      <c r="FT45" s="22">
        <f t="shared" si="24"/>
        <v>65.976222758798002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66.76333815191947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66.76333815191947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1.35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4.95</v>
      </c>
      <c r="H46" s="67">
        <f t="shared" si="1"/>
        <v>236.86666666666665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66.819486998891819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11.4</v>
      </c>
      <c r="N46" s="13">
        <f>IF('Données projet'!$A$36&gt;35,N45+M46-V45,IF(A46&lt;'Données projet'!$A$36,$K$205^A46,IF(A46='Données projet'!$A$36,'Données projet'!$B$36,N45+M46-V45)))</f>
        <v>181.19999999999996</v>
      </c>
      <c r="O46" s="13">
        <f>N46*VLOOKUP('Données projet'!$B$9,Paramètres!$A$1:$I$89,3,0)*VLOOKUP('Données projet'!$B$9,Paramètres!$A$1:$I$89,5,0)</f>
        <v>163.94975999999997</v>
      </c>
      <c r="P46" s="13">
        <f t="shared" si="33"/>
        <v>41.732126457893308</v>
      </c>
      <c r="Q46" s="20">
        <f t="shared" si="53"/>
        <v>358.22928558083078</v>
      </c>
      <c r="R46" s="59">
        <f t="shared" si="0"/>
        <v>639.90073791010082</v>
      </c>
      <c r="S46" s="59">
        <f ca="1">AVERAGE(OFFSET($R$3,0,0,'Données projet'!$E$9+1,1))-AVERAGE(OFFSET($H$3,0,0,'Données projet'!$E$9+1,1))</f>
        <v>466.90449882701591</v>
      </c>
      <c r="T46" s="59">
        <f t="shared" si="34"/>
        <v>283.37641704892053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2.2696224249049499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2.2696224249049499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66.819486998891819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8.4</v>
      </c>
      <c r="AI46" s="13">
        <f>IF('Données projet'!$A$62&gt;35,AI45+AH46-AQ45,IF(A46&lt;'Données projet'!$A$62,$AF$205^A46,IF(A46='Données projet'!$A$62,'Données projet'!$B$62,AI45+AH46-AQ45)))</f>
        <v>141.20000000000007</v>
      </c>
      <c r="AJ46" s="13">
        <f>AI46*VLOOKUP('Données projet'!$B$10,Paramètres!$A$1:$I$89,3,0)*VLOOKUP('Données projet'!$B$10,Paramètres!$A$1:$I$89,5,0)</f>
        <v>134.36592000000007</v>
      </c>
      <c r="AK46" s="13">
        <f t="shared" si="35"/>
        <v>35.003247613199136</v>
      </c>
      <c r="AL46" s="20">
        <f t="shared" si="4"/>
        <v>294.98463359298859</v>
      </c>
      <c r="AM46" s="59">
        <f t="shared" si="5"/>
        <v>576.65608592225863</v>
      </c>
      <c r="AN46" s="59">
        <f ca="1">AVERAGE(OFFSET($AM$3,0,0,'Données projet'!$E$10+1,1))-AVERAGE(OFFSET($H$3,0,0,'Données projet'!$E$10+1,1))</f>
        <v>399.5572791581468</v>
      </c>
      <c r="AO46" s="59">
        <f t="shared" si="36"/>
        <v>246.34185986079777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1.7902625161965773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1.7902625161965773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66.819486998891819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11.142857142857142</v>
      </c>
      <c r="BD46" s="12">
        <f>IF('Données projet'!$A$88&gt;35,BD45+BC46-BL45,IF(A46&lt;'Données projet'!$A$88,$BA$205^A46,IF(A46='Données projet'!$A$88,'Données projet'!$B$88,BD45+BC46-BL45)))</f>
        <v>218.85714285714278</v>
      </c>
      <c r="BE46" s="13">
        <f>BD46*VLOOKUP('Données projet'!$B$11,Paramètres!$A$1:$I$89,3,0)*VLOOKUP('Données projet'!$B$11,Paramètres!$A$1:$I$89,5,0)</f>
        <v>170.70857142857136</v>
      </c>
      <c r="BF46" s="13">
        <f t="shared" si="37"/>
        <v>43.248681576985376</v>
      </c>
      <c r="BG46" s="20">
        <f t="shared" si="7"/>
        <v>372.64221565134466</v>
      </c>
      <c r="BH46" s="59">
        <f t="shared" si="8"/>
        <v>654.3136679806147</v>
      </c>
      <c r="BI46" s="59">
        <f ca="1">AVERAGE(OFFSET($BH$3,0,0,'Données projet'!$E$11+1,1))-AVERAGE(OFFSET($H$3,0,0,'Données projet'!$E$11+1,1))</f>
        <v>294.23449029791681</v>
      </c>
      <c r="BJ46" s="59">
        <f t="shared" si="38"/>
        <v>288.64639202306159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8.1148945824475156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8.1148945824475156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66.819486998891819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8.4</v>
      </c>
      <c r="BY46" s="12">
        <f>IF('Données projet'!$A$114&gt;35,BY45+BX46-CG45,IF(A46&lt;'Données projet'!$A$114,$BV$205^A46,IF(A46='Données projet'!$A$114,'Données projet'!$B$114,BY45+BX46-CG45)))</f>
        <v>141.20000000000007</v>
      </c>
      <c r="BZ46" s="13">
        <f>BY46*VLOOKUP('Données projet'!$B$12,Paramètres!$A$1:$I$89,3,0)*VLOOKUP('Données projet'!$B$12,Paramètres!$A$1:$I$89,5,0)</f>
        <v>151.98768000000007</v>
      </c>
      <c r="CA46" s="13">
        <f t="shared" si="39"/>
        <v>39.029946373574369</v>
      </c>
      <c r="CB46" s="20">
        <f t="shared" si="10"/>
        <v>332.68903260064212</v>
      </c>
      <c r="CC46" s="59">
        <f t="shared" si="11"/>
        <v>614.36048492991222</v>
      </c>
      <c r="CD46" s="59">
        <f ca="1">AVERAGE(OFFSET($CC$3,0,0,'Données projet'!$E$12+1,1))-AVERAGE(OFFSET($H$3,0,0,'Données projet'!$E$12+1,1))</f>
        <v>445.38112098358147</v>
      </c>
      <c r="CE46" s="59">
        <f t="shared" si="40"/>
        <v>272.45883568548516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2.0250510429108819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2.0250510429108819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66.819486998891819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8.4</v>
      </c>
      <c r="CT46" s="12">
        <f>IF('Données projet'!$A$140&gt;35,CT45+CS46-DB45,IF(A46&lt;'Données projet'!$A$140,$CQ$205^A46,IF(A46='Données projet'!$A$140,'Données projet'!$B$140,CT45+CS46-DB45)))</f>
        <v>141.20000000000007</v>
      </c>
      <c r="CU46" s="17">
        <f>CT46*VLOOKUP('Données projet'!$B$13,Paramètres!$A$1:$I$89,3,0)*VLOOKUP('Données projet'!$B$13,Paramètres!$A$1:$I$89,5,0)</f>
        <v>151.98768000000007</v>
      </c>
      <c r="CV46" s="13">
        <f t="shared" si="41"/>
        <v>39.029946373574369</v>
      </c>
      <c r="CW46" s="20">
        <f t="shared" si="13"/>
        <v>332.68903260064212</v>
      </c>
      <c r="CX46" s="59">
        <f t="shared" si="14"/>
        <v>614.36048492991222</v>
      </c>
      <c r="CY46" s="59">
        <f ca="1">AVERAGE(OFFSET($CX$3,0,0,'Données projet'!$E$13+1,1))-AVERAGE(OFFSET($H$3,0,0,'Données projet'!$E$13+1,1))</f>
        <v>445.38112098358147</v>
      </c>
      <c r="CZ46" s="59">
        <f t="shared" si="42"/>
        <v>272.45883568548516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2.0250510429108819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2.0250510429108819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66.819486998891819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8.4</v>
      </c>
      <c r="DO46" s="12">
        <f>IF('Données projet'!$A$166&gt;35,DO45+DN46-DW45,IF(A46&lt;'Données projet'!$A$166,$DL$205^A46,IF(A46='Données projet'!$A$166,'Données projet'!$B$166,DO45+DN46-DW45)))</f>
        <v>141.20000000000007</v>
      </c>
      <c r="DP46" s="17">
        <f>DO46*VLOOKUP('Données projet'!$B$14,Paramètres!$A$1:$I$89,3,0)*VLOOKUP('Données projet'!$B$14,Paramètres!$A$1:$I$89,5,0)</f>
        <v>136.56864000000007</v>
      </c>
      <c r="DQ46" s="13">
        <f t="shared" si="43"/>
        <v>35.509797430964738</v>
      </c>
      <c r="DR46" s="20">
        <f t="shared" si="16"/>
        <v>299.70327852559706</v>
      </c>
      <c r="DS46" s="59">
        <f t="shared" si="17"/>
        <v>581.37473085486704</v>
      </c>
      <c r="DT46" s="59">
        <f ca="1">AVERAGE(OFFSET($DS$3,0,0,'Données projet'!$E$14+1,1))-AVERAGE(OFFSET($H$3,0,0,'Données projet'!$E$14+1,1))</f>
        <v>405.29179902613089</v>
      </c>
      <c r="DU46" s="59">
        <f t="shared" si="44"/>
        <v>249.61049717638238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1.8196110820358655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1.8196110820358655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66.819486998891819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20.612000000000002</v>
      </c>
      <c r="EJ46" s="12">
        <f>IF('Données projet'!$A$192&gt;35,EJ45+EI46-ER45,IF(A46&lt;'Données projet'!$A$192,$EG$205^A46,IF(A46='Données projet'!$A$192,'Données projet'!$B$192,EJ45+EI46-ER45)))</f>
        <v>404.42400000000004</v>
      </c>
      <c r="EK46" s="17">
        <f>EJ46*VLOOKUP('Données projet'!$B$15,Paramètres!$A$1:$I$89,3,0)*VLOOKUP('Données projet'!$B$15,Paramètres!$A$1:$I$89,5,0)</f>
        <v>241.84555200000005</v>
      </c>
      <c r="EL46" s="13">
        <f t="shared" si="45"/>
        <v>58.836432780420971</v>
      </c>
      <c r="EM46" s="20">
        <f t="shared" si="19"/>
        <v>523.68779015923326</v>
      </c>
      <c r="EN46" s="59">
        <f t="shared" si="20"/>
        <v>805.35924248850324</v>
      </c>
      <c r="EO46" s="59">
        <f ca="1">AVERAGE(OFFSET($EN$3,0,0,'Données projet'!$E$15+1,1))-AVERAGE(OFFSET($H$3,0,0,'Données projet'!$E$15+1,1))</f>
        <v>444.77624981561257</v>
      </c>
      <c r="EP46" s="59">
        <f t="shared" si="46"/>
        <v>382.10319641527587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11.444403790661422</v>
      </c>
      <c r="EW46" s="21">
        <f>EXP(-LN(2)/25)*EW45+(1-EXP(-LN(2)/25))/(LN(2)/25)*Calculateur!ER46*Calculateur!ET46*VLOOKUP('Données projet'!$B$15,Paramètres!$A$1:$I$89,3,0)*0.475*44/12</f>
        <v>22.986899712575426</v>
      </c>
      <c r="EX46" s="21">
        <f>EXP(-LN(2)/2)*EX45+(1-EXP(-LN(2)/2))/(LN(2)/2)*ER46*EU46*VLOOKUP('Données projet'!$B$15,Paramètres!$A$1:$I$89,3,0)*0.475*44/12</f>
        <v>1.8220138697375279</v>
      </c>
      <c r="EY46" s="22">
        <f t="shared" si="21"/>
        <v>36.253317372974372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66.819486998891819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30.6</v>
      </c>
      <c r="FE46" s="12">
        <f>IF('Données projet'!$A$218&gt;35,FE45+FD46-FM45,IF(A46&lt;'Données projet'!$A$218,$FB$205^A46,IF(A46='Données projet'!$A$218,'Données projet'!$B$218,FE45+FD46-FM45)))</f>
        <v>589.79999999999995</v>
      </c>
      <c r="FF46" s="17">
        <f>FE46*VLOOKUP('Données projet'!$B$16,Paramètres!$A$1:$I$89,3,0)*VLOOKUP('Données projet'!$B$16,Paramètres!$A$1:$I$89,5,0)</f>
        <v>260.69160000000005</v>
      </c>
      <c r="FG46" s="13">
        <f t="shared" si="47"/>
        <v>62.869776327967045</v>
      </c>
      <c r="FH46" s="20">
        <f t="shared" si="22"/>
        <v>563.53606377120934</v>
      </c>
      <c r="FI46" s="59">
        <f t="shared" si="23"/>
        <v>845.20751610047932</v>
      </c>
      <c r="FJ46" s="59">
        <f ca="1">AVERAGE(OFFSET($FI$3,0,0,'Données projet'!$E$16+1,1))-AVERAGE(OFFSET($H$3,0,0,'Données projet'!$E$16+1,1))</f>
        <v>508.71179785154317</v>
      </c>
      <c r="FK46" s="59">
        <f t="shared" si="48"/>
        <v>422.73937290731442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5.105285406462218</v>
      </c>
      <c r="FR46" s="21">
        <f>EXP(-LN(2)/25)*FR45+(1-EXP(-LN(2)/25))/(LN(2)/25)*Calculateur!FM46*Calculateur!FO46*VLOOKUP('Données projet'!$B$16,Paramètres!$A$1:$I$89,3,0)*0.475*44/12</f>
        <v>50.022989613404881</v>
      </c>
      <c r="FS46" s="21">
        <f>EXP(-LN(2)/2)*FS45+(1-EXP(-LN(2)/2))/(LN(2)/2)*FM46*FP46*VLOOKUP('Données projet'!$B$16,Paramètres!$A$1:$I$89,3,0)*0.475*44/12</f>
        <v>6.6040210643756296</v>
      </c>
      <c r="FT46" s="22">
        <f t="shared" si="24"/>
        <v>61.732296084242726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66.819486998891819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66.819486998891819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1.35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4.95</v>
      </c>
      <c r="H47" s="67">
        <f t="shared" si="1"/>
        <v>236.86666666666665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66.874661788899218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11.4</v>
      </c>
      <c r="N47" s="13">
        <f>IF('Données projet'!$A$36&gt;35,N46+M47-V46,IF(A47&lt;'Données projet'!$A$36,$K$205^A47,IF(A47='Données projet'!$A$36,'Données projet'!$B$36,N46+M47-V46)))</f>
        <v>192.59999999999997</v>
      </c>
      <c r="O47" s="13">
        <f>N47*VLOOKUP('Données projet'!$B$9,Paramètres!$A$1:$I$89,3,0)*VLOOKUP('Données projet'!$B$9,Paramètres!$A$1:$I$89,5,0)</f>
        <v>174.26447999999996</v>
      </c>
      <c r="P47" s="13">
        <f t="shared" si="33"/>
        <v>44.043743683739521</v>
      </c>
      <c r="Q47" s="20">
        <f t="shared" si="53"/>
        <v>380.22015624917958</v>
      </c>
      <c r="R47" s="59">
        <f t="shared" si="0"/>
        <v>662.09391614181004</v>
      </c>
      <c r="S47" s="59">
        <f ca="1">AVERAGE(OFFSET($R$3,0,0,'Données projet'!$E$9+1,1))-AVERAGE(OFFSET($H$3,0,0,'Données projet'!$E$9+1,1))</f>
        <v>466.90449882701591</v>
      </c>
      <c r="T47" s="59">
        <f t="shared" si="34"/>
        <v>283.37641704892053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2.2251165134855517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2.2251165134855517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66.874661788899218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8.4</v>
      </c>
      <c r="AI47" s="13">
        <f>IF('Données projet'!$A$62&gt;35,AI46+AH47-AQ46,IF(A47&lt;'Données projet'!$A$62,$AF$205^A47,IF(A47='Données projet'!$A$62,'Données projet'!$B$62,AI46+AH47-AQ46)))</f>
        <v>149.60000000000008</v>
      </c>
      <c r="AJ47" s="13">
        <f>AI47*VLOOKUP('Données projet'!$B$10,Paramètres!$A$1:$I$89,3,0)*VLOOKUP('Données projet'!$B$10,Paramètres!$A$1:$I$89,5,0)</f>
        <v>142.35936000000007</v>
      </c>
      <c r="AK47" s="13">
        <f t="shared" si="35"/>
        <v>36.836974905762489</v>
      </c>
      <c r="AL47" s="20">
        <f t="shared" si="4"/>
        <v>312.10028329420317</v>
      </c>
      <c r="AM47" s="59">
        <f t="shared" si="5"/>
        <v>593.97404318683357</v>
      </c>
      <c r="AN47" s="59">
        <f ca="1">AVERAGE(OFFSET($AM$3,0,0,'Données projet'!$E$10+1,1))-AVERAGE(OFFSET($H$3,0,0,'Données projet'!$E$10+1,1))</f>
        <v>399.5572791581468</v>
      </c>
      <c r="AO47" s="59">
        <f t="shared" si="36"/>
        <v>246.34185986079777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1.755156560206276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1.755156560206276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66.874661788899218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>
        <f>VLOOKUP(A47,'Données projet'!$A$87:$I$107,2,0)</f>
        <v>230</v>
      </c>
      <c r="BB47" s="12">
        <f>VLOOKUP(A47,'Données projet'!$A$87:$I$107,9,0)</f>
        <v>11.142857142857142</v>
      </c>
      <c r="BC47" s="12">
        <f t="array" ref="BC47">INDEX(BB:BB,MIN(IF(ISNUMBER(BB47:BB243),ROW(BB47:BB243),"")))</f>
        <v>11.142857142857142</v>
      </c>
      <c r="BD47" s="12">
        <f>IF('Données projet'!$A$88&gt;35,BD46+BC47-BL46,IF(A47&lt;'Données projet'!$A$88,$BA$205^A47,IF(A47='Données projet'!$A$88,'Données projet'!$B$88,BD46+BC47-BL46)))</f>
        <v>229.99999999999991</v>
      </c>
      <c r="BE47" s="13">
        <f>BD47*VLOOKUP('Données projet'!$B$11,Paramètres!$A$1:$I$89,3,0)*VLOOKUP('Données projet'!$B$11,Paramètres!$A$1:$I$89,5,0)</f>
        <v>179.39999999999995</v>
      </c>
      <c r="BF47" s="13">
        <f t="shared" si="37"/>
        <v>45.188671291872232</v>
      </c>
      <c r="BG47" s="20">
        <f t="shared" si="7"/>
        <v>391.15860250001066</v>
      </c>
      <c r="BH47" s="59">
        <f t="shared" si="8"/>
        <v>673.03236239264106</v>
      </c>
      <c r="BI47" s="59">
        <f ca="1">AVERAGE(OFFSET($BH$3,0,0,'Données projet'!$E$11+1,1))-AVERAGE(OFFSET($H$3,0,0,'Données projet'!$E$11+1,1))</f>
        <v>294.23449029791681</v>
      </c>
      <c r="BJ47" s="59">
        <f t="shared" si="38"/>
        <v>288.64639202306159</v>
      </c>
      <c r="BK47" s="15">
        <f>IF(ISNA(VLOOKUP(A47,'Données projet'!$A$87:$I$107,3,0)),0,VLOOKUP(A47,'Données projet'!$A$87:$I$107,3,0))</f>
        <v>6</v>
      </c>
      <c r="BL47" s="15">
        <f>IF(ISNA(VLOOKUP(A47,'Données projet'!$A$87:$I$107,4,0)),0,VLOOKUP(A47,'Données projet'!$A$87:$I$107,4,0))</f>
        <v>43</v>
      </c>
      <c r="BM47" s="16">
        <f>IF(ISNA(VLOOKUP(A47,'Données projet'!$A$87:$I$107,5,0)),0%,VLOOKUP(A47,'Données projet'!$A$87:$I$107,5,0)*VLOOKUP('Données projet'!$B$11,Paramètres!$A$1:$I$89,7,0))</f>
        <v>0.17200000000000001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14.333092412362728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14.333092412362728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66.874661788899218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8.4</v>
      </c>
      <c r="BY47" s="12">
        <f>IF('Données projet'!$A$114&gt;35,BY46+BX47-CG46,IF(A47&lt;'Données projet'!$A$114,$BV$205^A47,IF(A47='Données projet'!$A$114,'Données projet'!$B$114,BY46+BX47-CG46)))</f>
        <v>149.60000000000008</v>
      </c>
      <c r="BZ47" s="13">
        <f>BY47*VLOOKUP('Données projet'!$B$12,Paramètres!$A$1:$I$89,3,0)*VLOOKUP('Données projet'!$B$12,Paramètres!$A$1:$I$89,5,0)</f>
        <v>161.02944000000008</v>
      </c>
      <c r="CA47" s="13">
        <f t="shared" si="39"/>
        <v>41.074621732940727</v>
      </c>
      <c r="CB47" s="20">
        <f t="shared" si="10"/>
        <v>351.99790751820524</v>
      </c>
      <c r="CC47" s="59">
        <f t="shared" si="11"/>
        <v>633.8716674108357</v>
      </c>
      <c r="CD47" s="59">
        <f ca="1">AVERAGE(OFFSET($CC$3,0,0,'Données projet'!$E$12+1,1))-AVERAGE(OFFSET($H$3,0,0,'Données projet'!$E$12+1,1))</f>
        <v>445.38112098358147</v>
      </c>
      <c r="CE47" s="59">
        <f t="shared" si="40"/>
        <v>272.45883568548516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1.9853410271185739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1.9853410271185739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66.874661788899218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8.4</v>
      </c>
      <c r="CT47" s="12">
        <f>IF('Données projet'!$A$140&gt;35,CT46+CS47-DB46,IF(A47&lt;'Données projet'!$A$140,$CQ$205^A47,IF(A47='Données projet'!$A$140,'Données projet'!$B$140,CT46+CS47-DB46)))</f>
        <v>149.60000000000008</v>
      </c>
      <c r="CU47" s="17">
        <f>CT47*VLOOKUP('Données projet'!$B$13,Paramètres!$A$1:$I$89,3,0)*VLOOKUP('Données projet'!$B$13,Paramètres!$A$1:$I$89,5,0)</f>
        <v>161.02944000000008</v>
      </c>
      <c r="CV47" s="13">
        <f t="shared" si="41"/>
        <v>41.074621732940727</v>
      </c>
      <c r="CW47" s="20">
        <f t="shared" si="13"/>
        <v>351.99790751820524</v>
      </c>
      <c r="CX47" s="59">
        <f t="shared" si="14"/>
        <v>633.8716674108357</v>
      </c>
      <c r="CY47" s="59">
        <f ca="1">AVERAGE(OFFSET($CX$3,0,0,'Données projet'!$E$13+1,1))-AVERAGE(OFFSET($H$3,0,0,'Données projet'!$E$13+1,1))</f>
        <v>445.38112098358147</v>
      </c>
      <c r="CZ47" s="59">
        <f t="shared" si="42"/>
        <v>272.45883568548516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1.9853410271185739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1.9853410271185739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66.874661788899218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8.4</v>
      </c>
      <c r="DO47" s="12">
        <f>IF('Données projet'!$A$166&gt;35,DO46+DN47-DW46,IF(A47&lt;'Données projet'!$A$166,$DL$205^A47,IF(A47='Données projet'!$A$166,'Données projet'!$B$166,DO46+DN47-DW46)))</f>
        <v>149.60000000000008</v>
      </c>
      <c r="DP47" s="17">
        <f>DO47*VLOOKUP('Données projet'!$B$14,Paramètres!$A$1:$I$89,3,0)*VLOOKUP('Données projet'!$B$14,Paramètres!$A$1:$I$89,5,0)</f>
        <v>144.69312000000008</v>
      </c>
      <c r="DQ47" s="13">
        <f t="shared" si="43"/>
        <v>37.370061524802772</v>
      </c>
      <c r="DR47" s="20">
        <f t="shared" si="16"/>
        <v>317.09337448903159</v>
      </c>
      <c r="DS47" s="59">
        <f t="shared" si="17"/>
        <v>598.96713438166205</v>
      </c>
      <c r="DT47" s="59">
        <f ca="1">AVERAGE(OFFSET($DS$3,0,0,'Données projet'!$E$14+1,1))-AVERAGE(OFFSET($H$3,0,0,'Données projet'!$E$14+1,1))</f>
        <v>405.29179902613089</v>
      </c>
      <c r="DU47" s="59">
        <f t="shared" si="44"/>
        <v>249.61049717638238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1.7839296185703133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1.7839296185703133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66.874661788899218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20.612000000000002</v>
      </c>
      <c r="EJ47" s="12">
        <f>IF('Données projet'!$A$192&gt;35,EJ46+EI47-ER46,IF(A47&lt;'Données projet'!$A$192,$EG$205^A47,IF(A47='Données projet'!$A$192,'Données projet'!$B$192,EJ46+EI47-ER46)))</f>
        <v>425.03600000000006</v>
      </c>
      <c r="EK47" s="17">
        <f>EJ47*VLOOKUP('Données projet'!$B$15,Paramètres!$A$1:$I$89,3,0)*VLOOKUP('Données projet'!$B$15,Paramètres!$A$1:$I$89,5,0)</f>
        <v>254.17152800000005</v>
      </c>
      <c r="EL47" s="13">
        <f t="shared" si="45"/>
        <v>61.47834864609284</v>
      </c>
      <c r="EM47" s="20">
        <f t="shared" si="19"/>
        <v>549.75686849194506</v>
      </c>
      <c r="EN47" s="59">
        <f t="shared" si="20"/>
        <v>831.63062838457552</v>
      </c>
      <c r="EO47" s="59">
        <f ca="1">AVERAGE(OFFSET($EN$3,0,0,'Données projet'!$E$15+1,1))-AVERAGE(OFFSET($H$3,0,0,'Données projet'!$E$15+1,1))</f>
        <v>444.77624981561257</v>
      </c>
      <c r="EP47" s="59">
        <f t="shared" si="46"/>
        <v>382.10319641527587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11.219986012723608</v>
      </c>
      <c r="EW47" s="21">
        <f>EXP(-LN(2)/25)*EW46+(1-EXP(-LN(2)/25))/(LN(2)/25)*Calculateur!ER47*Calculateur!ET47*VLOOKUP('Données projet'!$B$15,Paramètres!$A$1:$I$89,3,0)*0.475*44/12</f>
        <v>22.358321731106532</v>
      </c>
      <c r="EX47" s="21">
        <f>EXP(-LN(2)/2)*EX46+(1-EXP(-LN(2)/2))/(LN(2)/2)*ER47*EU47*VLOOKUP('Données projet'!$B$15,Paramètres!$A$1:$I$89,3,0)*0.475*44/12</f>
        <v>1.2883583627073489</v>
      </c>
      <c r="EY47" s="22">
        <f t="shared" si="21"/>
        <v>34.866666106537487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66.874661788899218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30.6</v>
      </c>
      <c r="FE47" s="12">
        <f>IF('Données projet'!$A$218&gt;35,FE46+FD47-FM46,IF(A47&lt;'Données projet'!$A$218,$FB$205^A47,IF(A47='Données projet'!$A$218,'Données projet'!$B$218,FE46+FD47-FM46)))</f>
        <v>620.4</v>
      </c>
      <c r="FF47" s="17">
        <f>FE47*VLOOKUP('Données projet'!$B$16,Paramètres!$A$1:$I$89,3,0)*VLOOKUP('Données projet'!$B$16,Paramètres!$A$1:$I$89,5,0)</f>
        <v>274.21680000000003</v>
      </c>
      <c r="FG47" s="13">
        <f t="shared" si="47"/>
        <v>65.743371927752975</v>
      </c>
      <c r="FH47" s="20">
        <f t="shared" si="22"/>
        <v>592.09729944083642</v>
      </c>
      <c r="FI47" s="59">
        <f t="shared" si="23"/>
        <v>873.97105933346688</v>
      </c>
      <c r="FJ47" s="59">
        <f ca="1">AVERAGE(OFFSET($FI$3,0,0,'Données projet'!$E$16+1,1))-AVERAGE(OFFSET($H$3,0,0,'Données projet'!$E$16+1,1))</f>
        <v>508.71179785154317</v>
      </c>
      <c r="FK47" s="59">
        <f t="shared" si="48"/>
        <v>422.73937290731442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5.0051738735581184</v>
      </c>
      <c r="FR47" s="21">
        <f>EXP(-LN(2)/25)*FR46+(1-EXP(-LN(2)/25))/(LN(2)/25)*Calculateur!FM47*Calculateur!FO47*VLOOKUP('Données projet'!$B$16,Paramètres!$A$1:$I$89,3,0)*0.475*44/12</f>
        <v>48.655108331831627</v>
      </c>
      <c r="FS47" s="21">
        <f>EXP(-LN(2)/2)*FS46+(1-EXP(-LN(2)/2))/(LN(2)/2)*FM47*FP47*VLOOKUP('Données projet'!$B$16,Paramètres!$A$1:$I$89,3,0)*0.475*44/12</f>
        <v>4.6697480777188094</v>
      </c>
      <c r="FT47" s="22">
        <f t="shared" si="24"/>
        <v>58.330030283108556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66.874661788899218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66.874661788899218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1.35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4.95</v>
      </c>
      <c r="H48" s="67">
        <f t="shared" si="1"/>
        <v>236.86666666666665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66.928879419652333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204</v>
      </c>
      <c r="L48" s="12">
        <f>VLOOKUP(A48,'Données projet'!$A$35:$I$55,9,0)</f>
        <v>11.4</v>
      </c>
      <c r="M48" s="12">
        <f t="array" ref="M48">INDEX(L:L,MIN(IF(ISNUMBER(L48:L244),ROW(L48:L244),"")))</f>
        <v>11.4</v>
      </c>
      <c r="N48" s="13">
        <f>IF('Données projet'!$A$36&gt;35,N47+M48-V47,IF(A48&lt;'Données projet'!$A$36,$K$205^A48,IF(A48='Données projet'!$A$36,'Données projet'!$B$36,N47+M48-V47)))</f>
        <v>203.99999999999997</v>
      </c>
      <c r="O48" s="13">
        <f>N48*VLOOKUP('Données projet'!$B$9,Paramètres!$A$1:$I$89,3,0)*VLOOKUP('Données projet'!$B$9,Paramètres!$A$1:$I$89,5,0)</f>
        <v>184.57919999999999</v>
      </c>
      <c r="P48" s="13">
        <f t="shared" si="33"/>
        <v>46.339479465836618</v>
      </c>
      <c r="Q48" s="20">
        <f t="shared" si="53"/>
        <v>402.18336673633206</v>
      </c>
      <c r="R48" s="59">
        <f t="shared" si="0"/>
        <v>684.25592460839061</v>
      </c>
      <c r="S48" s="59">
        <f ca="1">AVERAGE(OFFSET($R$3,0,0,'Données projet'!$E$9+1,1))-AVERAGE(OFFSET($H$3,0,0,'Données projet'!$E$9+1,1))</f>
        <v>466.90449882701591</v>
      </c>
      <c r="T48" s="59">
        <f t="shared" si="34"/>
        <v>283.37641704892053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28</v>
      </c>
      <c r="W48" s="16">
        <f>IF(ISNA(VLOOKUP(A48,'Données projet'!$A$35:$I$55,5,0)),0%,VLOOKUP(A48,'Données projet'!$A$35:$I$55,5,0)*VLOOKUP('Données projet'!$B$9,Paramètres!$A$1:$I$89,7,0))</f>
        <v>8.6000000000000007E-2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4.590036211201765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4.590036211201765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66.928879419652333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158</v>
      </c>
      <c r="AG48" s="12">
        <f>VLOOKUP(A48,'Données projet'!$A$61:$I$81,9,0)</f>
        <v>8.4</v>
      </c>
      <c r="AH48" s="12">
        <f t="array" ref="AH48">INDEX(AG:AG,MIN(IF(ISNUMBER(AG48:AG244),ROW(AG48:AG244),"")))</f>
        <v>8.4</v>
      </c>
      <c r="AI48" s="13">
        <f>IF('Données projet'!$A$62&gt;35,AI47+AH48-AQ47,IF(A48&lt;'Données projet'!$A$62,$AF$205^A48,IF(A48='Données projet'!$A$62,'Données projet'!$B$62,AI47+AH48-AQ47)))</f>
        <v>158.00000000000009</v>
      </c>
      <c r="AJ48" s="13">
        <f>AI48*VLOOKUP('Données projet'!$B$10,Paramètres!$A$1:$I$89,3,0)*VLOOKUP('Données projet'!$B$10,Paramètres!$A$1:$I$89,5,0)</f>
        <v>150.35280000000009</v>
      </c>
      <c r="AK48" s="13">
        <f t="shared" si="35"/>
        <v>38.658749721546236</v>
      </c>
      <c r="AL48" s="20">
        <f t="shared" si="4"/>
        <v>329.19511576502651</v>
      </c>
      <c r="AM48" s="59">
        <f t="shared" si="5"/>
        <v>611.26767363708507</v>
      </c>
      <c r="AN48" s="59">
        <f ca="1">AVERAGE(OFFSET($AM$3,0,0,'Données projet'!$E$10+1,1))-AVERAGE(OFFSET($H$3,0,0,'Données projet'!$E$10+1,1))</f>
        <v>399.5572791581468</v>
      </c>
      <c r="AO48" s="59">
        <f t="shared" si="36"/>
        <v>246.34185986079777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21</v>
      </c>
      <c r="AR48" s="16">
        <f>IF(ISNA(VLOOKUP(A48,'Données projet'!$A$61:$I$81,5,0)),0%,VLOOKUP(A48,'Données projet'!$A$61:$I$81,5,0)*VLOOKUP('Données projet'!$B$10,Paramètres!$A$1:$I$89,7,0))</f>
        <v>8.6000000000000007E-2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3.6205889079738069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3.6205889079738069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66.928879419652333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10.375</v>
      </c>
      <c r="BD48" s="12">
        <f>IF('Données projet'!$A$88&gt;35,BD47+BC48-BL47,IF(A48&lt;'Données projet'!$A$88,$BA$205^A48,IF(A48='Données projet'!$A$88,'Données projet'!$B$88,BD47+BC48-BL47)))</f>
        <v>197.37499999999991</v>
      </c>
      <c r="BE48" s="13">
        <f>BD48*VLOOKUP('Données projet'!$B$11,Paramètres!$A$1:$I$89,3,0)*VLOOKUP('Données projet'!$B$11,Paramètres!$A$1:$I$89,5,0)</f>
        <v>153.95249999999993</v>
      </c>
      <c r="BF48" s="13">
        <f t="shared" si="37"/>
        <v>39.475441267837361</v>
      </c>
      <c r="BG48" s="20">
        <f t="shared" si="7"/>
        <v>336.88699770814992</v>
      </c>
      <c r="BH48" s="59">
        <f t="shared" si="8"/>
        <v>618.95955558020842</v>
      </c>
      <c r="BI48" s="59">
        <f ca="1">AVERAGE(OFFSET($BH$3,0,0,'Données projet'!$E$11+1,1))-AVERAGE(OFFSET($H$3,0,0,'Données projet'!$E$11+1,1))</f>
        <v>294.23449029791681</v>
      </c>
      <c r="BJ48" s="59">
        <f t="shared" si="38"/>
        <v>288.64639202306159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14.052029212479434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14.052029212479434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66.928879419652333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158</v>
      </c>
      <c r="BW48" s="12">
        <f>VLOOKUP(A48,'Données projet'!$A$113:$I$133,9,0)</f>
        <v>8.4</v>
      </c>
      <c r="BX48" s="12">
        <f t="array" ref="BX48">INDEX(BW:BW,MIN(IF(ISNUMBER(BW48:BW244),ROW(BW48:BW244),"")))</f>
        <v>8.4</v>
      </c>
      <c r="BY48" s="12">
        <f>IF('Données projet'!$A$114&gt;35,BY47+BX48-CG47,IF(A48&lt;'Données projet'!$A$114,$BV$205^A48,IF(A48='Données projet'!$A$114,'Données projet'!$B$114,BY47+BX48-CG47)))</f>
        <v>158.00000000000009</v>
      </c>
      <c r="BZ48" s="13">
        <f>BY48*VLOOKUP('Données projet'!$B$12,Paramètres!$A$1:$I$89,3,0)*VLOOKUP('Données projet'!$B$12,Paramètres!$A$1:$I$89,5,0)</f>
        <v>170.07120000000009</v>
      </c>
      <c r="CA48" s="13">
        <f t="shared" si="39"/>
        <v>43.10596962815594</v>
      </c>
      <c r="CB48" s="20">
        <f t="shared" si="10"/>
        <v>371.28357043570509</v>
      </c>
      <c r="CC48" s="59">
        <f t="shared" si="11"/>
        <v>653.35612830776358</v>
      </c>
      <c r="CD48" s="59">
        <f ca="1">AVERAGE(OFFSET($CC$3,0,0,'Données projet'!$E$12+1,1))-AVERAGE(OFFSET($H$3,0,0,'Données projet'!$E$12+1,1))</f>
        <v>445.38112098358147</v>
      </c>
      <c r="CE48" s="59">
        <f t="shared" si="40"/>
        <v>272.45883568548516</v>
      </c>
      <c r="CF48" s="15">
        <f>IF(ISNA(VLOOKUP(A48,'Données projet'!$A$113:$I$133,3,0)),0,VLOOKUP(A48,'Données projet'!$A$113:$I$133,3,0))</f>
        <v>6</v>
      </c>
      <c r="CG48" s="15">
        <f>IF(ISNA(VLOOKUP(A48,'Données projet'!$A$113:$I$133,4,0)),0,VLOOKUP(A48,'Données projet'!$A$113:$I$133,4,0))</f>
        <v>21</v>
      </c>
      <c r="CH48" s="16">
        <f>IF(ISNA(VLOOKUP(A48,'Données projet'!$A$113:$I$133,5,0)),0%,VLOOKUP(A48,'Données projet'!$A$113:$I$133,5,0)*VLOOKUP('Données projet'!$B$12,Paramètres!$A$1:$I$89,7,0))</f>
        <v>8.6000000000000007E-2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4.0954202401670914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4.0954202401670914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66.928879419652333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158</v>
      </c>
      <c r="CR48" s="12">
        <f>VLOOKUP(A48,'Données projet'!$A$139:$I$159,9,0)</f>
        <v>8.4</v>
      </c>
      <c r="CS48" s="12">
        <f t="array" ref="CS48">INDEX(CR:CR,MIN(IF(ISNUMBER(CR48:CR244),ROW(CR48:CR244),"")))</f>
        <v>8.4</v>
      </c>
      <c r="CT48" s="12">
        <f>IF('Données projet'!$A$140&gt;35,CT47+CS48-DB47,IF(A48&lt;'Données projet'!$A$140,$CQ$205^A48,IF(A48='Données projet'!$A$140,'Données projet'!$B$140,CT47+CS48-DB47)))</f>
        <v>158.00000000000009</v>
      </c>
      <c r="CU48" s="17">
        <f>CT48*VLOOKUP('Données projet'!$B$13,Paramètres!$A$1:$I$89,3,0)*VLOOKUP('Données projet'!$B$13,Paramètres!$A$1:$I$89,5,0)</f>
        <v>170.07120000000009</v>
      </c>
      <c r="CV48" s="13">
        <f t="shared" si="41"/>
        <v>43.10596962815594</v>
      </c>
      <c r="CW48" s="20">
        <f t="shared" si="13"/>
        <v>371.28357043570509</v>
      </c>
      <c r="CX48" s="59">
        <f t="shared" si="14"/>
        <v>653.35612830776358</v>
      </c>
      <c r="CY48" s="59">
        <f ca="1">AVERAGE(OFFSET($CX$3,0,0,'Données projet'!$E$13+1,1))-AVERAGE(OFFSET($H$3,0,0,'Données projet'!$E$13+1,1))</f>
        <v>445.38112098358147</v>
      </c>
      <c r="CZ48" s="59">
        <f t="shared" si="42"/>
        <v>272.45883568548516</v>
      </c>
      <c r="DA48" s="15">
        <f>IF(ISNA(VLOOKUP(A48,'Données projet'!$A$139:$I$159,3,0)),0,VLOOKUP(A48,'Données projet'!$A$139:$I$159,3,0))</f>
        <v>6</v>
      </c>
      <c r="DB48" s="15">
        <f>IF(ISNA(VLOOKUP(A48,'Données projet'!$A$139:$I$159,4,0)),0,VLOOKUP(A48,'Données projet'!$A$139:$I$159,4,0))</f>
        <v>21</v>
      </c>
      <c r="DC48" s="16">
        <f>IF(ISNA(VLOOKUP(A48,'Données projet'!$A$139:$I$159,5,0)),0%,VLOOKUP(A48,'Données projet'!$A$139:$I$159,5,0)*VLOOKUP('Données projet'!$B$13,Paramètres!$A$1:$I$89,7,0))</f>
        <v>8.6000000000000007E-2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4.0954202401670914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4.0954202401670914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66.928879419652333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158</v>
      </c>
      <c r="DM48" s="12">
        <f>VLOOKUP(A48,'Données projet'!$A$165:$I$185,9,0)</f>
        <v>8.4</v>
      </c>
      <c r="DN48" s="12">
        <f t="array" ref="DN48">INDEX(DM:DM,MIN(IF(ISNUMBER(DM48:DM244),ROW(DM48:DM244),"")))</f>
        <v>8.4</v>
      </c>
      <c r="DO48" s="12">
        <f>IF('Données projet'!$A$166&gt;35,DO47+DN48-DW47,IF(A48&lt;'Données projet'!$A$166,$DL$205^A48,IF(A48='Données projet'!$A$166,'Données projet'!$B$166,DO47+DN48-DW47)))</f>
        <v>158.00000000000009</v>
      </c>
      <c r="DP48" s="17">
        <f>DO48*VLOOKUP('Données projet'!$B$14,Paramètres!$A$1:$I$89,3,0)*VLOOKUP('Données projet'!$B$14,Paramètres!$A$1:$I$89,5,0)</f>
        <v>152.81760000000008</v>
      </c>
      <c r="DQ48" s="13">
        <f t="shared" si="43"/>
        <v>39.218200171484227</v>
      </c>
      <c r="DR48" s="20">
        <f t="shared" si="16"/>
        <v>334.46235196533513</v>
      </c>
      <c r="DS48" s="59">
        <f t="shared" si="17"/>
        <v>616.53490983739368</v>
      </c>
      <c r="DT48" s="59">
        <f ca="1">AVERAGE(OFFSET($DS$3,0,0,'Données projet'!$E$14+1,1))-AVERAGE(OFFSET($H$3,0,0,'Données projet'!$E$14+1,1))</f>
        <v>405.29179902613089</v>
      </c>
      <c r="DU48" s="59">
        <f t="shared" si="44"/>
        <v>249.61049717638238</v>
      </c>
      <c r="DV48" s="15">
        <f>IF(ISNA(VLOOKUP(A48,'Données projet'!$A$165:$I$185,3,0)),0,VLOOKUP(A48,'Données projet'!$A$165:$I$185,3,0))</f>
        <v>6</v>
      </c>
      <c r="DW48" s="15">
        <f>IF(ISNA(VLOOKUP(A48,'Données projet'!$A$165:$I$185,4,0)),0,VLOOKUP(A48,'Données projet'!$A$165:$I$185,4,0))</f>
        <v>21</v>
      </c>
      <c r="DX48" s="16">
        <f>IF(ISNA(VLOOKUP(A48,'Données projet'!$A$165:$I$185,5,0)),0%,VLOOKUP(A48,'Données projet'!$A$165:$I$185,5,0)*VLOOKUP('Données projet'!$B$14,Paramètres!$A$1:$I$89,7,0))</f>
        <v>8.6000000000000007E-2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3.6799428244979673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3.6799428244979673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66.928879419652333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20.612000000000002</v>
      </c>
      <c r="EJ48" s="12">
        <f>IF('Données projet'!$A$192&gt;35,EJ47+EI48-ER47,IF(A48&lt;'Données projet'!$A$192,$EG$205^A48,IF(A48='Données projet'!$A$192,'Données projet'!$B$192,EJ47+EI48-ER47)))</f>
        <v>445.64800000000008</v>
      </c>
      <c r="EK48" s="17">
        <f>EJ48*VLOOKUP('Données projet'!$B$15,Paramètres!$A$1:$I$89,3,0)*VLOOKUP('Données projet'!$B$15,Paramètres!$A$1:$I$89,5,0)</f>
        <v>266.49750400000005</v>
      </c>
      <c r="EL48" s="13">
        <f t="shared" si="45"/>
        <v>64.105387319635156</v>
      </c>
      <c r="EM48" s="20">
        <f t="shared" si="19"/>
        <v>575.80003571503119</v>
      </c>
      <c r="EN48" s="59">
        <f t="shared" si="20"/>
        <v>857.8725935870898</v>
      </c>
      <c r="EO48" s="59">
        <f ca="1">AVERAGE(OFFSET($EN$3,0,0,'Données projet'!$E$15+1,1))-AVERAGE(OFFSET($H$3,0,0,'Données projet'!$E$15+1,1))</f>
        <v>444.77624981561257</v>
      </c>
      <c r="EP48" s="59">
        <f t="shared" si="46"/>
        <v>382.10319641527587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10.999968930529825</v>
      </c>
      <c r="EW48" s="21">
        <f>EXP(-LN(2)/25)*EW47+(1-EXP(-LN(2)/25))/(LN(2)/25)*Calculateur!ER48*Calculateur!ET48*VLOOKUP('Données projet'!$B$15,Paramètres!$A$1:$I$89,3,0)*0.475*44/12</f>
        <v>21.746932247596384</v>
      </c>
      <c r="EX48" s="21">
        <f>EXP(-LN(2)/2)*EX47+(1-EXP(-LN(2)/2))/(LN(2)/2)*ER48*EU48*VLOOKUP('Données projet'!$B$15,Paramètres!$A$1:$I$89,3,0)*0.475*44/12</f>
        <v>0.91100693486876405</v>
      </c>
      <c r="EY48" s="22">
        <f t="shared" si="21"/>
        <v>33.657908112994974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66.928879419652333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651</v>
      </c>
      <c r="FC48" s="12">
        <f>VLOOKUP(A48,'Données projet'!$A$217:$I$237,9,0)</f>
        <v>30.6</v>
      </c>
      <c r="FD48" s="12">
        <f t="array" ref="FD48">INDEX(FC:FC,MIN(IF(ISNUMBER(FC48:FC244),ROW(FC48:FC244),"")))</f>
        <v>30.6</v>
      </c>
      <c r="FE48" s="12">
        <f>IF('Données projet'!$A$218&gt;35,FE47+FD48-FM47,IF(A48&lt;'Données projet'!$A$218,$FB$205^A48,IF(A48='Données projet'!$A$218,'Données projet'!$B$218,FE47+FD48-FM47)))</f>
        <v>651</v>
      </c>
      <c r="FF48" s="17">
        <f>FE48*VLOOKUP('Données projet'!$B$16,Paramètres!$A$1:$I$89,3,0)*VLOOKUP('Données projet'!$B$16,Paramètres!$A$1:$I$89,5,0)</f>
        <v>287.74200000000002</v>
      </c>
      <c r="FG48" s="13">
        <f t="shared" si="47"/>
        <v>68.600509865830645</v>
      </c>
      <c r="FH48" s="20">
        <f t="shared" si="22"/>
        <v>620.62987134965499</v>
      </c>
      <c r="FI48" s="59">
        <f t="shared" si="23"/>
        <v>902.7024292217136</v>
      </c>
      <c r="FJ48" s="59">
        <f ca="1">AVERAGE(OFFSET($FI$3,0,0,'Données projet'!$E$16+1,1))-AVERAGE(OFFSET($H$3,0,0,'Données projet'!$E$16+1,1))</f>
        <v>508.71179785154317</v>
      </c>
      <c r="FK48" s="59">
        <f t="shared" si="48"/>
        <v>422.73937290731442</v>
      </c>
      <c r="FL48" s="15">
        <f>IF(ISNA(VLOOKUP(A48,'Données projet'!$A$217:$I$237,3,0)),0,VLOOKUP(A48,'Données projet'!$A$217:$I$237,3,0))</f>
        <v>7</v>
      </c>
      <c r="FM48" s="15">
        <f>IF(ISNA(VLOOKUP(A48,'Données projet'!$A$217:$I$237,4,0)),0,VLOOKUP(A48,'Données projet'!$A$217:$I$237,4,0))</f>
        <v>69</v>
      </c>
      <c r="FN48" s="16">
        <f>IF(ISNA(VLOOKUP(A48,'Données projet'!$A$217:$I$237,5,0)),0%,VLOOKUP(A48,'Données projet'!$A$217:$I$237,5,0)*VLOOKUP('Données projet'!$B$16,Paramètres!$A$1:$I$89,7,0))</f>
        <v>0.11000000000000001</v>
      </c>
      <c r="FO48" s="16">
        <f>IF(ISNA(VLOOKUP(A48,'Données projet'!$A$217:$I$237,6,0)),0%,VLOOKUP(A48,'Données projet'!$A$217:$I$237,6,0)*VLOOKUP('Données projet'!$B$16,Paramètres!$A$1:$I$89,7,0))</f>
        <v>0.24750000000000003</v>
      </c>
      <c r="FP48" s="16">
        <f>IF(ISNA(VLOOKUP(A48,'Données projet'!$A$217:$I$237,7,0)),0%,VLOOKUP(A48,'Données projet'!$A$217:$I$237,7,0))</f>
        <v>0.35</v>
      </c>
      <c r="FQ48" s="21">
        <f>EXP(-LN(2)/35)*FQ47+(1-EXP(-LN(2)/35))/(LN(2)/35)*FM48*FN48*VLOOKUP('Données projet'!$B$16,Paramètres!$A$1:$I$89,3,0)*0.475*44/12</f>
        <v>9.3573573705717248</v>
      </c>
      <c r="FR48" s="21">
        <f>EXP(-LN(2)/25)*FR47+(1-EXP(-LN(2)/25))/(LN(2)/25)*Calculateur!FM48*Calculateur!FO48*VLOOKUP('Données projet'!$B$16,Paramètres!$A$1:$I$89,3,0)*0.475*44/12</f>
        <v>57.298452651497385</v>
      </c>
      <c r="FS48" s="21">
        <f>EXP(-LN(2)/2)*FS47+(1-EXP(-LN(2)/2))/(LN(2)/2)*FM48*FP48*VLOOKUP('Données projet'!$B$16,Paramètres!$A$1:$I$89,3,0)*0.475*44/12</f>
        <v>15.387797745674568</v>
      </c>
      <c r="FT48" s="22">
        <f t="shared" si="24"/>
        <v>82.04360776774368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66.928879419652333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66.928879419652333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1.35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4.95</v>
      </c>
      <c r="H49" s="67">
        <f t="shared" si="1"/>
        <v>236.86666666666665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66.982156495724354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</v>
      </c>
      <c r="N49" s="13">
        <f>IF('Données projet'!$A$36&gt;35,N48+M49-V48,IF(A49&lt;'Données projet'!$A$36,$K$205^A49,IF(A49='Données projet'!$A$36,'Données projet'!$B$36,N48+M49-V48)))</f>
        <v>186.99999999999997</v>
      </c>
      <c r="O49" s="13">
        <f>N49*VLOOKUP('Données projet'!$B$9,Paramètres!$A$1:$I$89,3,0)*VLOOKUP('Données projet'!$B$9,Paramètres!$A$1:$I$89,5,0)</f>
        <v>169.19759999999997</v>
      </c>
      <c r="P49" s="13">
        <f t="shared" si="33"/>
        <v>42.910263223432885</v>
      </c>
      <c r="Q49" s="20">
        <f t="shared" si="53"/>
        <v>369.42119511414552</v>
      </c>
      <c r="R49" s="59">
        <f t="shared" si="0"/>
        <v>651.68910226513481</v>
      </c>
      <c r="S49" s="59">
        <f ca="1">AVERAGE(OFFSET($R$3,0,0,'Données projet'!$E$9+1,1))-AVERAGE(OFFSET($H$3,0,0,'Données projet'!$E$9+1,1))</f>
        <v>466.90449882701591</v>
      </c>
      <c r="T49" s="59">
        <f t="shared" si="34"/>
        <v>283.37641704892053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4.5000284007457454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4.5000284007457454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66.982156495724354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8.1999999999999993</v>
      </c>
      <c r="AI49" s="13">
        <f>IF('Données projet'!$A$62&gt;35,AI48+AH49-AQ48,IF(A49&lt;'Données projet'!$A$62,$AF$205^A49,IF(A49='Données projet'!$A$62,'Données projet'!$B$62,AI48+AH49-AQ48)))</f>
        <v>145.20000000000007</v>
      </c>
      <c r="AJ49" s="13">
        <f>AI49*VLOOKUP('Données projet'!$B$10,Paramètres!$A$1:$I$89,3,0)*VLOOKUP('Données projet'!$B$10,Paramètres!$A$1:$I$89,5,0)</f>
        <v>138.17232000000007</v>
      </c>
      <c r="AK49" s="13">
        <f t="shared" si="35"/>
        <v>35.877989993863793</v>
      </c>
      <c r="AL49" s="20">
        <f t="shared" si="4"/>
        <v>303.13762323931292</v>
      </c>
      <c r="AM49" s="59">
        <f t="shared" si="5"/>
        <v>585.40553039030215</v>
      </c>
      <c r="AN49" s="59">
        <f ca="1">AVERAGE(OFFSET($AM$3,0,0,'Données projet'!$E$10+1,1))-AVERAGE(OFFSET($H$3,0,0,'Données projet'!$E$10+1,1))</f>
        <v>399.5572791581468</v>
      </c>
      <c r="AO49" s="59">
        <f t="shared" si="36"/>
        <v>246.34185986079777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3.5495913678296187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3.5495913678296187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66.982156495724354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10.375</v>
      </c>
      <c r="BD49" s="12">
        <f>IF('Données projet'!$A$88&gt;35,BD48+BC49-BL48,IF(A49&lt;'Données projet'!$A$88,$BA$205^A49,IF(A49='Données projet'!$A$88,'Données projet'!$B$88,BD48+BC49-BL48)))</f>
        <v>207.74999999999991</v>
      </c>
      <c r="BE49" s="13">
        <f>BD49*VLOOKUP('Données projet'!$B$11,Paramètres!$A$1:$I$89,3,0)*VLOOKUP('Données projet'!$B$11,Paramètres!$A$1:$I$89,5,0)</f>
        <v>162.04499999999993</v>
      </c>
      <c r="BF49" s="13">
        <f t="shared" si="37"/>
        <v>41.303429372463391</v>
      </c>
      <c r="BG49" s="20">
        <f t="shared" si="7"/>
        <v>354.16518115704025</v>
      </c>
      <c r="BH49" s="59">
        <f t="shared" si="8"/>
        <v>636.43308830802948</v>
      </c>
      <c r="BI49" s="59">
        <f ca="1">AVERAGE(OFFSET($BH$3,0,0,'Données projet'!$E$11+1,1))-AVERAGE(OFFSET($H$3,0,0,'Données projet'!$E$11+1,1))</f>
        <v>294.23449029791681</v>
      </c>
      <c r="BJ49" s="59">
        <f t="shared" si="38"/>
        <v>288.64639202306159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13.776477490514226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13.776477490514226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66.982156495724354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8.1999999999999993</v>
      </c>
      <c r="BY49" s="12">
        <f>IF('Données projet'!$A$114&gt;35,BY48+BX49-CG48,IF(A49&lt;'Données projet'!$A$114,$BV$205^A49,IF(A49='Données projet'!$A$114,'Données projet'!$B$114,BY48+BX49-CG48)))</f>
        <v>145.20000000000007</v>
      </c>
      <c r="BZ49" s="13">
        <f>BY49*VLOOKUP('Données projet'!$B$12,Paramètres!$A$1:$I$89,3,0)*VLOOKUP('Données projet'!$B$12,Paramètres!$A$1:$I$89,5,0)</f>
        <v>156.29328000000007</v>
      </c>
      <c r="CA49" s="13">
        <f t="shared" si="39"/>
        <v>40.005317247308959</v>
      </c>
      <c r="CB49" s="20">
        <f t="shared" si="10"/>
        <v>341.88672353906321</v>
      </c>
      <c r="CC49" s="59">
        <f t="shared" si="11"/>
        <v>624.1546306900525</v>
      </c>
      <c r="CD49" s="59">
        <f ca="1">AVERAGE(OFFSET($CC$3,0,0,'Données projet'!$E$12+1,1))-AVERAGE(OFFSET($H$3,0,0,'Données projet'!$E$12+1,1))</f>
        <v>445.38112098358147</v>
      </c>
      <c r="CE49" s="59">
        <f t="shared" si="40"/>
        <v>272.45883568548516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4.0151115472171082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4.0151115472171082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66.982156495724354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8.1999999999999993</v>
      </c>
      <c r="CT49" s="12">
        <f>IF('Données projet'!$A$140&gt;35,CT48+CS49-DB48,IF(A49&lt;'Données projet'!$A$140,$CQ$205^A49,IF(A49='Données projet'!$A$140,'Données projet'!$B$140,CT48+CS49-DB48)))</f>
        <v>145.20000000000007</v>
      </c>
      <c r="CU49" s="17">
        <f>CT49*VLOOKUP('Données projet'!$B$13,Paramètres!$A$1:$I$89,3,0)*VLOOKUP('Données projet'!$B$13,Paramètres!$A$1:$I$89,5,0)</f>
        <v>156.29328000000007</v>
      </c>
      <c r="CV49" s="13">
        <f t="shared" si="41"/>
        <v>40.005317247308959</v>
      </c>
      <c r="CW49" s="20">
        <f t="shared" si="13"/>
        <v>341.88672353906321</v>
      </c>
      <c r="CX49" s="59">
        <f t="shared" si="14"/>
        <v>624.1546306900525</v>
      </c>
      <c r="CY49" s="59">
        <f ca="1">AVERAGE(OFFSET($CX$3,0,0,'Données projet'!$E$13+1,1))-AVERAGE(OFFSET($H$3,0,0,'Données projet'!$E$13+1,1))</f>
        <v>445.38112098358147</v>
      </c>
      <c r="CZ49" s="59">
        <f t="shared" si="42"/>
        <v>272.45883568548516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4.0151115472171082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4.0151115472171082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66.982156495724354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8.1999999999999993</v>
      </c>
      <c r="DO49" s="12">
        <f>IF('Données projet'!$A$166&gt;35,DO48+DN49-DW48,IF(A49&lt;'Données projet'!$A$166,$DL$205^A49,IF(A49='Données projet'!$A$166,'Données projet'!$B$166,DO48+DN49-DW48)))</f>
        <v>145.20000000000007</v>
      </c>
      <c r="DP49" s="17">
        <f>DO49*VLOOKUP('Données projet'!$B$14,Paramètres!$A$1:$I$89,3,0)*VLOOKUP('Données projet'!$B$14,Paramètres!$A$1:$I$89,5,0)</f>
        <v>140.43744000000007</v>
      </c>
      <c r="DQ49" s="13">
        <f t="shared" si="43"/>
        <v>36.397198653986358</v>
      </c>
      <c r="DR49" s="20">
        <f t="shared" si="16"/>
        <v>307.98699565569297</v>
      </c>
      <c r="DS49" s="59">
        <f t="shared" si="17"/>
        <v>590.25490280668225</v>
      </c>
      <c r="DT49" s="59">
        <f ca="1">AVERAGE(OFFSET($DS$3,0,0,'Données projet'!$E$14+1,1))-AVERAGE(OFFSET($H$3,0,0,'Données projet'!$E$14+1,1))</f>
        <v>405.29179902613089</v>
      </c>
      <c r="DU49" s="59">
        <f t="shared" si="44"/>
        <v>249.61049717638238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3.6077813902530549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3.6077813902530549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66.982156495724354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>
        <f>VLOOKUP(A49,'Données projet'!$A$191:$I$211,2,0)</f>
        <v>466.26</v>
      </c>
      <c r="EH49" s="12">
        <f>VLOOKUP(A49,'Données projet'!$A$191:$I$211,9,0)</f>
        <v>20.612000000000002</v>
      </c>
      <c r="EI49" s="12">
        <f t="array" ref="EI49">INDEX(EH:EH,MIN(IF(ISNUMBER(EH49:EH245),ROW(EH49:EH245),"")))</f>
        <v>20.612000000000002</v>
      </c>
      <c r="EJ49" s="12">
        <f>IF('Données projet'!$A$192&gt;35,EJ48+EI49-ER48,IF(A49&lt;'Données projet'!$A$192,$EG$205^A49,IF(A49='Données projet'!$A$192,'Données projet'!$B$192,EJ48+EI49-ER48)))</f>
        <v>466.2600000000001</v>
      </c>
      <c r="EK49" s="17">
        <f>EJ49*VLOOKUP('Données projet'!$B$15,Paramètres!$A$1:$I$89,3,0)*VLOOKUP('Données projet'!$B$15,Paramètres!$A$1:$I$89,5,0)</f>
        <v>278.82348000000007</v>
      </c>
      <c r="EL49" s="13">
        <f t="shared" si="45"/>
        <v>66.718315486273781</v>
      </c>
      <c r="EM49" s="20">
        <f t="shared" si="19"/>
        <v>601.81862713859357</v>
      </c>
      <c r="EN49" s="59">
        <f t="shared" si="20"/>
        <v>884.08653428958291</v>
      </c>
      <c r="EO49" s="59">
        <f ca="1">AVERAGE(OFFSET($EN$3,0,0,'Données projet'!$E$15+1,1))-AVERAGE(OFFSET($H$3,0,0,'Données projet'!$E$15+1,1))</f>
        <v>444.77624981561257</v>
      </c>
      <c r="EP49" s="59">
        <f t="shared" si="46"/>
        <v>382.10319641527587</v>
      </c>
      <c r="EQ49" s="15">
        <f>IF(ISNA(VLOOKUP(A49,'Données projet'!$A$191:$I$211,3,0)),0,VLOOKUP(A49,'Données projet'!$A$191:$I$211,3,0))</f>
        <v>9</v>
      </c>
      <c r="ER49" s="15">
        <f>IF(ISNA(VLOOKUP(A49,'Données projet'!$A$191:$I$211,4,0)),0,VLOOKUP(A49,'Données projet'!$A$191:$I$211,4,0))</f>
        <v>93</v>
      </c>
      <c r="ES49" s="16">
        <f>IF(ISNA(VLOOKUP(A49,'Données projet'!$A$191:$I$211,5,0)),0%,VLOOKUP(A49,'Données projet'!$A$191:$I$211,5,0)*VLOOKUP('Données projet'!$B$15,Paramètres!$A$1:$I$89,7,0))</f>
        <v>0.18000000000000002</v>
      </c>
      <c r="ET49" s="16">
        <f>IF(ISNA(VLOOKUP(A49,'Données projet'!$A$191:$I$211,6,0)),0%,VLOOKUP(A49,'Données projet'!$A$191:$I$211,6,0)*VLOOKUP('Données projet'!$B$15,Paramètres!$A$1:$I$89,7,0))</f>
        <v>0.15300000000000002</v>
      </c>
      <c r="EU49" s="16">
        <f>IF(ISNA(VLOOKUP(A49,'Données projet'!$A$191:$I$211,7,0)),0%,VLOOKUP(A49,'Données projet'!$A$191:$I$211,7,0))</f>
        <v>0.26</v>
      </c>
      <c r="EV49" s="21">
        <f>EXP(-LN(2)/35)*EV48+(1-EXP(-LN(2)/35))/(LN(2)/35)*ER49*ES49*VLOOKUP('Données projet'!$B$15,Paramètres!$A$1:$I$89,3,0)*0.475*44/12</f>
        <v>24.063866261587322</v>
      </c>
      <c r="EW49" s="21">
        <f>EXP(-LN(2)/25)*EW48+(1-EXP(-LN(2)/25))/(LN(2)/25)*Calculateur!ER49*Calculateur!ET49*VLOOKUP('Données projet'!$B$15,Paramètres!$A$1:$I$89,3,0)*0.475*44/12</f>
        <v>32.395477433863661</v>
      </c>
      <c r="EX49" s="21">
        <f>EXP(-LN(2)/2)*EX48+(1-EXP(-LN(2)/2))/(LN(2)/2)*ER49*EU49*VLOOKUP('Données projet'!$B$15,Paramètres!$A$1:$I$89,3,0)*0.475*44/12</f>
        <v>17.015850599959265</v>
      </c>
      <c r="EY49" s="22">
        <f t="shared" si="21"/>
        <v>73.475194295410247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66.982156495724354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27.4</v>
      </c>
      <c r="FE49" s="12">
        <f>IF('Données projet'!$A$218&gt;35,FE48+FD49-FM48,IF(A49&lt;'Données projet'!$A$218,$FB$205^A49,IF(A49='Données projet'!$A$218,'Données projet'!$B$218,FE48+FD49-FM48)))</f>
        <v>609.4</v>
      </c>
      <c r="FF49" s="17">
        <f>FE49*VLOOKUP('Données projet'!$B$16,Paramètres!$A$1:$I$89,3,0)*VLOOKUP('Données projet'!$B$16,Paramètres!$A$1:$I$89,5,0)</f>
        <v>269.35480000000001</v>
      </c>
      <c r="FG49" s="13">
        <f t="shared" si="47"/>
        <v>64.712322503706446</v>
      </c>
      <c r="FH49" s="20">
        <f t="shared" si="22"/>
        <v>581.83357169395538</v>
      </c>
      <c r="FI49" s="59">
        <f t="shared" si="23"/>
        <v>864.10147884494472</v>
      </c>
      <c r="FJ49" s="59">
        <f ca="1">AVERAGE(OFFSET($FI$3,0,0,'Données projet'!$E$16+1,1))-AVERAGE(OFFSET($H$3,0,0,'Données projet'!$E$16+1,1))</f>
        <v>508.71179785154317</v>
      </c>
      <c r="FK49" s="59">
        <f t="shared" si="48"/>
        <v>422.73937290731442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9.1738652999592478</v>
      </c>
      <c r="FR49" s="21">
        <f>EXP(-LN(2)/25)*FR48+(1-EXP(-LN(2)/25))/(LN(2)/25)*Calculateur!FM49*Calculateur!FO49*VLOOKUP('Données projet'!$B$16,Paramètres!$A$1:$I$89,3,0)*0.475*44/12</f>
        <v>55.731623450547524</v>
      </c>
      <c r="FS49" s="21">
        <f>EXP(-LN(2)/2)*FS48+(1-EXP(-LN(2)/2))/(LN(2)/2)*FM49*FP49*VLOOKUP('Données projet'!$B$16,Paramètres!$A$1:$I$89,3,0)*0.475*44/12</f>
        <v>10.880816133493557</v>
      </c>
      <c r="FT49" s="22">
        <f t="shared" si="24"/>
        <v>75.78630488400033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66.982156495724354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66.982156495724354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1.35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4.95</v>
      </c>
      <c r="H50" s="67">
        <f t="shared" si="1"/>
        <v>236.86666666666665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67.034509333636208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</v>
      </c>
      <c r="N50" s="13">
        <f>IF('Données projet'!$A$36&gt;35,N49+M50-V49,IF(A50&lt;'Données projet'!$A$36,$K$205^A50,IF(A50='Données projet'!$A$36,'Données projet'!$B$36,N49+M50-V49)))</f>
        <v>197.99999999999997</v>
      </c>
      <c r="O50" s="13">
        <f>N50*VLOOKUP('Données projet'!$B$9,Paramètres!$A$1:$I$89,3,0)*VLOOKUP('Données projet'!$B$9,Paramètres!$A$1:$I$89,5,0)</f>
        <v>179.15039999999996</v>
      </c>
      <c r="P50" s="13">
        <f t="shared" si="33"/>
        <v>45.133113803437304</v>
      </c>
      <c r="Q50" s="20">
        <f t="shared" si="53"/>
        <v>390.62711987431993</v>
      </c>
      <c r="R50" s="59">
        <f t="shared" si="0"/>
        <v>673.08698743098603</v>
      </c>
      <c r="S50" s="59">
        <f ca="1">AVERAGE(OFFSET($R$3,0,0,'Données projet'!$E$9+1,1))-AVERAGE(OFFSET($H$3,0,0,'Données projet'!$E$9+1,1))</f>
        <v>466.90449882701591</v>
      </c>
      <c r="T50" s="59">
        <f t="shared" si="34"/>
        <v>283.37641704892053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4.4117855885534247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4.4117855885534247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67.034509333636208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8.1999999999999993</v>
      </c>
      <c r="AI50" s="13">
        <f>IF('Données projet'!$A$62&gt;35,AI49+AH50-AQ49,IF(A50&lt;'Données projet'!$A$62,$AF$205^A50,IF(A50='Données projet'!$A$62,'Données projet'!$B$62,AI49+AH50-AQ49)))</f>
        <v>153.40000000000006</v>
      </c>
      <c r="AJ50" s="13">
        <f>AI50*VLOOKUP('Données projet'!$B$10,Paramètres!$A$1:$I$89,3,0)*VLOOKUP('Données projet'!$B$10,Paramètres!$A$1:$I$89,5,0)</f>
        <v>145.97544000000008</v>
      </c>
      <c r="AK50" s="13">
        <f t="shared" si="35"/>
        <v>37.662547285900722</v>
      </c>
      <c r="AL50" s="20">
        <f t="shared" si="4"/>
        <v>319.83616118961055</v>
      </c>
      <c r="AM50" s="59">
        <f t="shared" si="5"/>
        <v>602.29602874627665</v>
      </c>
      <c r="AN50" s="59">
        <f ca="1">AVERAGE(OFFSET($AM$3,0,0,'Données projet'!$E$10+1,1))-AVERAGE(OFFSET($H$3,0,0,'Données projet'!$E$10+1,1))</f>
        <v>399.5572791581468</v>
      </c>
      <c r="AO50" s="59">
        <f t="shared" si="36"/>
        <v>246.34185986079777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3.4799860461434347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3.4799860461434347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67.034509333636208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10.375</v>
      </c>
      <c r="BD50" s="12">
        <f>IF('Données projet'!$A$88&gt;35,BD49+BC50-BL49,IF(A50&lt;'Données projet'!$A$88,$BA$205^A50,IF(A50='Données projet'!$A$88,'Données projet'!$B$88,BD49+BC50-BL49)))</f>
        <v>218.12499999999991</v>
      </c>
      <c r="BE50" s="13">
        <f>BD50*VLOOKUP('Données projet'!$B$11,Paramètres!$A$1:$I$89,3,0)*VLOOKUP('Données projet'!$B$11,Paramètres!$A$1:$I$89,5,0)</f>
        <v>170.13749999999993</v>
      </c>
      <c r="BF50" s="13">
        <f t="shared" si="37"/>
        <v>43.120817562072375</v>
      </c>
      <c r="BG50" s="20">
        <f t="shared" si="7"/>
        <v>371.42490308727588</v>
      </c>
      <c r="BH50" s="59">
        <f t="shared" si="8"/>
        <v>653.88477064394192</v>
      </c>
      <c r="BI50" s="59">
        <f ca="1">AVERAGE(OFFSET($BH$3,0,0,'Données projet'!$E$11+1,1))-AVERAGE(OFFSET($H$3,0,0,'Données projet'!$E$11+1,1))</f>
        <v>294.23449029791681</v>
      </c>
      <c r="BJ50" s="59">
        <f t="shared" si="38"/>
        <v>288.64639202306159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13.506329169746802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13.506329169746802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67.034509333636208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8.1999999999999993</v>
      </c>
      <c r="BY50" s="12">
        <f>IF('Données projet'!$A$114&gt;35,BY49+BX50-CG49,IF(A50&lt;'Données projet'!$A$114,$BV$205^A50,IF(A50='Données projet'!$A$114,'Données projet'!$B$114,BY49+BX50-CG49)))</f>
        <v>153.40000000000006</v>
      </c>
      <c r="BZ50" s="13">
        <f>BY50*VLOOKUP('Données projet'!$B$12,Paramètres!$A$1:$I$89,3,0)*VLOOKUP('Données projet'!$B$12,Paramètres!$A$1:$I$89,5,0)</f>
        <v>165.11976000000004</v>
      </c>
      <c r="CA50" s="13">
        <f t="shared" si="39"/>
        <v>41.995166194425131</v>
      </c>
      <c r="CB50" s="20">
        <f t="shared" si="10"/>
        <v>360.72516312195717</v>
      </c>
      <c r="CC50" s="59">
        <f t="shared" si="11"/>
        <v>643.18503067862321</v>
      </c>
      <c r="CD50" s="59">
        <f ca="1">AVERAGE(OFFSET($CC$3,0,0,'Données projet'!$E$12+1,1))-AVERAGE(OFFSET($H$3,0,0,'Données projet'!$E$12+1,1))</f>
        <v>445.38112098358147</v>
      </c>
      <c r="CE50" s="59">
        <f t="shared" si="40"/>
        <v>272.45883568548516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3.936377658752408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3.936377658752408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67.034509333636208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8.1999999999999993</v>
      </c>
      <c r="CT50" s="12">
        <f>IF('Données projet'!$A$140&gt;35,CT49+CS50-DB49,IF(A50&lt;'Données projet'!$A$140,$CQ$205^A50,IF(A50='Données projet'!$A$140,'Données projet'!$B$140,CT49+CS50-DB49)))</f>
        <v>153.40000000000006</v>
      </c>
      <c r="CU50" s="17">
        <f>CT50*VLOOKUP('Données projet'!$B$13,Paramètres!$A$1:$I$89,3,0)*VLOOKUP('Données projet'!$B$13,Paramètres!$A$1:$I$89,5,0)</f>
        <v>165.11976000000004</v>
      </c>
      <c r="CV50" s="13">
        <f t="shared" si="41"/>
        <v>41.995166194425131</v>
      </c>
      <c r="CW50" s="20">
        <f t="shared" si="13"/>
        <v>360.72516312195717</v>
      </c>
      <c r="CX50" s="59">
        <f t="shared" si="14"/>
        <v>643.18503067862321</v>
      </c>
      <c r="CY50" s="59">
        <f ca="1">AVERAGE(OFFSET($CX$3,0,0,'Données projet'!$E$13+1,1))-AVERAGE(OFFSET($H$3,0,0,'Données projet'!$E$13+1,1))</f>
        <v>445.38112098358147</v>
      </c>
      <c r="CZ50" s="59">
        <f t="shared" si="42"/>
        <v>272.45883568548516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3.936377658752408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3.936377658752408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67.034509333636208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8.1999999999999993</v>
      </c>
      <c r="DO50" s="12">
        <f>IF('Données projet'!$A$166&gt;35,DO49+DN50-DW49,IF(A50&lt;'Données projet'!$A$166,$DL$205^A50,IF(A50='Données projet'!$A$166,'Données projet'!$B$166,DO49+DN50-DW49)))</f>
        <v>153.40000000000006</v>
      </c>
      <c r="DP50" s="17">
        <f>DO50*VLOOKUP('Données projet'!$B$14,Paramètres!$A$1:$I$89,3,0)*VLOOKUP('Données projet'!$B$14,Paramètres!$A$1:$I$89,5,0)</f>
        <v>148.36848000000006</v>
      </c>
      <c r="DQ50" s="13">
        <f t="shared" si="43"/>
        <v>38.207581183185937</v>
      </c>
      <c r="DR50" s="20">
        <f t="shared" si="16"/>
        <v>324.95330656071559</v>
      </c>
      <c r="DS50" s="59">
        <f t="shared" si="17"/>
        <v>607.41317411738169</v>
      </c>
      <c r="DT50" s="59">
        <f ca="1">AVERAGE(OFFSET($DS$3,0,0,'Données projet'!$E$14+1,1))-AVERAGE(OFFSET($H$3,0,0,'Données projet'!$E$14+1,1))</f>
        <v>405.29179902613089</v>
      </c>
      <c r="DU50" s="59">
        <f t="shared" si="44"/>
        <v>249.61049717638238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3.5370349977195561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3.5370349977195561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67.034509333636208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17.617500000000007</v>
      </c>
      <c r="EJ50" s="12">
        <f>IF('Données projet'!$A$192&gt;35,EJ49+EI50-ER49,IF(A50&lt;'Données projet'!$A$192,$EG$205^A50,IF(A50='Données projet'!$A$192,'Données projet'!$B$192,EJ49+EI50-ER49)))</f>
        <v>390.87750000000011</v>
      </c>
      <c r="EK50" s="17">
        <f>EJ50*VLOOKUP('Données projet'!$B$15,Paramètres!$A$1:$I$89,3,0)*VLOOKUP('Données projet'!$B$15,Paramètres!$A$1:$I$89,5,0)</f>
        <v>233.74474500000008</v>
      </c>
      <c r="EL50" s="13">
        <f t="shared" si="45"/>
        <v>57.091620301844813</v>
      </c>
      <c r="EM50" s="20">
        <f t="shared" si="19"/>
        <v>506.5400029007132</v>
      </c>
      <c r="EN50" s="59">
        <f t="shared" si="20"/>
        <v>788.9998704573793</v>
      </c>
      <c r="EO50" s="59">
        <f ca="1">AVERAGE(OFFSET($EN$3,0,0,'Données projet'!$E$15+1,1))-AVERAGE(OFFSET($H$3,0,0,'Données projet'!$E$15+1,1))</f>
        <v>444.77624981561257</v>
      </c>
      <c r="EP50" s="59">
        <f t="shared" si="46"/>
        <v>382.10319641527587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23.591988521706732</v>
      </c>
      <c r="EW50" s="21">
        <f>EXP(-LN(2)/25)*EW49+(1-EXP(-LN(2)/25))/(LN(2)/25)*Calculateur!ER50*Calculateur!ET50*VLOOKUP('Données projet'!$B$15,Paramètres!$A$1:$I$89,3,0)*0.475*44/12</f>
        <v>31.509621399830543</v>
      </c>
      <c r="EX50" s="21">
        <f>EXP(-LN(2)/2)*EX49+(1-EXP(-LN(2)/2))/(LN(2)/2)*ER50*EU50*VLOOKUP('Données projet'!$B$15,Paramètres!$A$1:$I$89,3,0)*0.475*44/12</f>
        <v>12.03202334688838</v>
      </c>
      <c r="EY50" s="22">
        <f t="shared" si="21"/>
        <v>67.133633268425655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67.034509333636208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27.4</v>
      </c>
      <c r="FE50" s="12">
        <f>IF('Données projet'!$A$218&gt;35,FE49+FD50-FM49,IF(A50&lt;'Données projet'!$A$218,$FB$205^A50,IF(A50='Données projet'!$A$218,'Données projet'!$B$218,FE49+FD50-FM49)))</f>
        <v>636.79999999999995</v>
      </c>
      <c r="FF50" s="17">
        <f>FE50*VLOOKUP('Données projet'!$B$16,Paramètres!$A$1:$I$89,3,0)*VLOOKUP('Données projet'!$B$16,Paramètres!$A$1:$I$89,5,0)</f>
        <v>281.46559999999999</v>
      </c>
      <c r="FG50" s="13">
        <f t="shared" si="47"/>
        <v>67.276638122675294</v>
      </c>
      <c r="FH50" s="20">
        <f t="shared" si="22"/>
        <v>607.39273139699276</v>
      </c>
      <c r="FI50" s="59">
        <f t="shared" si="23"/>
        <v>889.8525989536588</v>
      </c>
      <c r="FJ50" s="59">
        <f ca="1">AVERAGE(OFFSET($FI$3,0,0,'Données projet'!$E$16+1,1))-AVERAGE(OFFSET($H$3,0,0,'Données projet'!$E$16+1,1))</f>
        <v>508.71179785154317</v>
      </c>
      <c r="FK50" s="59">
        <f t="shared" si="48"/>
        <v>422.73937290731442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8.9939713969323698</v>
      </c>
      <c r="FR50" s="21">
        <f>EXP(-LN(2)/25)*FR49+(1-EXP(-LN(2)/25))/(LN(2)/25)*Calculateur!FM50*Calculateur!FO50*VLOOKUP('Données projet'!$B$16,Paramètres!$A$1:$I$89,3,0)*0.475*44/12</f>
        <v>54.207639276493602</v>
      </c>
      <c r="FS50" s="21">
        <f>EXP(-LN(2)/2)*FS49+(1-EXP(-LN(2)/2))/(LN(2)/2)*FM50*FP50*VLOOKUP('Données projet'!$B$16,Paramètres!$A$1:$I$89,3,0)*0.475*44/12</f>
        <v>7.693898872837285</v>
      </c>
      <c r="FT50" s="22">
        <f t="shared" si="24"/>
        <v>70.895509546263256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67.034509333636208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67.034509333636208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1.35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4.95</v>
      </c>
      <c r="H51" s="67">
        <f t="shared" si="1"/>
        <v>236.86666666666665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67.085953966853708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</v>
      </c>
      <c r="N51" s="13">
        <f>IF('Données projet'!$A$36&gt;35,N50+M51-V50,IF(A51&lt;'Données projet'!$A$36,$K$205^A51,IF(A51='Données projet'!$A$36,'Données projet'!$B$36,N50+M51-V50)))</f>
        <v>208.99999999999997</v>
      </c>
      <c r="O51" s="13">
        <f>N51*VLOOKUP('Données projet'!$B$9,Paramètres!$A$1:$I$89,3,0)*VLOOKUP('Données projet'!$B$9,Paramètres!$A$1:$I$89,5,0)</f>
        <v>189.10319999999996</v>
      </c>
      <c r="P51" s="13">
        <f t="shared" si="33"/>
        <v>47.34162854278712</v>
      </c>
      <c r="Q51" s="20">
        <f t="shared" si="53"/>
        <v>411.80807637868747</v>
      </c>
      <c r="R51" s="59">
        <f t="shared" si="0"/>
        <v>694.45657425715103</v>
      </c>
      <c r="S51" s="59">
        <f ca="1">AVERAGE(OFFSET($R$3,0,0,'Données projet'!$E$9+1,1))-AVERAGE(OFFSET($H$3,0,0,'Données projet'!$E$9+1,1))</f>
        <v>466.90449882701591</v>
      </c>
      <c r="T51" s="59">
        <f t="shared" si="34"/>
        <v>283.37641704892053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4.3252731640853943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4.3252731640853943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67.085953966853708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8.1999999999999993</v>
      </c>
      <c r="AI51" s="13">
        <f>IF('Données projet'!$A$62&gt;35,AI50+AH51-AQ50,IF(A51&lt;'Données projet'!$A$62,$AF$205^A51,IF(A51='Données projet'!$A$62,'Données projet'!$B$62,AI50+AH51-AQ50)))</f>
        <v>161.60000000000005</v>
      </c>
      <c r="AJ51" s="13">
        <f>AI51*VLOOKUP('Données projet'!$B$10,Paramètres!$A$1:$I$89,3,0)*VLOOKUP('Données projet'!$B$10,Paramètres!$A$1:$I$89,5,0)</f>
        <v>153.77856000000006</v>
      </c>
      <c r="AK51" s="13">
        <f t="shared" si="35"/>
        <v>39.436029674841947</v>
      </c>
      <c r="AL51" s="20">
        <f t="shared" si="4"/>
        <v>336.51541035034978</v>
      </c>
      <c r="AM51" s="59">
        <f t="shared" si="5"/>
        <v>619.1639082288134</v>
      </c>
      <c r="AN51" s="59">
        <f ca="1">AVERAGE(OFFSET($AM$3,0,0,'Données projet'!$E$10+1,1))-AVERAGE(OFFSET($H$3,0,0,'Données projet'!$E$10+1,1))</f>
        <v>399.5572791581468</v>
      </c>
      <c r="AO51" s="59">
        <f t="shared" si="36"/>
        <v>246.34185986079777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3.4117456423604624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3.4117456423604624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67.085953966853708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10.375</v>
      </c>
      <c r="BD51" s="12">
        <f>IF('Données projet'!$A$88&gt;35,BD50+BC51-BL50,IF(A51&lt;'Données projet'!$A$88,$BA$205^A51,IF(A51='Données projet'!$A$88,'Données projet'!$B$88,BD50+BC51-BL50)))</f>
        <v>228.49999999999991</v>
      </c>
      <c r="BE51" s="13">
        <f>BD51*VLOOKUP('Données projet'!$B$11,Paramètres!$A$1:$I$89,3,0)*VLOOKUP('Données projet'!$B$11,Paramètres!$A$1:$I$89,5,0)</f>
        <v>178.22999999999993</v>
      </c>
      <c r="BF51" s="13">
        <f t="shared" si="37"/>
        <v>44.928167580487852</v>
      </c>
      <c r="BG51" s="20">
        <f t="shared" si="7"/>
        <v>388.66714186934951</v>
      </c>
      <c r="BH51" s="59">
        <f t="shared" si="8"/>
        <v>671.31563974781307</v>
      </c>
      <c r="BI51" s="59">
        <f ca="1">AVERAGE(OFFSET($BH$3,0,0,'Données projet'!$E$11+1,1))-AVERAGE(OFFSET($H$3,0,0,'Données projet'!$E$11+1,1))</f>
        <v>294.23449029791681</v>
      </c>
      <c r="BJ51" s="59">
        <f t="shared" si="38"/>
        <v>288.64639202306159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13.241478292775422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13.241478292775422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67.085953966853708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8.1999999999999993</v>
      </c>
      <c r="BY51" s="12">
        <f>IF('Données projet'!$A$114&gt;35,BY50+BX51-CG50,IF(A51&lt;'Données projet'!$A$114,$BV$205^A51,IF(A51='Données projet'!$A$114,'Données projet'!$B$114,BY50+BX51-CG50)))</f>
        <v>161.60000000000005</v>
      </c>
      <c r="BZ51" s="13">
        <f>BY51*VLOOKUP('Données projet'!$B$12,Paramètres!$A$1:$I$89,3,0)*VLOOKUP('Données projet'!$B$12,Paramètres!$A$1:$I$89,5,0)</f>
        <v>173.94624000000005</v>
      </c>
      <c r="CA51" s="13">
        <f t="shared" si="39"/>
        <v>43.972666205274265</v>
      </c>
      <c r="CB51" s="20">
        <f t="shared" si="10"/>
        <v>379.54209497418606</v>
      </c>
      <c r="CC51" s="59">
        <f t="shared" si="11"/>
        <v>662.19059285264962</v>
      </c>
      <c r="CD51" s="59">
        <f ca="1">AVERAGE(OFFSET($CC$3,0,0,'Données projet'!$E$12+1,1))-AVERAGE(OFFSET($H$3,0,0,'Données projet'!$E$12+1,1))</f>
        <v>445.38112098358147</v>
      </c>
      <c r="CE51" s="59">
        <f t="shared" si="40"/>
        <v>272.45883568548516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3.8591876938175704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3.8591876938175704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67.085953966853708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8.1999999999999993</v>
      </c>
      <c r="CT51" s="12">
        <f>IF('Données projet'!$A$140&gt;35,CT50+CS51-DB50,IF(A51&lt;'Données projet'!$A$140,$CQ$205^A51,IF(A51='Données projet'!$A$140,'Données projet'!$B$140,CT50+CS51-DB50)))</f>
        <v>161.60000000000005</v>
      </c>
      <c r="CU51" s="17">
        <f>CT51*VLOOKUP('Données projet'!$B$13,Paramètres!$A$1:$I$89,3,0)*VLOOKUP('Données projet'!$B$13,Paramètres!$A$1:$I$89,5,0)</f>
        <v>173.94624000000005</v>
      </c>
      <c r="CV51" s="13">
        <f t="shared" si="41"/>
        <v>43.972666205274265</v>
      </c>
      <c r="CW51" s="20">
        <f t="shared" si="13"/>
        <v>379.54209497418606</v>
      </c>
      <c r="CX51" s="59">
        <f t="shared" si="14"/>
        <v>662.19059285264962</v>
      </c>
      <c r="CY51" s="59">
        <f ca="1">AVERAGE(OFFSET($CX$3,0,0,'Données projet'!$E$13+1,1))-AVERAGE(OFFSET($H$3,0,0,'Données projet'!$E$13+1,1))</f>
        <v>445.38112098358147</v>
      </c>
      <c r="CZ51" s="59">
        <f t="shared" si="42"/>
        <v>272.45883568548516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3.8591876938175704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3.8591876938175704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67.085953966853708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8.1999999999999993</v>
      </c>
      <c r="DO51" s="12">
        <f>IF('Données projet'!$A$166&gt;35,DO50+DN51-DW50,IF(A51&lt;'Données projet'!$A$166,$DL$205^A51,IF(A51='Données projet'!$A$166,'Données projet'!$B$166,DO50+DN51-DW50)))</f>
        <v>161.60000000000005</v>
      </c>
      <c r="DP51" s="17">
        <f>DO51*VLOOKUP('Données projet'!$B$14,Paramètres!$A$1:$I$89,3,0)*VLOOKUP('Données projet'!$B$14,Paramètres!$A$1:$I$89,5,0)</f>
        <v>156.29952000000006</v>
      </c>
      <c r="DQ51" s="13">
        <f t="shared" si="43"/>
        <v>40.006728538728431</v>
      </c>
      <c r="DR51" s="20">
        <f t="shared" si="16"/>
        <v>341.90004953828543</v>
      </c>
      <c r="DS51" s="59">
        <f t="shared" si="17"/>
        <v>624.54854741674899</v>
      </c>
      <c r="DT51" s="59">
        <f ca="1">AVERAGE(OFFSET($DS$3,0,0,'Données projet'!$E$14+1,1))-AVERAGE(OFFSET($H$3,0,0,'Données projet'!$E$14+1,1))</f>
        <v>405.29179902613089</v>
      </c>
      <c r="DU51" s="59">
        <f t="shared" si="44"/>
        <v>249.61049717638238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3.4676758987926006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3.4676758987926006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67.085953966853708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17.617500000000007</v>
      </c>
      <c r="EJ51" s="12">
        <f>IF('Données projet'!$A$192&gt;35,EJ50+EI51-ER50,IF(A51&lt;'Données projet'!$A$192,$EG$205^A51,IF(A51='Données projet'!$A$192,'Données projet'!$B$192,EJ50+EI51-ER50)))</f>
        <v>408.49500000000012</v>
      </c>
      <c r="EK51" s="17">
        <f>EJ51*VLOOKUP('Données projet'!$B$15,Paramètres!$A$1:$I$89,3,0)*VLOOKUP('Données projet'!$B$15,Paramètres!$A$1:$I$89,5,0)</f>
        <v>244.28001000000009</v>
      </c>
      <c r="EL51" s="13">
        <f t="shared" si="45"/>
        <v>59.359445998964169</v>
      </c>
      <c r="EM51" s="20">
        <f t="shared" si="19"/>
        <v>528.83871919819615</v>
      </c>
      <c r="EN51" s="59">
        <f t="shared" si="20"/>
        <v>811.48721707665982</v>
      </c>
      <c r="EO51" s="59">
        <f ca="1">AVERAGE(OFFSET($EN$3,0,0,'Données projet'!$E$15+1,1))-AVERAGE(OFFSET($H$3,0,0,'Données projet'!$E$15+1,1))</f>
        <v>444.77624981561257</v>
      </c>
      <c r="EP51" s="59">
        <f t="shared" si="46"/>
        <v>382.10319641527587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23.129364016488196</v>
      </c>
      <c r="EW51" s="21">
        <f>EXP(-LN(2)/25)*EW50+(1-EXP(-LN(2)/25))/(LN(2)/25)*Calculateur!ER51*Calculateur!ET51*VLOOKUP('Données projet'!$B$15,Paramètres!$A$1:$I$89,3,0)*0.475*44/12</f>
        <v>30.647989145633204</v>
      </c>
      <c r="EX51" s="21">
        <f>EXP(-LN(2)/2)*EX50+(1-EXP(-LN(2)/2))/(LN(2)/2)*ER51*EU51*VLOOKUP('Données projet'!$B$15,Paramètres!$A$1:$I$89,3,0)*0.475*44/12</f>
        <v>8.5079252999796342</v>
      </c>
      <c r="EY51" s="22">
        <f t="shared" si="21"/>
        <v>62.285278462101033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67.085953966853708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27.4</v>
      </c>
      <c r="FE51" s="12">
        <f>IF('Données projet'!$A$218&gt;35,FE50+FD51-FM50,IF(A51&lt;'Données projet'!$A$218,$FB$205^A51,IF(A51='Données projet'!$A$218,'Données projet'!$B$218,FE50+FD51-FM50)))</f>
        <v>664.19999999999993</v>
      </c>
      <c r="FF51" s="17">
        <f>FE51*VLOOKUP('Données projet'!$B$16,Paramètres!$A$1:$I$89,3,0)*VLOOKUP('Données projet'!$B$16,Paramètres!$A$1:$I$89,5,0)</f>
        <v>293.57640000000004</v>
      </c>
      <c r="FG51" s="13">
        <f t="shared" si="47"/>
        <v>69.828138511965605</v>
      </c>
      <c r="FH51" s="20">
        <f t="shared" si="22"/>
        <v>632.92957124167344</v>
      </c>
      <c r="FI51" s="59">
        <f t="shared" si="23"/>
        <v>915.57806912013712</v>
      </c>
      <c r="FJ51" s="59">
        <f ca="1">AVERAGE(OFFSET($FI$3,0,0,'Données projet'!$E$16+1,1))-AVERAGE(OFFSET($H$3,0,0,'Données projet'!$E$16+1,1))</f>
        <v>508.71179785154317</v>
      </c>
      <c r="FK51" s="59">
        <f t="shared" si="48"/>
        <v>422.73937290731442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8.8176051036194014</v>
      </c>
      <c r="FR51" s="21">
        <f>EXP(-LN(2)/25)*FR50+(1-EXP(-LN(2)/25))/(LN(2)/25)*Calculateur!FM51*Calculateur!FO51*VLOOKUP('Données projet'!$B$16,Paramètres!$A$1:$I$89,3,0)*0.475*44/12</f>
        <v>52.725328529822029</v>
      </c>
      <c r="FS51" s="21">
        <f>EXP(-LN(2)/2)*FS50+(1-EXP(-LN(2)/2))/(LN(2)/2)*FM51*FP51*VLOOKUP('Données projet'!$B$16,Paramètres!$A$1:$I$89,3,0)*0.475*44/12</f>
        <v>5.4404080667467793</v>
      </c>
      <c r="FT51" s="22">
        <f t="shared" si="24"/>
        <v>66.983341700188205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67.085953966853708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67.085953966853708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1.35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4.95</v>
      </c>
      <c r="H52" s="67">
        <f t="shared" si="1"/>
        <v>236.86666666666665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67.136506150697869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</v>
      </c>
      <c r="N52" s="13">
        <f>IF('Données projet'!$A$36&gt;35,N51+M52-V51,IF(A52&lt;'Données projet'!$A$36,$K$205^A52,IF(A52='Données projet'!$A$36,'Données projet'!$B$36,N51+M52-V51)))</f>
        <v>219.99999999999997</v>
      </c>
      <c r="O52" s="13">
        <f>N52*VLOOKUP('Données projet'!$B$9,Paramètres!$A$1:$I$89,3,0)*VLOOKUP('Données projet'!$B$9,Paramètres!$A$1:$I$89,5,0)</f>
        <v>199.05599999999998</v>
      </c>
      <c r="P52" s="13">
        <f t="shared" si="33"/>
        <v>49.536648006253934</v>
      </c>
      <c r="Q52" s="20">
        <f t="shared" si="53"/>
        <v>432.96552861089225</v>
      </c>
      <c r="R52" s="59">
        <f t="shared" si="0"/>
        <v>715.79938449678446</v>
      </c>
      <c r="S52" s="59">
        <f ca="1">AVERAGE(OFFSET($R$3,0,0,'Données projet'!$E$9+1,1))-AVERAGE(OFFSET($H$3,0,0,'Données projet'!$E$9+1,1))</f>
        <v>466.90449882701591</v>
      </c>
      <c r="T52" s="59">
        <f t="shared" si="34"/>
        <v>283.37641704892053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4.2404571954938133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4.2404571954938133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67.136506150697869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8.1999999999999993</v>
      </c>
      <c r="AI52" s="13">
        <f>IF('Données projet'!$A$62&gt;35,AI51+AH52-AQ51,IF(A52&lt;'Données projet'!$A$62,$AF$205^A52,IF(A52='Données projet'!$A$62,'Données projet'!$B$62,AI51+AH52-AQ51)))</f>
        <v>169.80000000000004</v>
      </c>
      <c r="AJ52" s="13">
        <f>AI52*VLOOKUP('Données projet'!$B$10,Paramètres!$A$1:$I$89,3,0)*VLOOKUP('Données projet'!$B$10,Paramètres!$A$1:$I$89,5,0)</f>
        <v>161.58168000000003</v>
      </c>
      <c r="AK52" s="13">
        <f t="shared" si="35"/>
        <v>41.199063244334951</v>
      </c>
      <c r="AL52" s="20">
        <f t="shared" si="4"/>
        <v>353.17646115055004</v>
      </c>
      <c r="AM52" s="59">
        <f t="shared" si="5"/>
        <v>636.0103170364423</v>
      </c>
      <c r="AN52" s="59">
        <f ca="1">AVERAGE(OFFSET($AM$3,0,0,'Données projet'!$E$10+1,1))-AVERAGE(OFFSET($H$3,0,0,'Données projet'!$E$10+1,1))</f>
        <v>399.5572791581468</v>
      </c>
      <c r="AO52" s="59">
        <f t="shared" si="36"/>
        <v>246.34185986079777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3.3448433912731379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3.3448433912731379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67.136506150697869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10.375</v>
      </c>
      <c r="BD52" s="12">
        <f>IF('Données projet'!$A$88&gt;35,BD51+BC52-BL51,IF(A52&lt;'Données projet'!$A$88,$BA$205^A52,IF(A52='Données projet'!$A$88,'Données projet'!$B$88,BD51+BC52-BL51)))</f>
        <v>238.87499999999991</v>
      </c>
      <c r="BE52" s="13">
        <f>BD52*VLOOKUP('Données projet'!$B$11,Paramètres!$A$1:$I$89,3,0)*VLOOKUP('Données projet'!$B$11,Paramètres!$A$1:$I$89,5,0)</f>
        <v>186.32249999999993</v>
      </c>
      <c r="BF52" s="13">
        <f t="shared" si="37"/>
        <v>46.725987276254116</v>
      </c>
      <c r="BG52" s="20">
        <f t="shared" si="7"/>
        <v>405.8927820061424</v>
      </c>
      <c r="BH52" s="59">
        <f t="shared" si="8"/>
        <v>688.72663789203466</v>
      </c>
      <c r="BI52" s="59">
        <f ca="1">AVERAGE(OFFSET($BH$3,0,0,'Données projet'!$E$11+1,1))-AVERAGE(OFFSET($H$3,0,0,'Données projet'!$E$11+1,1))</f>
        <v>294.23449029791681</v>
      </c>
      <c r="BJ52" s="59">
        <f t="shared" si="38"/>
        <v>288.64639202306159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12.981820979958366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12.981820979958366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67.136506150697869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8.1999999999999993</v>
      </c>
      <c r="BY52" s="12">
        <f>IF('Données projet'!$A$114&gt;35,BY51+BX52-CG51,IF(A52&lt;'Données projet'!$A$114,$BV$205^A52,IF(A52='Données projet'!$A$114,'Données projet'!$B$114,BY51+BX52-CG51)))</f>
        <v>169.80000000000004</v>
      </c>
      <c r="BZ52" s="13">
        <f>BY52*VLOOKUP('Données projet'!$B$12,Paramètres!$A$1:$I$89,3,0)*VLOOKUP('Données projet'!$B$12,Paramètres!$A$1:$I$89,5,0)</f>
        <v>182.77272000000005</v>
      </c>
      <c r="CA52" s="13">
        <f t="shared" si="39"/>
        <v>45.938515386827838</v>
      </c>
      <c r="CB52" s="20">
        <f t="shared" si="10"/>
        <v>398.33873496539189</v>
      </c>
      <c r="CC52" s="59">
        <f t="shared" si="11"/>
        <v>681.1725908512841</v>
      </c>
      <c r="CD52" s="59">
        <f ca="1">AVERAGE(OFFSET($CC$3,0,0,'Données projet'!$E$12+1,1))-AVERAGE(OFFSET($H$3,0,0,'Données projet'!$E$12+1,1))</f>
        <v>445.38112098358147</v>
      </c>
      <c r="CE52" s="59">
        <f t="shared" si="40"/>
        <v>272.45883568548516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3.7835113770138755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3.7835113770138755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67.136506150697869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8.1999999999999993</v>
      </c>
      <c r="CT52" s="12">
        <f>IF('Données projet'!$A$140&gt;35,CT51+CS52-DB51,IF(A52&lt;'Données projet'!$A$140,$CQ$205^A52,IF(A52='Données projet'!$A$140,'Données projet'!$B$140,CT51+CS52-DB51)))</f>
        <v>169.80000000000004</v>
      </c>
      <c r="CU52" s="17">
        <f>CT52*VLOOKUP('Données projet'!$B$13,Paramètres!$A$1:$I$89,3,0)*VLOOKUP('Données projet'!$B$13,Paramètres!$A$1:$I$89,5,0)</f>
        <v>182.77272000000005</v>
      </c>
      <c r="CV52" s="13">
        <f t="shared" si="41"/>
        <v>45.938515386827838</v>
      </c>
      <c r="CW52" s="20">
        <f t="shared" si="13"/>
        <v>398.33873496539189</v>
      </c>
      <c r="CX52" s="59">
        <f t="shared" si="14"/>
        <v>681.1725908512841</v>
      </c>
      <c r="CY52" s="59">
        <f ca="1">AVERAGE(OFFSET($CX$3,0,0,'Données projet'!$E$13+1,1))-AVERAGE(OFFSET($H$3,0,0,'Données projet'!$E$13+1,1))</f>
        <v>445.38112098358147</v>
      </c>
      <c r="CZ52" s="59">
        <f t="shared" si="42"/>
        <v>272.45883568548516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3.7835113770138755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3.7835113770138755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67.136506150697869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8.1999999999999993</v>
      </c>
      <c r="DO52" s="12">
        <f>IF('Données projet'!$A$166&gt;35,DO51+DN52-DW51,IF(A52&lt;'Données projet'!$A$166,$DL$205^A52,IF(A52='Données projet'!$A$166,'Données projet'!$B$166,DO51+DN52-DW51)))</f>
        <v>169.80000000000004</v>
      </c>
      <c r="DP52" s="17">
        <f>DO52*VLOOKUP('Données projet'!$B$14,Paramètres!$A$1:$I$89,3,0)*VLOOKUP('Données projet'!$B$14,Paramètres!$A$1:$I$89,5,0)</f>
        <v>164.23056000000005</v>
      </c>
      <c r="DQ52" s="13">
        <f t="shared" si="43"/>
        <v>41.795275864636551</v>
      </c>
      <c r="DR52" s="20">
        <f t="shared" si="16"/>
        <v>358.82833079757546</v>
      </c>
      <c r="DS52" s="59">
        <f t="shared" si="17"/>
        <v>641.66218668346767</v>
      </c>
      <c r="DT52" s="59">
        <f ca="1">AVERAGE(OFFSET($DS$3,0,0,'Données projet'!$E$14+1,1))-AVERAGE(OFFSET($H$3,0,0,'Données projet'!$E$14+1,1))</f>
        <v>405.29179902613089</v>
      </c>
      <c r="DU52" s="59">
        <f t="shared" si="44"/>
        <v>249.61049717638238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3.3996768894907299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3.3996768894907299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67.136506150697869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17.617500000000007</v>
      </c>
      <c r="EJ52" s="12">
        <f>IF('Données projet'!$A$192&gt;35,EJ51+EI52-ER51,IF(A52&lt;'Données projet'!$A$192,$EG$205^A52,IF(A52='Données projet'!$A$192,'Données projet'!$B$192,EJ51+EI52-ER51)))</f>
        <v>426.11250000000013</v>
      </c>
      <c r="EK52" s="17">
        <f>EJ52*VLOOKUP('Données projet'!$B$15,Paramètres!$A$1:$I$89,3,0)*VLOOKUP('Données projet'!$B$15,Paramètres!$A$1:$I$89,5,0)</f>
        <v>254.8152750000001</v>
      </c>
      <c r="EL52" s="13">
        <f t="shared" si="45"/>
        <v>61.61591184221087</v>
      </c>
      <c r="EM52" s="20">
        <f t="shared" si="19"/>
        <v>551.11765041685078</v>
      </c>
      <c r="EN52" s="59">
        <f t="shared" si="20"/>
        <v>833.95150630274293</v>
      </c>
      <c r="EO52" s="59">
        <f ca="1">AVERAGE(OFFSET($EN$3,0,0,'Données projet'!$E$15+1,1))-AVERAGE(OFFSET($H$3,0,0,'Données projet'!$E$15+1,1))</f>
        <v>444.77624981561257</v>
      </c>
      <c r="EP52" s="59">
        <f t="shared" si="46"/>
        <v>382.10319641527587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22.675811295643911</v>
      </c>
      <c r="EW52" s="21">
        <f>EXP(-LN(2)/25)*EW51+(1-EXP(-LN(2)/25))/(LN(2)/25)*Calculateur!ER52*Calculateur!ET52*VLOOKUP('Données projet'!$B$15,Paramètres!$A$1:$I$89,3,0)*0.475*44/12</f>
        <v>29.809918270738162</v>
      </c>
      <c r="EX52" s="21">
        <f>EXP(-LN(2)/2)*EX51+(1-EXP(-LN(2)/2))/(LN(2)/2)*ER52*EU52*VLOOKUP('Données projet'!$B$15,Paramètres!$A$1:$I$89,3,0)*0.475*44/12</f>
        <v>6.0160116734441917</v>
      </c>
      <c r="EY52" s="22">
        <f t="shared" si="21"/>
        <v>58.501741239826266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67.136506150697869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27.4</v>
      </c>
      <c r="FE52" s="12">
        <f>IF('Données projet'!$A$218&gt;35,FE51+FD52-FM51,IF(A52&lt;'Données projet'!$A$218,$FB$205^A52,IF(A52='Données projet'!$A$218,'Données projet'!$B$218,FE51+FD52-FM51)))</f>
        <v>691.59999999999991</v>
      </c>
      <c r="FF52" s="17">
        <f>FE52*VLOOKUP('Données projet'!$B$16,Paramètres!$A$1:$I$89,3,0)*VLOOKUP('Données projet'!$B$16,Paramètres!$A$1:$I$89,5,0)</f>
        <v>305.68719999999996</v>
      </c>
      <c r="FG52" s="13">
        <f t="shared" si="47"/>
        <v>72.367412795802267</v>
      </c>
      <c r="FH52" s="20">
        <f t="shared" si="22"/>
        <v>658.44511728602208</v>
      </c>
      <c r="FI52" s="59">
        <f t="shared" si="23"/>
        <v>941.27897317191423</v>
      </c>
      <c r="FJ52" s="59">
        <f ca="1">AVERAGE(OFFSET($FI$3,0,0,'Données projet'!$E$16+1,1))-AVERAGE(OFFSET($H$3,0,0,'Données projet'!$E$16+1,1))</f>
        <v>508.71179785154317</v>
      </c>
      <c r="FK52" s="59">
        <f t="shared" si="48"/>
        <v>422.73937290731442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8.6446972457454834</v>
      </c>
      <c r="FR52" s="21">
        <f>EXP(-LN(2)/25)*FR51+(1-EXP(-LN(2)/25))/(LN(2)/25)*Calculateur!FM52*Calculateur!FO52*VLOOKUP('Données projet'!$B$16,Paramètres!$A$1:$I$89,3,0)*0.475*44/12</f>
        <v>51.283551648469526</v>
      </c>
      <c r="FS52" s="21">
        <f>EXP(-LN(2)/2)*FS51+(1-EXP(-LN(2)/2))/(LN(2)/2)*FM52*FP52*VLOOKUP('Données projet'!$B$16,Paramètres!$A$1:$I$89,3,0)*0.475*44/12</f>
        <v>3.8469494364186434</v>
      </c>
      <c r="FT52" s="22">
        <f t="shared" si="24"/>
        <v>63.77519833063365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67.136506150697869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67.136506150697869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1.35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4.95</v>
      </c>
      <c r="H53" s="67">
        <f t="shared" si="1"/>
        <v>236.86666666666665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67.186181367170065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231</v>
      </c>
      <c r="L53" s="12">
        <f>VLOOKUP(A53,'Données projet'!$A$35:$I$55,9,0)</f>
        <v>11</v>
      </c>
      <c r="M53" s="12">
        <f t="array" ref="M53">INDEX(L:L,MIN(IF(ISNUMBER(L53:L249),ROW(L53:L249),"")))</f>
        <v>11</v>
      </c>
      <c r="N53" s="13">
        <f>IF('Données projet'!$A$36&gt;35,N52+M53-V52,IF(A53&lt;'Données projet'!$A$36,$K$205^A53,IF(A53='Données projet'!$A$36,'Données projet'!$B$36,N52+M53-V52)))</f>
        <v>230.99999999999997</v>
      </c>
      <c r="O53" s="13">
        <f>N53*VLOOKUP('Données projet'!$B$9,Paramètres!$A$1:$I$89,3,0)*VLOOKUP('Données projet'!$B$9,Paramètres!$A$1:$I$89,5,0)</f>
        <v>209.00879999999995</v>
      </c>
      <c r="P53" s="13">
        <f t="shared" si="33"/>
        <v>51.718923953824202</v>
      </c>
      <c r="Q53" s="20">
        <f t="shared" si="53"/>
        <v>454.10078588624361</v>
      </c>
      <c r="R53" s="59">
        <f t="shared" si="0"/>
        <v>737.11678423253386</v>
      </c>
      <c r="S53" s="59">
        <f ca="1">AVERAGE(OFFSET($R$3,0,0,'Données projet'!$E$9+1,1))-AVERAGE(OFFSET($H$3,0,0,'Données projet'!$E$9+1,1))</f>
        <v>466.90449882701591</v>
      </c>
      <c r="T53" s="59">
        <f t="shared" si="34"/>
        <v>283.37641704892053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28</v>
      </c>
      <c r="W53" s="16">
        <f>IF(ISNA(VLOOKUP(A53,'Données projet'!$A$35:$I$55,5,0)),0%,VLOOKUP(A53,'Données projet'!$A$35:$I$55,5,0)*VLOOKUP('Données projet'!$B$9,Paramètres!$A$1:$I$89,7,0))</f>
        <v>0.129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7.7701337293515849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7.7701337293515849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67.186181367170065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178</v>
      </c>
      <c r="AG53" s="12">
        <f>VLOOKUP(A53,'Données projet'!$A$61:$I$81,9,0)</f>
        <v>8.1999999999999993</v>
      </c>
      <c r="AH53" s="12">
        <f t="array" ref="AH53">INDEX(AG:AG,MIN(IF(ISNUMBER(AG53:AG249),ROW(AG53:AG249),"")))</f>
        <v>8.1999999999999993</v>
      </c>
      <c r="AI53" s="13">
        <f>IF('Données projet'!$A$62&gt;35,AI52+AH53-AQ52,IF(A53&lt;'Données projet'!$A$62,$AF$205^A53,IF(A53='Données projet'!$A$62,'Données projet'!$B$62,AI52+AH53-AQ52)))</f>
        <v>178.00000000000003</v>
      </c>
      <c r="AJ53" s="13">
        <f>AI53*VLOOKUP('Données projet'!$B$10,Paramètres!$A$1:$I$89,3,0)*VLOOKUP('Données projet'!$B$10,Paramètres!$A$1:$I$89,5,0)</f>
        <v>169.38480000000001</v>
      </c>
      <c r="AK53" s="13">
        <f t="shared" si="35"/>
        <v>42.952210191662466</v>
      </c>
      <c r="AL53" s="20">
        <f t="shared" si="4"/>
        <v>369.82029275047876</v>
      </c>
      <c r="AM53" s="59">
        <f t="shared" si="5"/>
        <v>652.83629109676895</v>
      </c>
      <c r="AN53" s="59">
        <f ca="1">AVERAGE(OFFSET($AM$3,0,0,'Données projet'!$E$10+1,1))-AVERAGE(OFFSET($H$3,0,0,'Données projet'!$E$10+1,1))</f>
        <v>399.5572791581468</v>
      </c>
      <c r="AO53" s="59">
        <f t="shared" si="36"/>
        <v>246.34185986079777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21</v>
      </c>
      <c r="AR53" s="16">
        <f>IF(ISNA(VLOOKUP(A53,'Données projet'!$A$61:$I$81,5,0)),0%,VLOOKUP(A53,'Données projet'!$A$61:$I$81,5,0)*VLOOKUP('Données projet'!$B$10,Paramètres!$A$1:$I$89,7,0))</f>
        <v>0.129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6.1290278985833631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6.1290278985833631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67.186181367170065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10.375</v>
      </c>
      <c r="BD53" s="12">
        <f>IF('Données projet'!$A$88&gt;35,BD52+BC53-BL52,IF(A53&lt;'Données projet'!$A$88,$BA$205^A53,IF(A53='Données projet'!$A$88,'Données projet'!$B$88,BD52+BC53-BL52)))</f>
        <v>249.24999999999991</v>
      </c>
      <c r="BE53" s="13">
        <f>BD53*VLOOKUP('Données projet'!$B$11,Paramètres!$A$1:$I$89,3,0)*VLOOKUP('Données projet'!$B$11,Paramètres!$A$1:$I$89,5,0)</f>
        <v>194.41499999999994</v>
      </c>
      <c r="BF53" s="13">
        <f t="shared" si="37"/>
        <v>48.514737888684927</v>
      </c>
      <c r="BG53" s="20">
        <f t="shared" si="7"/>
        <v>423.10262682279273</v>
      </c>
      <c r="BH53" s="59">
        <f t="shared" si="8"/>
        <v>706.11862516908297</v>
      </c>
      <c r="BI53" s="59">
        <f ca="1">AVERAGE(OFFSET($BH$3,0,0,'Données projet'!$E$11+1,1))-AVERAGE(OFFSET($H$3,0,0,'Données projet'!$E$11+1,1))</f>
        <v>294.23449029791681</v>
      </c>
      <c r="BJ53" s="59">
        <f t="shared" si="38"/>
        <v>288.64639202306159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12.727255388670329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12.727255388670329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67.186181367170065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178</v>
      </c>
      <c r="BW53" s="12">
        <f>VLOOKUP(A53,'Données projet'!$A$113:$I$133,9,0)</f>
        <v>8.1999999999999993</v>
      </c>
      <c r="BX53" s="12">
        <f t="array" ref="BX53">INDEX(BW:BW,MIN(IF(ISNUMBER(BW53:BW249),ROW(BW53:BW249),"")))</f>
        <v>8.1999999999999993</v>
      </c>
      <c r="BY53" s="12">
        <f>IF('Données projet'!$A$114&gt;35,BY52+BX53-CG52,IF(A53&lt;'Données projet'!$A$114,$BV$205^A53,IF(A53='Données projet'!$A$114,'Données projet'!$B$114,BY52+BX53-CG52)))</f>
        <v>178.00000000000003</v>
      </c>
      <c r="BZ53" s="13">
        <f>BY53*VLOOKUP('Données projet'!$B$12,Paramètres!$A$1:$I$89,3,0)*VLOOKUP('Données projet'!$B$12,Paramètres!$A$1:$I$89,5,0)</f>
        <v>191.59920000000002</v>
      </c>
      <c r="CA53" s="13">
        <f t="shared" si="39"/>
        <v>47.893340610341859</v>
      </c>
      <c r="CB53" s="20">
        <f t="shared" si="10"/>
        <v>417.11617489634546</v>
      </c>
      <c r="CC53" s="59">
        <f t="shared" si="11"/>
        <v>700.13217324263564</v>
      </c>
      <c r="CD53" s="59">
        <f ca="1">AVERAGE(OFFSET($CC$3,0,0,'Données projet'!$E$12+1,1))-AVERAGE(OFFSET($H$3,0,0,'Données projet'!$E$12+1,1))</f>
        <v>445.38112098358147</v>
      </c>
      <c r="CE53" s="59">
        <f t="shared" si="40"/>
        <v>272.45883568548516</v>
      </c>
      <c r="CF53" s="15">
        <f>IF(ISNA(VLOOKUP(A53,'Données projet'!$A$113:$I$133,3,0)),0,VLOOKUP(A53,'Données projet'!$A$113:$I$133,3,0))</f>
        <v>7</v>
      </c>
      <c r="CG53" s="15">
        <f>IF(ISNA(VLOOKUP(A53,'Données projet'!$A$113:$I$133,4,0)),0,VLOOKUP(A53,'Données projet'!$A$113:$I$133,4,0))</f>
        <v>21</v>
      </c>
      <c r="CH53" s="16">
        <f>IF(ISNA(VLOOKUP(A53,'Données projet'!$A$113:$I$133,5,0)),0%,VLOOKUP(A53,'Données projet'!$A$113:$I$133,5,0)*VLOOKUP('Données projet'!$B$12,Paramètres!$A$1:$I$89,7,0))</f>
        <v>0.129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6.932834836102491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6.932834836102491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67.186181367170065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178</v>
      </c>
      <c r="CR53" s="12">
        <f>VLOOKUP(A53,'Données projet'!$A$139:$I$159,9,0)</f>
        <v>8.1999999999999993</v>
      </c>
      <c r="CS53" s="12">
        <f t="array" ref="CS53">INDEX(CR:CR,MIN(IF(ISNUMBER(CR53:CR249),ROW(CR53:CR249),"")))</f>
        <v>8.1999999999999993</v>
      </c>
      <c r="CT53" s="12">
        <f>IF('Données projet'!$A$140&gt;35,CT52+CS53-DB52,IF(A53&lt;'Données projet'!$A$140,$CQ$205^A53,IF(A53='Données projet'!$A$140,'Données projet'!$B$140,CT52+CS53-DB52)))</f>
        <v>178.00000000000003</v>
      </c>
      <c r="CU53" s="17">
        <f>CT53*VLOOKUP('Données projet'!$B$13,Paramètres!$A$1:$I$89,3,0)*VLOOKUP('Données projet'!$B$13,Paramètres!$A$1:$I$89,5,0)</f>
        <v>191.59920000000002</v>
      </c>
      <c r="CV53" s="13">
        <f t="shared" si="41"/>
        <v>47.893340610341859</v>
      </c>
      <c r="CW53" s="20">
        <f t="shared" si="13"/>
        <v>417.11617489634546</v>
      </c>
      <c r="CX53" s="59">
        <f t="shared" si="14"/>
        <v>700.13217324263564</v>
      </c>
      <c r="CY53" s="59">
        <f ca="1">AVERAGE(OFFSET($CX$3,0,0,'Données projet'!$E$13+1,1))-AVERAGE(OFFSET($H$3,0,0,'Données projet'!$E$13+1,1))</f>
        <v>445.38112098358147</v>
      </c>
      <c r="CZ53" s="59">
        <f t="shared" si="42"/>
        <v>272.45883568548516</v>
      </c>
      <c r="DA53" s="15">
        <f>IF(ISNA(VLOOKUP(A53,'Données projet'!$A$139:$I$159,3,0)),0,VLOOKUP(A53,'Données projet'!$A$139:$I$159,3,0))</f>
        <v>7</v>
      </c>
      <c r="DB53" s="15">
        <f>IF(ISNA(VLOOKUP(A53,'Données projet'!$A$139:$I$159,4,0)),0,VLOOKUP(A53,'Données projet'!$A$139:$I$159,4,0))</f>
        <v>21</v>
      </c>
      <c r="DC53" s="16">
        <f>IF(ISNA(VLOOKUP(A53,'Données projet'!$A$139:$I$159,5,0)),0%,VLOOKUP(A53,'Données projet'!$A$139:$I$159,5,0)*VLOOKUP('Données projet'!$B$13,Paramètres!$A$1:$I$89,7,0))</f>
        <v>0.129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6.932834836102491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6.932834836102491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67.186181367170065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178</v>
      </c>
      <c r="DM53" s="12">
        <f>VLOOKUP(A53,'Données projet'!$A$165:$I$185,9,0)</f>
        <v>8.1999999999999993</v>
      </c>
      <c r="DN53" s="12">
        <f t="array" ref="DN53">INDEX(DM:DM,MIN(IF(ISNUMBER(DM53:DM249),ROW(DM53:DM249),"")))</f>
        <v>8.1999999999999993</v>
      </c>
      <c r="DO53" s="12">
        <f>IF('Données projet'!$A$166&gt;35,DO52+DN53-DW52,IF(A53&lt;'Données projet'!$A$166,$DL$205^A53,IF(A53='Données projet'!$A$166,'Données projet'!$B$166,DO52+DN53-DW52)))</f>
        <v>178.00000000000003</v>
      </c>
      <c r="DP53" s="17">
        <f>DO53*VLOOKUP('Données projet'!$B$14,Paramètres!$A$1:$I$89,3,0)*VLOOKUP('Données projet'!$B$14,Paramètres!$A$1:$I$89,5,0)</f>
        <v>172.16160000000002</v>
      </c>
      <c r="DQ53" s="13">
        <f t="shared" si="43"/>
        <v>43.57379349403616</v>
      </c>
      <c r="DR53" s="20">
        <f t="shared" si="16"/>
        <v>375.73914366877966</v>
      </c>
      <c r="DS53" s="59">
        <f t="shared" si="17"/>
        <v>658.75514201506985</v>
      </c>
      <c r="DT53" s="59">
        <f ca="1">AVERAGE(OFFSET($DS$3,0,0,'Données projet'!$E$14+1,1))-AVERAGE(OFFSET($H$3,0,0,'Données projet'!$E$14+1,1))</f>
        <v>405.29179902613089</v>
      </c>
      <c r="DU53" s="59">
        <f t="shared" si="44"/>
        <v>249.61049717638238</v>
      </c>
      <c r="DV53" s="15">
        <f>IF(ISNA(VLOOKUP(A53,'Données projet'!$A$165:$I$185,3,0)),0,VLOOKUP(A53,'Données projet'!$A$165:$I$185,3,0))</f>
        <v>7</v>
      </c>
      <c r="DW53" s="15">
        <f>IF(ISNA(VLOOKUP(A53,'Données projet'!$A$165:$I$185,4,0)),0,VLOOKUP(A53,'Données projet'!$A$165:$I$185,4,0))</f>
        <v>21</v>
      </c>
      <c r="DX53" s="16">
        <f>IF(ISNA(VLOOKUP(A53,'Données projet'!$A$165:$I$185,5,0)),0%,VLOOKUP(A53,'Données projet'!$A$165:$I$185,5,0)*VLOOKUP('Données projet'!$B$14,Paramètres!$A$1:$I$89,7,0))</f>
        <v>0.129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6.2295037657732539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6.2295037657732539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67.186181367170065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443.73</v>
      </c>
      <c r="EH53" s="12">
        <f>VLOOKUP(A53,'Données projet'!$A$191:$I$211,9,0)</f>
        <v>17.617500000000007</v>
      </c>
      <c r="EI53" s="12">
        <f t="array" ref="EI53">INDEX(EH:EH,MIN(IF(ISNUMBER(EH53:EH249),ROW(EH53:EH249),"")))</f>
        <v>17.617500000000007</v>
      </c>
      <c r="EJ53" s="12">
        <f>IF('Données projet'!$A$192&gt;35,EJ52+EI53-ER52,IF(A53&lt;'Données projet'!$A$192,$EG$205^A53,IF(A53='Données projet'!$A$192,'Données projet'!$B$192,EJ52+EI53-ER52)))</f>
        <v>443.73000000000013</v>
      </c>
      <c r="EK53" s="17">
        <f>EJ53*VLOOKUP('Données projet'!$B$15,Paramètres!$A$1:$I$89,3,0)*VLOOKUP('Données projet'!$B$15,Paramètres!$A$1:$I$89,5,0)</f>
        <v>265.35054000000008</v>
      </c>
      <c r="EL53" s="13">
        <f t="shared" si="45"/>
        <v>63.861541215481004</v>
      </c>
      <c r="EM53" s="20">
        <f t="shared" si="19"/>
        <v>573.37770811696282</v>
      </c>
      <c r="EN53" s="59">
        <f t="shared" si="20"/>
        <v>856.39370646325301</v>
      </c>
      <c r="EO53" s="59">
        <f ca="1">AVERAGE(OFFSET($EN$3,0,0,'Données projet'!$E$15+1,1))-AVERAGE(OFFSET($H$3,0,0,'Données projet'!$E$15+1,1))</f>
        <v>444.77624981561257</v>
      </c>
      <c r="EP53" s="59">
        <f t="shared" si="46"/>
        <v>382.10319641527587</v>
      </c>
      <c r="EQ53" s="15">
        <f>IF(ISNA(VLOOKUP(A53,'Données projet'!$A$191:$I$211,3,0)),0,VLOOKUP(A53,'Données projet'!$A$191:$I$211,3,0))</f>
        <v>10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22.231152467015537</v>
      </c>
      <c r="EW53" s="21">
        <f>EXP(-LN(2)/25)*EW52+(1-EXP(-LN(2)/25))/(LN(2)/25)*Calculateur!ER53*Calculateur!ET53*VLOOKUP('Données projet'!$B$15,Paramètres!$A$1:$I$89,3,0)*0.475*44/12</f>
        <v>28.994764487989357</v>
      </c>
      <c r="EX53" s="21">
        <f>EXP(-LN(2)/2)*EX52+(1-EXP(-LN(2)/2))/(LN(2)/2)*ER53*EU53*VLOOKUP('Données projet'!$B$15,Paramètres!$A$1:$I$89,3,0)*0.475*44/12</f>
        <v>4.253962649989818</v>
      </c>
      <c r="EY53" s="22">
        <f t="shared" si="21"/>
        <v>55.479879604994707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67.186181367170065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719</v>
      </c>
      <c r="FC53" s="12">
        <f>VLOOKUP(A53,'Données projet'!$A$217:$I$237,9,0)</f>
        <v>27.4</v>
      </c>
      <c r="FD53" s="12">
        <f t="array" ref="FD53">INDEX(FC:FC,MIN(IF(ISNUMBER(FC53:FC249),ROW(FC53:FC249),"")))</f>
        <v>27.4</v>
      </c>
      <c r="FE53" s="12">
        <f>IF('Données projet'!$A$218&gt;35,FE52+FD53-FM52,IF(A53&lt;'Données projet'!$A$218,$FB$205^A53,IF(A53='Données projet'!$A$218,'Données projet'!$B$218,FE52+FD53-FM52)))</f>
        <v>718.99999999999989</v>
      </c>
      <c r="FF53" s="17">
        <f>FE53*VLOOKUP('Données projet'!$B$16,Paramètres!$A$1:$I$89,3,0)*VLOOKUP('Données projet'!$B$16,Paramètres!$A$1:$I$89,5,0)</f>
        <v>317.798</v>
      </c>
      <c r="FG53" s="13">
        <f t="shared" si="47"/>
        <v>74.895000775677957</v>
      </c>
      <c r="FH53" s="20">
        <f t="shared" si="22"/>
        <v>683.9403096843057</v>
      </c>
      <c r="FI53" s="59">
        <f t="shared" si="23"/>
        <v>966.95630803059589</v>
      </c>
      <c r="FJ53" s="59">
        <f ca="1">AVERAGE(OFFSET($FI$3,0,0,'Données projet'!$E$16+1,1))-AVERAGE(OFFSET($H$3,0,0,'Données projet'!$E$16+1,1))</f>
        <v>508.71179785154317</v>
      </c>
      <c r="FK53" s="59">
        <f t="shared" si="48"/>
        <v>422.73937290731442</v>
      </c>
      <c r="FL53" s="15">
        <f>IF(ISNA(VLOOKUP(A53,'Données projet'!$A$217:$I$237,3,0)),0,VLOOKUP(A53,'Données projet'!$A$217:$I$237,3,0))</f>
        <v>8</v>
      </c>
      <c r="FM53" s="15">
        <f>IF(ISNA(VLOOKUP(A53,'Données projet'!$A$217:$I$237,4,0)),0,VLOOKUP(A53,'Données projet'!$A$217:$I$237,4,0))</f>
        <v>59</v>
      </c>
      <c r="FN53" s="16">
        <f>IF(ISNA(VLOOKUP(A53,'Données projet'!$A$217:$I$237,5,0)),0%,VLOOKUP(A53,'Données projet'!$A$217:$I$237,5,0)*VLOOKUP('Données projet'!$B$16,Paramètres!$A$1:$I$89,7,0))</f>
        <v>0.11000000000000001</v>
      </c>
      <c r="FO53" s="16">
        <f>IF(ISNA(VLOOKUP(A53,'Données projet'!$A$217:$I$237,6,0)),0%,VLOOKUP(A53,'Données projet'!$A$217:$I$237,6,0)*VLOOKUP('Données projet'!$B$16,Paramètres!$A$1:$I$89,7,0))</f>
        <v>0.24750000000000003</v>
      </c>
      <c r="FP53" s="16">
        <f>IF(ISNA(VLOOKUP(A53,'Données projet'!$A$217:$I$237,7,0)),0%,VLOOKUP(A53,'Données projet'!$A$217:$I$237,7,0))</f>
        <v>0.35</v>
      </c>
      <c r="FQ53" s="21">
        <f>EXP(-LN(2)/35)*FQ52+(1-EXP(-LN(2)/35))/(LN(2)/35)*FM53*FN53*VLOOKUP('Données projet'!$B$16,Paramètres!$A$1:$I$89,3,0)*0.475*44/12</f>
        <v>12.280536271085852</v>
      </c>
      <c r="FR53" s="21">
        <f>EXP(-LN(2)/25)*FR52+(1-EXP(-LN(2)/25))/(LN(2)/25)*Calculateur!FM53*Calculateur!FO53*VLOOKUP('Données projet'!$B$16,Paramètres!$A$1:$I$89,3,0)*0.475*44/12</f>
        <v>58.409539769786015</v>
      </c>
      <c r="FS53" s="21">
        <f>EXP(-LN(2)/2)*FS52+(1-EXP(-LN(2)/2))/(LN(2)/2)*FM53*FP53*VLOOKUP('Données projet'!$B$16,Paramètres!$A$1:$I$89,3,0)*0.475*44/12</f>
        <v>13.054427882586701</v>
      </c>
      <c r="FT53" s="22">
        <f t="shared" si="24"/>
        <v>83.744503923458581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67.186181367170065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67.186181367170065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1.35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4.95</v>
      </c>
      <c r="H54" s="67">
        <f t="shared" si="1"/>
        <v>236.86666666666665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67.234994829693633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10.199999999999999</v>
      </c>
      <c r="N54" s="13">
        <f>IF('Données projet'!$A$36&gt;35,N53+M54-V53,IF(A54&lt;'Données projet'!$A$36,$K$205^A54,IF(A54='Données projet'!$A$36,'Données projet'!$B$36,N53+M54-V53)))</f>
        <v>213.19999999999996</v>
      </c>
      <c r="O54" s="13">
        <f>N54*VLOOKUP('Données projet'!$B$9,Paramètres!$A$1:$I$89,3,0)*VLOOKUP('Données projet'!$B$9,Paramètres!$A$1:$I$89,5,0)</f>
        <v>192.90335999999994</v>
      </c>
      <c r="P54" s="13">
        <f t="shared" si="33"/>
        <v>48.181276881765257</v>
      </c>
      <c r="Q54" s="20">
        <f t="shared" si="53"/>
        <v>419.88907590240768</v>
      </c>
      <c r="R54" s="59">
        <f t="shared" si="0"/>
        <v>703.08405694461771</v>
      </c>
      <c r="S54" s="59">
        <f ca="1">AVERAGE(OFFSET($R$3,0,0,'Données projet'!$E$9+1,1))-AVERAGE(OFFSET($H$3,0,0,'Données projet'!$E$9+1,1))</f>
        <v>466.90449882701591</v>
      </c>
      <c r="T54" s="59">
        <f t="shared" si="34"/>
        <v>283.37641704892053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7.6177661462326069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7.6177661462326069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67.234994829693633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</v>
      </c>
      <c r="AI54" s="13">
        <f>IF('Données projet'!$A$62&gt;35,AI53+AH54-AQ53,IF(A54&lt;'Données projet'!$A$62,$AF$205^A54,IF(A54='Données projet'!$A$62,'Données projet'!$B$62,AI53+AH54-AQ53)))</f>
        <v>165.00000000000003</v>
      </c>
      <c r="AJ54" s="13">
        <f>AI54*VLOOKUP('Données projet'!$B$10,Paramètres!$A$1:$I$89,3,0)*VLOOKUP('Données projet'!$B$10,Paramètres!$A$1:$I$89,5,0)</f>
        <v>157.01400000000004</v>
      </c>
      <c r="AK54" s="13">
        <f t="shared" si="35"/>
        <v>40.168278112836184</v>
      </c>
      <c r="AL54" s="20">
        <f t="shared" si="4"/>
        <v>343.42580104652308</v>
      </c>
      <c r="AM54" s="59">
        <f t="shared" si="5"/>
        <v>626.62078208873299</v>
      </c>
      <c r="AN54" s="59">
        <f ca="1">AVERAGE(OFFSET($AM$3,0,0,'Données projet'!$E$10+1,1))-AVERAGE(OFFSET($H$3,0,0,'Données projet'!$E$10+1,1))</f>
        <v>399.5572791581468</v>
      </c>
      <c r="AO54" s="59">
        <f t="shared" si="36"/>
        <v>246.34185986079777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6.0088413998300316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6.0088413998300316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67.234994829693633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10.375</v>
      </c>
      <c r="BD54" s="12">
        <f>IF('Données projet'!$A$88&gt;35,BD53+BC54-BL53,IF(A54&lt;'Données projet'!$A$88,$BA$205^A54,IF(A54='Données projet'!$A$88,'Données projet'!$B$88,BD53+BC54-BL53)))</f>
        <v>259.62499999999989</v>
      </c>
      <c r="BE54" s="13">
        <f>BD54*VLOOKUP('Données projet'!$B$11,Paramètres!$A$1:$I$89,3,0)*VLOOKUP('Données projet'!$B$11,Paramètres!$A$1:$I$89,5,0)</f>
        <v>202.50749999999991</v>
      </c>
      <c r="BF54" s="13">
        <f t="shared" si="37"/>
        <v>50.294840086606349</v>
      </c>
      <c r="BG54" s="20">
        <f t="shared" si="7"/>
        <v>440.29740898417253</v>
      </c>
      <c r="BH54" s="59">
        <f t="shared" si="8"/>
        <v>723.49239002638251</v>
      </c>
      <c r="BI54" s="59">
        <f ca="1">AVERAGE(OFFSET($BH$3,0,0,'Données projet'!$E$11+1,1))-AVERAGE(OFFSET($H$3,0,0,'Données projet'!$E$11+1,1))</f>
        <v>294.23449029791681</v>
      </c>
      <c r="BJ54" s="59">
        <f t="shared" si="38"/>
        <v>288.64639202306159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12.477681673357772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12.477681673357772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67.234994829693633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8</v>
      </c>
      <c r="BY54" s="12">
        <f>IF('Données projet'!$A$114&gt;35,BY53+BX54-CG53,IF(A54&lt;'Données projet'!$A$114,$BV$205^A54,IF(A54='Données projet'!$A$114,'Données projet'!$B$114,BY53+BX54-CG53)))</f>
        <v>165.00000000000003</v>
      </c>
      <c r="BZ54" s="13">
        <f>BY54*VLOOKUP('Données projet'!$B$12,Paramètres!$A$1:$I$89,3,0)*VLOOKUP('Données projet'!$B$12,Paramètres!$A$1:$I$89,5,0)</f>
        <v>177.60600000000002</v>
      </c>
      <c r="CA54" s="13">
        <f t="shared" si="39"/>
        <v>44.789150937858665</v>
      </c>
      <c r="CB54" s="20">
        <f t="shared" si="10"/>
        <v>387.33822121677053</v>
      </c>
      <c r="CC54" s="59">
        <f t="shared" si="11"/>
        <v>670.53320225898051</v>
      </c>
      <c r="CD54" s="59">
        <f ca="1">AVERAGE(OFFSET($CC$3,0,0,'Données projet'!$E$12+1,1))-AVERAGE(OFFSET($H$3,0,0,'Données projet'!$E$12+1,1))</f>
        <v>445.38112098358147</v>
      </c>
      <c r="CE54" s="59">
        <f t="shared" si="40"/>
        <v>272.45883568548516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6.7968861735782307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6.7968861735782307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67.234994829693633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8</v>
      </c>
      <c r="CT54" s="12">
        <f>IF('Données projet'!$A$140&gt;35,CT53+CS54-DB53,IF(A54&lt;'Données projet'!$A$140,$CQ$205^A54,IF(A54='Données projet'!$A$140,'Données projet'!$B$140,CT53+CS54-DB53)))</f>
        <v>165.00000000000003</v>
      </c>
      <c r="CU54" s="17">
        <f>CT54*VLOOKUP('Données projet'!$B$13,Paramètres!$A$1:$I$89,3,0)*VLOOKUP('Données projet'!$B$13,Paramètres!$A$1:$I$89,5,0)</f>
        <v>177.60600000000002</v>
      </c>
      <c r="CV54" s="13">
        <f t="shared" si="41"/>
        <v>44.789150937858665</v>
      </c>
      <c r="CW54" s="20">
        <f t="shared" si="13"/>
        <v>387.33822121677053</v>
      </c>
      <c r="CX54" s="59">
        <f t="shared" si="14"/>
        <v>670.53320225898051</v>
      </c>
      <c r="CY54" s="59">
        <f ca="1">AVERAGE(OFFSET($CX$3,0,0,'Données projet'!$E$13+1,1))-AVERAGE(OFFSET($H$3,0,0,'Données projet'!$E$13+1,1))</f>
        <v>445.38112098358147</v>
      </c>
      <c r="CZ54" s="59">
        <f t="shared" si="42"/>
        <v>272.45883568548516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6.7968861735782307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6.7968861735782307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67.234994829693633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8</v>
      </c>
      <c r="DO54" s="12">
        <f>IF('Données projet'!$A$166&gt;35,DO53+DN54-DW53,IF(A54&lt;'Données projet'!$A$166,$DL$205^A54,IF(A54='Données projet'!$A$166,'Données projet'!$B$166,DO53+DN54-DW53)))</f>
        <v>165.00000000000003</v>
      </c>
      <c r="DP54" s="17">
        <f>DO54*VLOOKUP('Données projet'!$B$14,Paramètres!$A$1:$I$89,3,0)*VLOOKUP('Données projet'!$B$14,Paramètres!$A$1:$I$89,5,0)</f>
        <v>159.58800000000002</v>
      </c>
      <c r="DQ54" s="13">
        <f t="shared" si="43"/>
        <v>40.74957371668588</v>
      </c>
      <c r="DR54" s="20">
        <f t="shared" si="16"/>
        <v>348.92127422322795</v>
      </c>
      <c r="DS54" s="59">
        <f t="shared" si="17"/>
        <v>632.11625526543799</v>
      </c>
      <c r="DT54" s="59">
        <f ca="1">AVERAGE(OFFSET($DS$3,0,0,'Données projet'!$E$14+1,1))-AVERAGE(OFFSET($H$3,0,0,'Données projet'!$E$14+1,1))</f>
        <v>405.29179902613089</v>
      </c>
      <c r="DU54" s="59">
        <f t="shared" si="44"/>
        <v>249.61049717638238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6.1073469965485563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6.1073469965485563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67.234994829693633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17.995000000000005</v>
      </c>
      <c r="EJ54" s="12">
        <f>IF('Données projet'!$A$192&gt;35,EJ53+EI54-ER53,IF(A54&lt;'Données projet'!$A$192,$EG$205^A54,IF(A54='Données projet'!$A$192,'Données projet'!$B$192,EJ53+EI54-ER53)))</f>
        <v>461.72500000000014</v>
      </c>
      <c r="EK54" s="17">
        <f>EJ54*VLOOKUP('Données projet'!$B$15,Paramètres!$A$1:$I$89,3,0)*VLOOKUP('Données projet'!$B$15,Paramètres!$A$1:$I$89,5,0)</f>
        <v>276.11155000000008</v>
      </c>
      <c r="EL54" s="13">
        <f t="shared" si="45"/>
        <v>66.144599992702055</v>
      </c>
      <c r="EM54" s="20">
        <f t="shared" si="19"/>
        <v>596.09612790395624</v>
      </c>
      <c r="EN54" s="59">
        <f t="shared" si="20"/>
        <v>879.29110894616622</v>
      </c>
      <c r="EO54" s="59">
        <f ca="1">AVERAGE(OFFSET($EN$3,0,0,'Données projet'!$E$15+1,1))-AVERAGE(OFFSET($H$3,0,0,'Données projet'!$E$15+1,1))</f>
        <v>444.77624981561257</v>
      </c>
      <c r="EP54" s="59">
        <f t="shared" si="46"/>
        <v>382.10319641527587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21.79521312680146</v>
      </c>
      <c r="EW54" s="21">
        <f>EXP(-LN(2)/25)*EW53+(1-EXP(-LN(2)/25))/(LN(2)/25)*Calculateur!ER54*Calculateur!ET54*VLOOKUP('Données projet'!$B$15,Paramètres!$A$1:$I$89,3,0)*0.475*44/12</f>
        <v>28.201901128296893</v>
      </c>
      <c r="EX54" s="21">
        <f>EXP(-LN(2)/2)*EX53+(1-EXP(-LN(2)/2))/(LN(2)/2)*ER54*EU54*VLOOKUP('Données projet'!$B$15,Paramètres!$A$1:$I$89,3,0)*0.475*44/12</f>
        <v>3.0080058367220963</v>
      </c>
      <c r="EY54" s="22">
        <f t="shared" si="21"/>
        <v>53.005120091820451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67.234994829693633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24.2</v>
      </c>
      <c r="FE54" s="12">
        <f>IF('Données projet'!$A$218&gt;35,FE53+FD54-FM53,IF(A54&lt;'Données projet'!$A$218,$FB$205^A54,IF(A54='Données projet'!$A$218,'Données projet'!$B$218,FE53+FD54-FM53)))</f>
        <v>684.19999999999993</v>
      </c>
      <c r="FF54" s="17">
        <f>FE54*VLOOKUP('Données projet'!$B$16,Paramètres!$A$1:$I$89,3,0)*VLOOKUP('Données projet'!$B$16,Paramètres!$A$1:$I$89,5,0)</f>
        <v>302.41640000000001</v>
      </c>
      <c r="FG54" s="13">
        <f t="shared" si="47"/>
        <v>71.682796968600584</v>
      </c>
      <c r="FH54" s="20">
        <f t="shared" si="22"/>
        <v>651.55610138697932</v>
      </c>
      <c r="FI54" s="59">
        <f t="shared" si="23"/>
        <v>934.7510824291893</v>
      </c>
      <c r="FJ54" s="59">
        <f ca="1">AVERAGE(OFFSET($FI$3,0,0,'Données projet'!$E$16+1,1))-AVERAGE(OFFSET($H$3,0,0,'Données projet'!$E$16+1,1))</f>
        <v>508.71179785154317</v>
      </c>
      <c r="FK54" s="59">
        <f t="shared" si="48"/>
        <v>422.73937290731442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12.03972244519737</v>
      </c>
      <c r="FR54" s="21">
        <f>EXP(-LN(2)/25)*FR53+(1-EXP(-LN(2)/25))/(LN(2)/25)*Calculateur!FM54*Calculateur!FO54*VLOOKUP('Données projet'!$B$16,Paramètres!$A$1:$I$89,3,0)*0.475*44/12</f>
        <v>56.812327833157013</v>
      </c>
      <c r="FS54" s="21">
        <f>EXP(-LN(2)/2)*FS53+(1-EXP(-LN(2)/2))/(LN(2)/2)*FM54*FP54*VLOOKUP('Données projet'!$B$16,Paramètres!$A$1:$I$89,3,0)*0.475*44/12</f>
        <v>9.2308744802878007</v>
      </c>
      <c r="FT54" s="22">
        <f t="shared" si="24"/>
        <v>78.082924758642179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67.234994829693633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67.234994829693633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1.35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4.95</v>
      </c>
      <c r="H55" s="67">
        <f t="shared" si="1"/>
        <v>236.86666666666665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67.282961487772951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10.199999999999999</v>
      </c>
      <c r="N55" s="13">
        <f>IF('Données projet'!$A$36&gt;35,N54+M55-V54,IF(A55&lt;'Données projet'!$A$36,$K$205^A55,IF(A55='Données projet'!$A$36,'Données projet'!$B$36,N54+M55-V54)))</f>
        <v>223.39999999999995</v>
      </c>
      <c r="O55" s="13">
        <f>N55*VLOOKUP('Données projet'!$B$9,Paramètres!$A$1:$I$89,3,0)*VLOOKUP('Données projet'!$B$9,Paramètres!$A$1:$I$89,5,0)</f>
        <v>202.13231999999996</v>
      </c>
      <c r="P55" s="13">
        <f t="shared" si="33"/>
        <v>50.212497488959627</v>
      </c>
      <c r="Q55" s="20">
        <f t="shared" si="53"/>
        <v>439.50055712660463</v>
      </c>
      <c r="R55" s="59">
        <f t="shared" si="0"/>
        <v>722.87141591510544</v>
      </c>
      <c r="S55" s="59">
        <f ca="1">AVERAGE(OFFSET($R$3,0,0,'Données projet'!$E$9+1,1))-AVERAGE(OFFSET($H$3,0,0,'Données projet'!$E$9+1,1))</f>
        <v>466.90449882701591</v>
      </c>
      <c r="T55" s="59">
        <f t="shared" si="34"/>
        <v>283.37641704892053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7.4683863984835428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7.4683863984835428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67.282961487772951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</v>
      </c>
      <c r="AI55" s="13">
        <f>IF('Données projet'!$A$62&gt;35,AI54+AH55-AQ54,IF(A55&lt;'Données projet'!$A$62,$AF$205^A55,IF(A55='Données projet'!$A$62,'Données projet'!$B$62,AI54+AH55-AQ54)))</f>
        <v>173.00000000000003</v>
      </c>
      <c r="AJ55" s="13">
        <f>AI55*VLOOKUP('Données projet'!$B$10,Paramètres!$A$1:$I$89,3,0)*VLOOKUP('Données projet'!$B$10,Paramètres!$A$1:$I$89,5,0)</f>
        <v>164.62680000000003</v>
      </c>
      <c r="AK55" s="13">
        <f t="shared" si="35"/>
        <v>41.884365321551869</v>
      </c>
      <c r="AL55" s="20">
        <f t="shared" si="4"/>
        <v>359.67361293503626</v>
      </c>
      <c r="AM55" s="59">
        <f t="shared" si="5"/>
        <v>643.04447172353707</v>
      </c>
      <c r="AN55" s="59">
        <f ca="1">AVERAGE(OFFSET($AM$3,0,0,'Données projet'!$E$10+1,1))-AVERAGE(OFFSET($H$3,0,0,'Données projet'!$E$10+1,1))</f>
        <v>399.5572791581468</v>
      </c>
      <c r="AO55" s="59">
        <f t="shared" si="36"/>
        <v>246.34185986079777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5.891011685010727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5.891011685010727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67.282961487772951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>
        <f>VLOOKUP(A55,'Données projet'!$A$87:$I$107,2,0)</f>
        <v>270</v>
      </c>
      <c r="BB55" s="12">
        <f>VLOOKUP(A55,'Données projet'!$A$87:$I$107,9,0)</f>
        <v>10.375</v>
      </c>
      <c r="BC55" s="12">
        <f t="array" ref="BC55">INDEX(BB:BB,MIN(IF(ISNUMBER(BB55:BB251),ROW(BB55:BB251),"")))</f>
        <v>10.375</v>
      </c>
      <c r="BD55" s="12">
        <f>IF('Données projet'!$A$88&gt;35,BD54+BC55-BL54,IF(A55&lt;'Données projet'!$A$88,$BA$205^A55,IF(A55='Données projet'!$A$88,'Données projet'!$B$88,BD54+BC55-BL54)))</f>
        <v>269.99999999999989</v>
      </c>
      <c r="BE55" s="13">
        <f>BD55*VLOOKUP('Données projet'!$B$11,Paramètres!$A$1:$I$89,3,0)*VLOOKUP('Données projet'!$B$11,Paramètres!$A$1:$I$89,5,0)</f>
        <v>210.59999999999991</v>
      </c>
      <c r="BF55" s="13">
        <f t="shared" si="37"/>
        <v>52.066679014659961</v>
      </c>
      <c r="BG55" s="20">
        <f t="shared" si="7"/>
        <v>457.47779928386586</v>
      </c>
      <c r="BH55" s="59">
        <f t="shared" si="8"/>
        <v>740.84865807236667</v>
      </c>
      <c r="BI55" s="59">
        <f ca="1">AVERAGE(OFFSET($BH$3,0,0,'Données projet'!$E$11+1,1))-AVERAGE(OFFSET($H$3,0,0,'Données projet'!$E$11+1,1))</f>
        <v>294.23449029791681</v>
      </c>
      <c r="BJ55" s="59">
        <f t="shared" si="38"/>
        <v>288.64639202306159</v>
      </c>
      <c r="BK55" s="15">
        <f>IF(ISNA(VLOOKUP(A55,'Données projet'!$A$87:$I$107,3,0)),0,VLOOKUP(A55,'Données projet'!$A$87:$I$107,3,0))</f>
        <v>7</v>
      </c>
      <c r="BL55" s="15">
        <f>IF(ISNA(VLOOKUP(A55,'Données projet'!$A$87:$I$107,4,0)),0,VLOOKUP(A55,'Données projet'!$A$87:$I$107,4,0))</f>
        <v>48</v>
      </c>
      <c r="BM55" s="16">
        <f>IF(ISNA(VLOOKUP(A55,'Données projet'!$A$87:$I$107,5,0)),0%,VLOOKUP(A55,'Données projet'!$A$87:$I$107,5,0)*VLOOKUP('Données projet'!$B$11,Paramètres!$A$1:$I$89,7,0))</f>
        <v>0.17200000000000001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19.351877440048309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19.351877440048309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67.282961487772951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8</v>
      </c>
      <c r="BY55" s="12">
        <f>IF('Données projet'!$A$114&gt;35,BY54+BX55-CG54,IF(A55&lt;'Données projet'!$A$114,$BV$205^A55,IF(A55='Données projet'!$A$114,'Données projet'!$B$114,BY54+BX55-CG54)))</f>
        <v>173.00000000000003</v>
      </c>
      <c r="BZ55" s="13">
        <f>BY55*VLOOKUP('Données projet'!$B$12,Paramètres!$A$1:$I$89,3,0)*VLOOKUP('Données projet'!$B$12,Paramètres!$A$1:$I$89,5,0)</f>
        <v>186.21720000000002</v>
      </c>
      <c r="CA55" s="13">
        <f t="shared" si="39"/>
        <v>46.702653149673253</v>
      </c>
      <c r="CB55" s="20">
        <f t="shared" si="10"/>
        <v>405.66874423568089</v>
      </c>
      <c r="CC55" s="59">
        <f t="shared" si="11"/>
        <v>689.0396030241817</v>
      </c>
      <c r="CD55" s="59">
        <f ca="1">AVERAGE(OFFSET($CC$3,0,0,'Données projet'!$E$12+1,1))-AVERAGE(OFFSET($H$3,0,0,'Données projet'!$E$12+1,1))</f>
        <v>445.38112098358147</v>
      </c>
      <c r="CE55" s="59">
        <f t="shared" si="40"/>
        <v>272.45883568548516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6.6636033814055748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6.6636033814055748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67.282961487772951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8</v>
      </c>
      <c r="CT55" s="12">
        <f>IF('Données projet'!$A$140&gt;35,CT54+CS55-DB54,IF(A55&lt;'Données projet'!$A$140,$CQ$205^A55,IF(A55='Données projet'!$A$140,'Données projet'!$B$140,CT54+CS55-DB54)))</f>
        <v>173.00000000000003</v>
      </c>
      <c r="CU55" s="17">
        <f>CT55*VLOOKUP('Données projet'!$B$13,Paramètres!$A$1:$I$89,3,0)*VLOOKUP('Données projet'!$B$13,Paramètres!$A$1:$I$89,5,0)</f>
        <v>186.21720000000002</v>
      </c>
      <c r="CV55" s="13">
        <f t="shared" si="41"/>
        <v>46.702653149673253</v>
      </c>
      <c r="CW55" s="20">
        <f t="shared" si="13"/>
        <v>405.66874423568089</v>
      </c>
      <c r="CX55" s="59">
        <f t="shared" si="14"/>
        <v>689.0396030241817</v>
      </c>
      <c r="CY55" s="59">
        <f ca="1">AVERAGE(OFFSET($CX$3,0,0,'Données projet'!$E$13+1,1))-AVERAGE(OFFSET($H$3,0,0,'Données projet'!$E$13+1,1))</f>
        <v>445.38112098358147</v>
      </c>
      <c r="CZ55" s="59">
        <f t="shared" si="42"/>
        <v>272.45883568548516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6.6636033814055748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6.6636033814055748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67.282961487772951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8</v>
      </c>
      <c r="DO55" s="12">
        <f>IF('Données projet'!$A$166&gt;35,DO54+DN55-DW54,IF(A55&lt;'Données projet'!$A$166,$DL$205^A55,IF(A55='Données projet'!$A$166,'Données projet'!$B$166,DO54+DN55-DW54)))</f>
        <v>173.00000000000003</v>
      </c>
      <c r="DP55" s="17">
        <f>DO55*VLOOKUP('Données projet'!$B$14,Paramètres!$A$1:$I$89,3,0)*VLOOKUP('Données projet'!$B$14,Paramètres!$A$1:$I$89,5,0)</f>
        <v>167.32560000000004</v>
      </c>
      <c r="DQ55" s="13">
        <f t="shared" si="43"/>
        <v>42.490495297127609</v>
      </c>
      <c r="DR55" s="20">
        <f t="shared" si="16"/>
        <v>365.42969930916394</v>
      </c>
      <c r="DS55" s="59">
        <f t="shared" si="17"/>
        <v>648.80055809766475</v>
      </c>
      <c r="DT55" s="59">
        <f ca="1">AVERAGE(OFFSET($DS$3,0,0,'Données projet'!$E$14+1,1))-AVERAGE(OFFSET($H$3,0,0,'Données projet'!$E$14+1,1))</f>
        <v>405.29179902613089</v>
      </c>
      <c r="DU55" s="59">
        <f t="shared" si="44"/>
        <v>249.61049717638238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5.9875856470600821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5.9875856470600821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67.282961487772951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17.995000000000005</v>
      </c>
      <c r="EJ55" s="12">
        <f>IF('Données projet'!$A$192&gt;35,EJ54+EI55-ER54,IF(A55&lt;'Données projet'!$A$192,$EG$205^A55,IF(A55='Données projet'!$A$192,'Données projet'!$B$192,EJ54+EI55-ER54)))</f>
        <v>479.72000000000014</v>
      </c>
      <c r="EK55" s="17">
        <f>EJ55*VLOOKUP('Données projet'!$B$15,Paramètres!$A$1:$I$89,3,0)*VLOOKUP('Données projet'!$B$15,Paramètres!$A$1:$I$89,5,0)</f>
        <v>286.87256000000014</v>
      </c>
      <c r="EL55" s="13">
        <f t="shared" si="45"/>
        <v>68.41732235454451</v>
      </c>
      <c r="EM55" s="20">
        <f t="shared" si="19"/>
        <v>618.79654510083196</v>
      </c>
      <c r="EN55" s="59">
        <f t="shared" si="20"/>
        <v>902.16740388933272</v>
      </c>
      <c r="EO55" s="59">
        <f ca="1">AVERAGE(OFFSET($EN$3,0,0,'Données projet'!$E$15+1,1))-AVERAGE(OFFSET($H$3,0,0,'Données projet'!$E$15+1,1))</f>
        <v>444.77624981561257</v>
      </c>
      <c r="EP55" s="59">
        <f t="shared" si="46"/>
        <v>382.10319641527587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21.36782229115224</v>
      </c>
      <c r="EW55" s="21">
        <f>EXP(-LN(2)/25)*EW54+(1-EXP(-LN(2)/25))/(LN(2)/25)*Calculateur!ER55*Calculateur!ET55*VLOOKUP('Données projet'!$B$15,Paramètres!$A$1:$I$89,3,0)*0.475*44/12</f>
        <v>27.430718658870092</v>
      </c>
      <c r="EX55" s="21">
        <f>EXP(-LN(2)/2)*EX54+(1-EXP(-LN(2)/2))/(LN(2)/2)*ER55*EU55*VLOOKUP('Données projet'!$B$15,Paramètres!$A$1:$I$89,3,0)*0.475*44/12</f>
        <v>2.1269813249949094</v>
      </c>
      <c r="EY55" s="22">
        <f t="shared" si="21"/>
        <v>50.925522275017236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67.282961487772951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24.2</v>
      </c>
      <c r="FE55" s="12">
        <f>IF('Données projet'!$A$218&gt;35,FE54+FD55-FM54,IF(A55&lt;'Données projet'!$A$218,$FB$205^A55,IF(A55='Données projet'!$A$218,'Données projet'!$B$218,FE54+FD55-FM54)))</f>
        <v>708.4</v>
      </c>
      <c r="FF55" s="17">
        <f>FE55*VLOOKUP('Données projet'!$B$16,Paramètres!$A$1:$I$89,3,0)*VLOOKUP('Données projet'!$B$16,Paramètres!$A$1:$I$89,5,0)</f>
        <v>313.11280000000005</v>
      </c>
      <c r="FG55" s="13">
        <f t="shared" si="47"/>
        <v>73.918528209995586</v>
      </c>
      <c r="FH55" s="20">
        <f t="shared" si="22"/>
        <v>674.07956329907574</v>
      </c>
      <c r="FI55" s="59">
        <f t="shared" si="23"/>
        <v>957.4504220875765</v>
      </c>
      <c r="FJ55" s="59">
        <f ca="1">AVERAGE(OFFSET($FI$3,0,0,'Données projet'!$E$16+1,1))-AVERAGE(OFFSET($H$3,0,0,'Données projet'!$E$16+1,1))</f>
        <v>508.71179785154317</v>
      </c>
      <c r="FK55" s="59">
        <f t="shared" si="48"/>
        <v>422.73937290731442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11.803630831552629</v>
      </c>
      <c r="FR55" s="21">
        <f>EXP(-LN(2)/25)*FR54+(1-EXP(-LN(2)/25))/(LN(2)/25)*Calculateur!FM55*Calculateur!FO55*VLOOKUP('Données projet'!$B$16,Paramètres!$A$1:$I$89,3,0)*0.475*44/12</f>
        <v>55.258791740928864</v>
      </c>
      <c r="FS55" s="21">
        <f>EXP(-LN(2)/2)*FS54+(1-EXP(-LN(2)/2))/(LN(2)/2)*FM55*FP55*VLOOKUP('Données projet'!$B$16,Paramètres!$A$1:$I$89,3,0)*0.475*44/12</f>
        <v>6.5272139412933523</v>
      </c>
      <c r="FT55" s="22">
        <f t="shared" si="24"/>
        <v>73.589636513774849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67.282961487772951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67.282961487772951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1.35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4.95</v>
      </c>
      <c r="H56" s="67">
        <f t="shared" si="1"/>
        <v>236.86666666666665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67.330096031571998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10.199999999999999</v>
      </c>
      <c r="N56" s="13">
        <f>IF('Données projet'!$A$36&gt;35,N55+M56-V55,IF(A56&lt;'Données projet'!$A$36,$K$205^A56,IF(A56='Données projet'!$A$36,'Données projet'!$B$36,N55+M56-V55)))</f>
        <v>233.59999999999994</v>
      </c>
      <c r="O56" s="13">
        <f>N56*VLOOKUP('Données projet'!$B$9,Paramètres!$A$1:$I$89,3,0)*VLOOKUP('Données projet'!$B$9,Paramètres!$A$1:$I$89,5,0)</f>
        <v>211.36127999999991</v>
      </c>
      <c r="P56" s="13">
        <f t="shared" si="33"/>
        <v>52.232947669705631</v>
      </c>
      <c r="Q56" s="20">
        <f t="shared" si="53"/>
        <v>459.0932798580705</v>
      </c>
      <c r="R56" s="59">
        <f t="shared" si="0"/>
        <v>742.63696530716788</v>
      </c>
      <c r="S56" s="59">
        <f ca="1">AVERAGE(OFFSET($R$3,0,0,'Données projet'!$E$9+1,1))-AVERAGE(OFFSET($H$3,0,0,'Données projet'!$E$9+1,1))</f>
        <v>466.90449882701591</v>
      </c>
      <c r="T56" s="59">
        <f t="shared" si="34"/>
        <v>283.37641704892053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7.3219358964751882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7.3219358964751882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67.330096031571998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</v>
      </c>
      <c r="AI56" s="13">
        <f>IF('Données projet'!$A$62&gt;35,AI55+AH56-AQ55,IF(A56&lt;'Données projet'!$A$62,$AF$205^A56,IF(A56='Données projet'!$A$62,'Données projet'!$B$62,AI55+AH56-AQ55)))</f>
        <v>181.00000000000003</v>
      </c>
      <c r="AJ56" s="13">
        <f>AI56*VLOOKUP('Données projet'!$B$10,Paramètres!$A$1:$I$89,3,0)*VLOOKUP('Données projet'!$B$10,Paramètres!$A$1:$I$89,5,0)</f>
        <v>172.23960000000002</v>
      </c>
      <c r="AK56" s="13">
        <f t="shared" si="35"/>
        <v>43.591236765546377</v>
      </c>
      <c r="AL56" s="20">
        <f t="shared" si="4"/>
        <v>375.90537403332661</v>
      </c>
      <c r="AM56" s="59">
        <f t="shared" si="5"/>
        <v>659.44905948242399</v>
      </c>
      <c r="AN56" s="59">
        <f ca="1">AVERAGE(OFFSET($AM$3,0,0,'Données projet'!$E$10+1,1))-AVERAGE(OFFSET($H$3,0,0,'Données projet'!$E$10+1,1))</f>
        <v>399.5572791581468</v>
      </c>
      <c r="AO56" s="59">
        <f t="shared" si="36"/>
        <v>246.34185986079777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5.7754925390299992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5.7754925390299992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67.330096031571998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9.375</v>
      </c>
      <c r="BD56" s="12">
        <f>IF('Données projet'!$A$88&gt;35,BD55+BC56-BL55,IF(A56&lt;'Données projet'!$A$88,$BA$205^A56,IF(A56='Données projet'!$A$88,'Données projet'!$B$88,BD55+BC56-BL55)))</f>
        <v>231.37499999999989</v>
      </c>
      <c r="BE56" s="13">
        <f>BD56*VLOOKUP('Données projet'!$B$11,Paramètres!$A$1:$I$89,3,0)*VLOOKUP('Données projet'!$B$11,Paramètres!$A$1:$I$89,5,0)</f>
        <v>180.47249999999991</v>
      </c>
      <c r="BF56" s="13">
        <f t="shared" si="37"/>
        <v>45.427292666837829</v>
      </c>
      <c r="BG56" s="20">
        <f t="shared" si="7"/>
        <v>393.44213889474241</v>
      </c>
      <c r="BH56" s="59">
        <f t="shared" si="8"/>
        <v>676.98582434383979</v>
      </c>
      <c r="BI56" s="59">
        <f ca="1">AVERAGE(OFFSET($BH$3,0,0,'Données projet'!$E$11+1,1))-AVERAGE(OFFSET($H$3,0,0,'Données projet'!$E$11+1,1))</f>
        <v>294.23449029791681</v>
      </c>
      <c r="BJ56" s="59">
        <f t="shared" si="38"/>
        <v>288.64639202306159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18.972398926928705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18.972398926928705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67.330096031571998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8</v>
      </c>
      <c r="BY56" s="12">
        <f>IF('Données projet'!$A$114&gt;35,BY55+BX56-CG55,IF(A56&lt;'Données projet'!$A$114,$BV$205^A56,IF(A56='Données projet'!$A$114,'Données projet'!$B$114,BY55+BX56-CG55)))</f>
        <v>181.00000000000003</v>
      </c>
      <c r="BZ56" s="13">
        <f>BY56*VLOOKUP('Données projet'!$B$12,Paramètres!$A$1:$I$89,3,0)*VLOOKUP('Données projet'!$B$12,Paramètres!$A$1:$I$89,5,0)</f>
        <v>194.82840000000002</v>
      </c>
      <c r="CA56" s="13">
        <f t="shared" si="39"/>
        <v>48.605879434898533</v>
      </c>
      <c r="CB56" s="20">
        <f t="shared" si="10"/>
        <v>423.98137001578158</v>
      </c>
      <c r="CC56" s="59">
        <f t="shared" si="11"/>
        <v>707.52505546487896</v>
      </c>
      <c r="CD56" s="59">
        <f ca="1">AVERAGE(OFFSET($CC$3,0,0,'Données projet'!$E$12+1,1))-AVERAGE(OFFSET($H$3,0,0,'Données projet'!$E$12+1,1))</f>
        <v>445.38112098358147</v>
      </c>
      <c r="CE56" s="59">
        <f t="shared" si="40"/>
        <v>272.45883568548516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6.532934183492948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6.532934183492948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67.330096031571998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8</v>
      </c>
      <c r="CT56" s="12">
        <f>IF('Données projet'!$A$140&gt;35,CT55+CS56-DB55,IF(A56&lt;'Données projet'!$A$140,$CQ$205^A56,IF(A56='Données projet'!$A$140,'Données projet'!$B$140,CT55+CS56-DB55)))</f>
        <v>181.00000000000003</v>
      </c>
      <c r="CU56" s="17">
        <f>CT56*VLOOKUP('Données projet'!$B$13,Paramètres!$A$1:$I$89,3,0)*VLOOKUP('Données projet'!$B$13,Paramètres!$A$1:$I$89,5,0)</f>
        <v>194.82840000000002</v>
      </c>
      <c r="CV56" s="13">
        <f t="shared" si="41"/>
        <v>48.605879434898533</v>
      </c>
      <c r="CW56" s="20">
        <f t="shared" si="13"/>
        <v>423.98137001578158</v>
      </c>
      <c r="CX56" s="59">
        <f t="shared" si="14"/>
        <v>707.52505546487896</v>
      </c>
      <c r="CY56" s="59">
        <f ca="1">AVERAGE(OFFSET($CX$3,0,0,'Données projet'!$E$13+1,1))-AVERAGE(OFFSET($H$3,0,0,'Données projet'!$E$13+1,1))</f>
        <v>445.38112098358147</v>
      </c>
      <c r="CZ56" s="59">
        <f t="shared" si="42"/>
        <v>272.45883568548516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6.532934183492948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6.532934183492948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67.330096031571998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8</v>
      </c>
      <c r="DO56" s="12">
        <f>IF('Données projet'!$A$166&gt;35,DO55+DN56-DW55,IF(A56&lt;'Données projet'!$A$166,$DL$205^A56,IF(A56='Données projet'!$A$166,'Données projet'!$B$166,DO55+DN56-DW55)))</f>
        <v>181.00000000000003</v>
      </c>
      <c r="DP56" s="17">
        <f>DO56*VLOOKUP('Données projet'!$B$14,Paramètres!$A$1:$I$89,3,0)*VLOOKUP('Données projet'!$B$14,Paramètres!$A$1:$I$89,5,0)</f>
        <v>175.06320000000002</v>
      </c>
      <c r="DQ56" s="13">
        <f t="shared" si="43"/>
        <v>44.222067746824763</v>
      </c>
      <c r="DR56" s="20">
        <f t="shared" si="16"/>
        <v>381.92184132571987</v>
      </c>
      <c r="DS56" s="59">
        <f t="shared" si="17"/>
        <v>665.46552677481714</v>
      </c>
      <c r="DT56" s="59">
        <f ca="1">AVERAGE(OFFSET($DS$3,0,0,'Données projet'!$E$14+1,1))-AVERAGE(OFFSET($H$3,0,0,'Données projet'!$E$14+1,1))</f>
        <v>405.29179902613089</v>
      </c>
      <c r="DU56" s="59">
        <f t="shared" si="44"/>
        <v>249.61049717638238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5.8701727445878671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5.8701727445878671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67.330096031571998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17.995000000000005</v>
      </c>
      <c r="EJ56" s="12">
        <f>IF('Données projet'!$A$192&gt;35,EJ55+EI56-ER55,IF(A56&lt;'Données projet'!$A$192,$EG$205^A56,IF(A56='Données projet'!$A$192,'Données projet'!$B$192,EJ55+EI56-ER55)))</f>
        <v>497.71500000000015</v>
      </c>
      <c r="EK56" s="17">
        <f>EJ56*VLOOKUP('Données projet'!$B$15,Paramètres!$A$1:$I$89,3,0)*VLOOKUP('Données projet'!$B$15,Paramètres!$A$1:$I$89,5,0)</f>
        <v>297.63357000000008</v>
      </c>
      <c r="EL56" s="13">
        <f t="shared" si="45"/>
        <v>70.680140429959067</v>
      </c>
      <c r="EM56" s="20">
        <f t="shared" si="19"/>
        <v>641.47971233217879</v>
      </c>
      <c r="EN56" s="59">
        <f t="shared" si="20"/>
        <v>925.02339778127612</v>
      </c>
      <c r="EO56" s="59">
        <f ca="1">AVERAGE(OFFSET($EN$3,0,0,'Données projet'!$E$15+1,1))-AVERAGE(OFFSET($H$3,0,0,'Données projet'!$E$15+1,1))</f>
        <v>444.77624981561257</v>
      </c>
      <c r="EP56" s="59">
        <f t="shared" si="46"/>
        <v>382.10319641527587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20.948812329107433</v>
      </c>
      <c r="EW56" s="21">
        <f>EXP(-LN(2)/25)*EW55+(1-EXP(-LN(2)/25))/(LN(2)/25)*Calculateur!ER56*Calculateur!ET56*VLOOKUP('Données projet'!$B$15,Paramètres!$A$1:$I$89,3,0)*0.475*44/12</f>
        <v>26.680624214624487</v>
      </c>
      <c r="EX56" s="21">
        <f>EXP(-LN(2)/2)*EX55+(1-EXP(-LN(2)/2))/(LN(2)/2)*ER56*EU56*VLOOKUP('Données projet'!$B$15,Paramètres!$A$1:$I$89,3,0)*0.475*44/12</f>
        <v>1.5040029183610484</v>
      </c>
      <c r="EY56" s="22">
        <f t="shared" si="21"/>
        <v>49.133439462092966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67.330096031571998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24.2</v>
      </c>
      <c r="FE56" s="12">
        <f>IF('Données projet'!$A$218&gt;35,FE55+FD56-FM55,IF(A56&lt;'Données projet'!$A$218,$FB$205^A56,IF(A56='Données projet'!$A$218,'Données projet'!$B$218,FE55+FD56-FM55)))</f>
        <v>732.6</v>
      </c>
      <c r="FF56" s="17">
        <f>FE56*VLOOKUP('Données projet'!$B$16,Paramètres!$A$1:$I$89,3,0)*VLOOKUP('Données projet'!$B$16,Paramètres!$A$1:$I$89,5,0)</f>
        <v>323.80920000000003</v>
      </c>
      <c r="FG56" s="13">
        <f t="shared" si="47"/>
        <v>76.145385123817718</v>
      </c>
      <c r="FH56" s="20">
        <f t="shared" si="22"/>
        <v>696.58756909064925</v>
      </c>
      <c r="FI56" s="59">
        <f t="shared" si="23"/>
        <v>980.13125453974658</v>
      </c>
      <c r="FJ56" s="59">
        <f ca="1">AVERAGE(OFFSET($FI$3,0,0,'Données projet'!$E$16+1,1))-AVERAGE(OFFSET($H$3,0,0,'Données projet'!$E$16+1,1))</f>
        <v>508.71179785154317</v>
      </c>
      <c r="FK56" s="59">
        <f t="shared" si="48"/>
        <v>422.73937290731442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11.572168830449797</v>
      </c>
      <c r="FR56" s="21">
        <f>EXP(-LN(2)/25)*FR55+(1-EXP(-LN(2)/25))/(LN(2)/25)*Calculateur!FM56*Calculateur!FO56*VLOOKUP('Données projet'!$B$16,Paramètres!$A$1:$I$89,3,0)*0.475*44/12</f>
        <v>53.7477371748396</v>
      </c>
      <c r="FS56" s="21">
        <f>EXP(-LN(2)/2)*FS55+(1-EXP(-LN(2)/2))/(LN(2)/2)*FM56*FP56*VLOOKUP('Données projet'!$B$16,Paramètres!$A$1:$I$89,3,0)*0.475*44/12</f>
        <v>4.6154372401439012</v>
      </c>
      <c r="FT56" s="22">
        <f t="shared" si="24"/>
        <v>69.935343245433302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67.330096031571998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67.330096031571998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1.35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4.95</v>
      </c>
      <c r="H57" s="67">
        <f t="shared" si="1"/>
        <v>236.86666666666665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67.376412896413171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10.199999999999999</v>
      </c>
      <c r="N57" s="13">
        <f>IF('Données projet'!$A$36&gt;35,N56+M57-V56,IF(A57&lt;'Données projet'!$A$36,$K$205^A57,IF(A57='Données projet'!$A$36,'Données projet'!$B$36,N56+M57-V56)))</f>
        <v>243.79999999999993</v>
      </c>
      <c r="O57" s="13">
        <f>N57*VLOOKUP('Données projet'!$B$9,Paramètres!$A$1:$I$89,3,0)*VLOOKUP('Données projet'!$B$9,Paramètres!$A$1:$I$89,5,0)</f>
        <v>220.59023999999991</v>
      </c>
      <c r="P57" s="13">
        <f t="shared" si="33"/>
        <v>54.243151457087848</v>
      </c>
      <c r="Q57" s="20">
        <f t="shared" si="53"/>
        <v>478.66815678776123</v>
      </c>
      <c r="R57" s="59">
        <f t="shared" si="0"/>
        <v>762.38167074127614</v>
      </c>
      <c r="S57" s="59">
        <f ca="1">AVERAGE(OFFSET($R$3,0,0,'Données projet'!$E$9+1,1))-AVERAGE(OFFSET($H$3,0,0,'Données projet'!$E$9+1,1))</f>
        <v>466.90449882701591</v>
      </c>
      <c r="T57" s="59">
        <f t="shared" si="34"/>
        <v>283.37641704892053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7.178357199485232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7.178357199485232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67.376412896413171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</v>
      </c>
      <c r="AI57" s="13">
        <f>IF('Données projet'!$A$62&gt;35,AI56+AH57-AQ56,IF(A57&lt;'Données projet'!$A$62,$AF$205^A57,IF(A57='Données projet'!$A$62,'Données projet'!$B$62,AI56+AH57-AQ56)))</f>
        <v>189.00000000000003</v>
      </c>
      <c r="AJ57" s="13">
        <f>AI57*VLOOKUP('Données projet'!$B$10,Paramètres!$A$1:$I$89,3,0)*VLOOKUP('Données projet'!$B$10,Paramètres!$A$1:$I$89,5,0)</f>
        <v>179.85240000000005</v>
      </c>
      <c r="AK57" s="13">
        <f t="shared" si="35"/>
        <v>45.289346318280131</v>
      </c>
      <c r="AL57" s="20">
        <f t="shared" si="4"/>
        <v>392.12187483767133</v>
      </c>
      <c r="AM57" s="59">
        <f t="shared" si="5"/>
        <v>675.83538879118623</v>
      </c>
      <c r="AN57" s="59">
        <f ca="1">AVERAGE(OFFSET($AM$3,0,0,'Données projet'!$E$10+1,1))-AVERAGE(OFFSET($H$3,0,0,'Données projet'!$E$10+1,1))</f>
        <v>399.5572791581468</v>
      </c>
      <c r="AO57" s="59">
        <f t="shared" si="36"/>
        <v>246.34185986079777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5.6622386530422313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5.6622386530422313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67.376412896413171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9.375</v>
      </c>
      <c r="BD57" s="12">
        <f>IF('Données projet'!$A$88&gt;35,BD56+BC57-BL56,IF(A57&lt;'Données projet'!$A$88,$BA$205^A57,IF(A57='Données projet'!$A$88,'Données projet'!$B$88,BD56+BC57-BL56)))</f>
        <v>240.74999999999989</v>
      </c>
      <c r="BE57" s="13">
        <f>BD57*VLOOKUP('Données projet'!$B$11,Paramètres!$A$1:$I$89,3,0)*VLOOKUP('Données projet'!$B$11,Paramètres!$A$1:$I$89,5,0)</f>
        <v>187.78499999999991</v>
      </c>
      <c r="BF57" s="13">
        <f t="shared" si="37"/>
        <v>47.049914090154054</v>
      </c>
      <c r="BG57" s="20">
        <f t="shared" si="7"/>
        <v>409.0041420403515</v>
      </c>
      <c r="BH57" s="59">
        <f t="shared" si="8"/>
        <v>692.7176559938664</v>
      </c>
      <c r="BI57" s="59">
        <f ca="1">AVERAGE(OFFSET($BH$3,0,0,'Données projet'!$E$11+1,1))-AVERAGE(OFFSET($H$3,0,0,'Données projet'!$E$11+1,1))</f>
        <v>294.23449029791681</v>
      </c>
      <c r="BJ57" s="59">
        <f t="shared" si="38"/>
        <v>288.64639202306159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18.600361755992335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18.600361755992335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67.376412896413171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8</v>
      </c>
      <c r="BY57" s="12">
        <f>IF('Données projet'!$A$114&gt;35,BY56+BX57-CG56,IF(A57&lt;'Données projet'!$A$114,$BV$205^A57,IF(A57='Données projet'!$A$114,'Données projet'!$B$114,BY56+BX57-CG56)))</f>
        <v>189.00000000000003</v>
      </c>
      <c r="BZ57" s="13">
        <f>BY57*VLOOKUP('Données projet'!$B$12,Paramètres!$A$1:$I$89,3,0)*VLOOKUP('Données projet'!$B$12,Paramètres!$A$1:$I$89,5,0)</f>
        <v>203.43960000000001</v>
      </c>
      <c r="CA57" s="13">
        <f t="shared" si="39"/>
        <v>50.499335879627459</v>
      </c>
      <c r="CB57" s="20">
        <f t="shared" si="10"/>
        <v>442.27697999035109</v>
      </c>
      <c r="CC57" s="59">
        <f t="shared" si="11"/>
        <v>725.99049394386611</v>
      </c>
      <c r="CD57" s="59">
        <f ca="1">AVERAGE(OFFSET($CC$3,0,0,'Données projet'!$E$12+1,1))-AVERAGE(OFFSET($H$3,0,0,'Données projet'!$E$12+1,1))</f>
        <v>445.38112098358147</v>
      </c>
      <c r="CE57" s="59">
        <f t="shared" si="40"/>
        <v>272.45883568548516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6.4048273288510469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6.4048273288510469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67.376412896413171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8</v>
      </c>
      <c r="CT57" s="12">
        <f>IF('Données projet'!$A$140&gt;35,CT56+CS57-DB56,IF(A57&lt;'Données projet'!$A$140,$CQ$205^A57,IF(A57='Données projet'!$A$140,'Données projet'!$B$140,CT56+CS57-DB56)))</f>
        <v>189.00000000000003</v>
      </c>
      <c r="CU57" s="17">
        <f>CT57*VLOOKUP('Données projet'!$B$13,Paramètres!$A$1:$I$89,3,0)*VLOOKUP('Données projet'!$B$13,Paramètres!$A$1:$I$89,5,0)</f>
        <v>203.43960000000001</v>
      </c>
      <c r="CV57" s="13">
        <f t="shared" si="41"/>
        <v>50.499335879627459</v>
      </c>
      <c r="CW57" s="20">
        <f t="shared" si="13"/>
        <v>442.27697999035109</v>
      </c>
      <c r="CX57" s="59">
        <f t="shared" si="14"/>
        <v>725.99049394386611</v>
      </c>
      <c r="CY57" s="59">
        <f ca="1">AVERAGE(OFFSET($CX$3,0,0,'Données projet'!$E$13+1,1))-AVERAGE(OFFSET($H$3,0,0,'Données projet'!$E$13+1,1))</f>
        <v>445.38112098358147</v>
      </c>
      <c r="CZ57" s="59">
        <f t="shared" si="42"/>
        <v>272.45883568548516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6.4048273288510469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6.4048273288510469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67.376412896413171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8</v>
      </c>
      <c r="DO57" s="12">
        <f>IF('Données projet'!$A$166&gt;35,DO56+DN57-DW56,IF(A57&lt;'Données projet'!$A$166,$DL$205^A57,IF(A57='Données projet'!$A$166,'Données projet'!$B$166,DO56+DN57-DW56)))</f>
        <v>189.00000000000003</v>
      </c>
      <c r="DP57" s="17">
        <f>DO57*VLOOKUP('Données projet'!$B$14,Paramètres!$A$1:$I$89,3,0)*VLOOKUP('Données projet'!$B$14,Paramètres!$A$1:$I$89,5,0)</f>
        <v>182.80080000000004</v>
      </c>
      <c r="DQ57" s="13">
        <f t="shared" si="43"/>
        <v>45.9447515074717</v>
      </c>
      <c r="DR57" s="20">
        <f t="shared" si="16"/>
        <v>398.39850220884659</v>
      </c>
      <c r="DS57" s="59">
        <f t="shared" si="17"/>
        <v>682.11201616236156</v>
      </c>
      <c r="DT57" s="59">
        <f ca="1">AVERAGE(OFFSET($DS$3,0,0,'Données projet'!$E$14+1,1))-AVERAGE(OFFSET($H$3,0,0,'Données projet'!$E$14+1,1))</f>
        <v>405.29179902613089</v>
      </c>
      <c r="DU57" s="59">
        <f t="shared" si="44"/>
        <v>249.61049717638238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5.7550622375183327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5.7550622375183327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67.376412896413171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17.995000000000005</v>
      </c>
      <c r="EJ57" s="12">
        <f>IF('Données projet'!$A$192&gt;35,EJ56+EI57-ER56,IF(A57&lt;'Données projet'!$A$192,$EG$205^A57,IF(A57='Données projet'!$A$192,'Données projet'!$B$192,EJ56+EI57-ER56)))</f>
        <v>515.71000000000015</v>
      </c>
      <c r="EK57" s="17">
        <f>EJ57*VLOOKUP('Données projet'!$B$15,Paramètres!$A$1:$I$89,3,0)*VLOOKUP('Données projet'!$B$15,Paramètres!$A$1:$I$89,5,0)</f>
        <v>308.39458000000013</v>
      </c>
      <c r="EL57" s="13">
        <f t="shared" si="45"/>
        <v>72.933453329394183</v>
      </c>
      <c r="EM57" s="20">
        <f t="shared" si="19"/>
        <v>664.14632471536174</v>
      </c>
      <c r="EN57" s="59">
        <f t="shared" si="20"/>
        <v>947.85983866887671</v>
      </c>
      <c r="EO57" s="59">
        <f ca="1">AVERAGE(OFFSET($EN$3,0,0,'Données projet'!$E$15+1,1))-AVERAGE(OFFSET($H$3,0,0,'Données projet'!$E$15+1,1))</f>
        <v>444.77624981561257</v>
      </c>
      <c r="EP57" s="59">
        <f t="shared" si="46"/>
        <v>382.10319641527587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20.538018896847483</v>
      </c>
      <c r="EW57" s="21">
        <f>EXP(-LN(2)/25)*EW56+(1-EXP(-LN(2)/25))/(LN(2)/25)*Calculateur!ER57*Calculateur!ET57*VLOOKUP('Données projet'!$B$15,Paramètres!$A$1:$I$89,3,0)*0.475*44/12</f>
        <v>25.951041142402531</v>
      </c>
      <c r="EX57" s="21">
        <f>EXP(-LN(2)/2)*EX56+(1-EXP(-LN(2)/2))/(LN(2)/2)*ER57*EU57*VLOOKUP('Données projet'!$B$15,Paramètres!$A$1:$I$89,3,0)*0.475*44/12</f>
        <v>1.0634906624974547</v>
      </c>
      <c r="EY57" s="22">
        <f t="shared" si="21"/>
        <v>47.552550701747471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67.376412896413171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24.2</v>
      </c>
      <c r="FE57" s="12">
        <f>IF('Données projet'!$A$218&gt;35,FE56+FD57-FM56,IF(A57&lt;'Données projet'!$A$218,$FB$205^A57,IF(A57='Données projet'!$A$218,'Données projet'!$B$218,FE56+FD57-FM56)))</f>
        <v>756.80000000000007</v>
      </c>
      <c r="FF57" s="17">
        <f>FE57*VLOOKUP('Données projet'!$B$16,Paramètres!$A$1:$I$89,3,0)*VLOOKUP('Données projet'!$B$16,Paramètres!$A$1:$I$89,5,0)</f>
        <v>334.50560000000013</v>
      </c>
      <c r="FG57" s="13">
        <f t="shared" si="47"/>
        <v>78.363694470523086</v>
      </c>
      <c r="FH57" s="20">
        <f t="shared" si="22"/>
        <v>719.08068786949445</v>
      </c>
      <c r="FI57" s="59">
        <f t="shared" si="23"/>
        <v>1002.7942018230094</v>
      </c>
      <c r="FJ57" s="59">
        <f ca="1">AVERAGE(OFFSET($FI$3,0,0,'Données projet'!$E$16+1,1))-AVERAGE(OFFSET($H$3,0,0,'Données projet'!$E$16+1,1))</f>
        <v>508.71179785154317</v>
      </c>
      <c r="FK57" s="59">
        <f t="shared" si="48"/>
        <v>422.73937290731442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11.345245658010711</v>
      </c>
      <c r="FR57" s="21">
        <f>EXP(-LN(2)/25)*FR56+(1-EXP(-LN(2)/25))/(LN(2)/25)*Calculateur!FM57*Calculateur!FO57*VLOOKUP('Données projet'!$B$16,Paramètres!$A$1:$I$89,3,0)*0.475*44/12</f>
        <v>52.278002475322957</v>
      </c>
      <c r="FS57" s="21">
        <f>EXP(-LN(2)/2)*FS56+(1-EXP(-LN(2)/2))/(LN(2)/2)*FM57*FP57*VLOOKUP('Données projet'!$B$16,Paramètres!$A$1:$I$89,3,0)*0.475*44/12</f>
        <v>3.2636069706466766</v>
      </c>
      <c r="FT57" s="22">
        <f t="shared" si="24"/>
        <v>66.886855103980338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67.376412896413171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67.376412896413171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1.35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4.95</v>
      </c>
      <c r="H58" s="67">
        <f t="shared" si="1"/>
        <v>236.86666666666665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67.421926267198344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254</v>
      </c>
      <c r="L58" s="12">
        <f>VLOOKUP(A58,'Données projet'!$A$35:$I$55,9,0)</f>
        <v>10.199999999999999</v>
      </c>
      <c r="M58" s="12">
        <f t="array" ref="M58">INDEX(L:L,MIN(IF(ISNUMBER(L58:L254),ROW(L58:L254),"")))</f>
        <v>10.199999999999999</v>
      </c>
      <c r="N58" s="13">
        <f>IF('Données projet'!$A$36&gt;35,N57+M58-V57,IF(A58&lt;'Données projet'!$A$36,$K$205^A58,IF(A58='Données projet'!$A$36,'Données projet'!$B$36,N57+M58-V57)))</f>
        <v>253.99999999999991</v>
      </c>
      <c r="O58" s="13">
        <f>N58*VLOOKUP('Données projet'!$B$9,Paramètres!$A$1:$I$89,3,0)*VLOOKUP('Données projet'!$B$9,Paramètres!$A$1:$I$89,5,0)</f>
        <v>229.81919999999991</v>
      </c>
      <c r="P58" s="13">
        <f t="shared" si="33"/>
        <v>56.243586554989342</v>
      </c>
      <c r="Q58" s="20">
        <f t="shared" si="53"/>
        <v>498.22601991660628</v>
      </c>
      <c r="R58" s="59">
        <f t="shared" si="0"/>
        <v>782.10641622966682</v>
      </c>
      <c r="S58" s="59">
        <f ca="1">AVERAGE(OFFSET($R$3,0,0,'Données projet'!$E$9+1,1))-AVERAGE(OFFSET($H$3,0,0,'Données projet'!$E$9+1,1))</f>
        <v>466.90449882701591</v>
      </c>
      <c r="T58" s="59">
        <f t="shared" si="34"/>
        <v>283.37641704892053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28</v>
      </c>
      <c r="W58" s="16">
        <f>IF(ISNA(VLOOKUP(A58,'Données projet'!$A$35:$I$55,5,0)),0%,VLOOKUP(A58,'Données projet'!$A$35:$I$55,5,0)*VLOOKUP('Données projet'!$B$9,Paramètres!$A$1:$I$89,7,0))</f>
        <v>0.129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10.650423306206795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10.650423306206795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67.421926267198344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197</v>
      </c>
      <c r="AG58" s="12">
        <f>VLOOKUP(A58,'Données projet'!$A$61:$I$81,9,0)</f>
        <v>8</v>
      </c>
      <c r="AH58" s="12">
        <f t="array" ref="AH58">INDEX(AG:AG,MIN(IF(ISNUMBER(AG58:AG254),ROW(AG58:AG254),"")))</f>
        <v>8</v>
      </c>
      <c r="AI58" s="13">
        <f>IF('Données projet'!$A$62&gt;35,AI57+AH58-AQ57,IF(A58&lt;'Données projet'!$A$62,$AF$205^A58,IF(A58='Données projet'!$A$62,'Données projet'!$B$62,AI57+AH58-AQ57)))</f>
        <v>197.00000000000003</v>
      </c>
      <c r="AJ58" s="13">
        <f>AI58*VLOOKUP('Données projet'!$B$10,Paramètres!$A$1:$I$89,3,0)*VLOOKUP('Données projet'!$B$10,Paramètres!$A$1:$I$89,5,0)</f>
        <v>187.46520000000004</v>
      </c>
      <c r="AK58" s="13">
        <f t="shared" si="35"/>
        <v>46.979107256618605</v>
      </c>
      <c r="AL58" s="20">
        <f t="shared" si="4"/>
        <v>408.32383513861078</v>
      </c>
      <c r="AM58" s="59">
        <f t="shared" si="5"/>
        <v>692.20423145167138</v>
      </c>
      <c r="AN58" s="59">
        <f ca="1">AVERAGE(OFFSET($AM$3,0,0,'Données projet'!$E$10+1,1))-AVERAGE(OFFSET($H$3,0,0,'Données projet'!$E$10+1,1))</f>
        <v>399.5572791581468</v>
      </c>
      <c r="AO58" s="59">
        <f t="shared" si="36"/>
        <v>246.34185986079777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21</v>
      </c>
      <c r="AR58" s="16">
        <f>IF(ISNA(VLOOKUP(A58,'Données projet'!$A$61:$I$81,5,0)),0%,VLOOKUP(A58,'Données projet'!$A$61:$I$81,5,0)*VLOOKUP('Données projet'!$B$10,Paramètres!$A$1:$I$89,7,0))</f>
        <v>0.129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8.4009804527407059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8.4009804527407059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67.421926267198344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9.375</v>
      </c>
      <c r="BD58" s="12">
        <f>IF('Données projet'!$A$88&gt;35,BD57+BC58-BL57,IF(A58&lt;'Données projet'!$A$88,$BA$205^A58,IF(A58='Données projet'!$A$88,'Données projet'!$B$88,BD57+BC58-BL57)))</f>
        <v>250.12499999999989</v>
      </c>
      <c r="BE58" s="13">
        <f>BD58*VLOOKUP('Données projet'!$B$11,Paramètres!$A$1:$I$89,3,0)*VLOOKUP('Données projet'!$B$11,Paramètres!$A$1:$I$89,5,0)</f>
        <v>195.09749999999991</v>
      </c>
      <c r="BF58" s="13">
        <f t="shared" si="37"/>
        <v>48.66519532492579</v>
      </c>
      <c r="BG58" s="20">
        <f t="shared" si="7"/>
        <v>424.55336102424553</v>
      </c>
      <c r="BH58" s="59">
        <f t="shared" si="8"/>
        <v>708.43375733730613</v>
      </c>
      <c r="BI58" s="59">
        <f ca="1">AVERAGE(OFFSET($BH$3,0,0,'Données projet'!$E$11+1,1))-AVERAGE(OFFSET($H$3,0,0,'Données projet'!$E$11+1,1))</f>
        <v>294.23449029791681</v>
      </c>
      <c r="BJ58" s="59">
        <f t="shared" si="38"/>
        <v>288.64639202306159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18.235620007057761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18.235620007057761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67.421926267198344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197</v>
      </c>
      <c r="BW58" s="12">
        <f>VLOOKUP(A58,'Données projet'!$A$113:$I$133,9,0)</f>
        <v>8</v>
      </c>
      <c r="BX58" s="12">
        <f t="array" ref="BX58">INDEX(BW:BW,MIN(IF(ISNUMBER(BW58:BW254),ROW(BW58:BW254),"")))</f>
        <v>8</v>
      </c>
      <c r="BY58" s="12">
        <f>IF('Données projet'!$A$114&gt;35,BY57+BX58-CG57,IF(A58&lt;'Données projet'!$A$114,$BV$205^A58,IF(A58='Données projet'!$A$114,'Données projet'!$B$114,BY57+BX58-CG57)))</f>
        <v>197.00000000000003</v>
      </c>
      <c r="BZ58" s="13">
        <f>BY58*VLOOKUP('Données projet'!$B$12,Paramètres!$A$1:$I$89,3,0)*VLOOKUP('Données projet'!$B$12,Paramètres!$A$1:$I$89,5,0)</f>
        <v>212.05080000000001</v>
      </c>
      <c r="CA58" s="13">
        <f t="shared" si="39"/>
        <v>52.383483303212302</v>
      </c>
      <c r="CB58" s="20">
        <f t="shared" si="10"/>
        <v>460.55637675309475</v>
      </c>
      <c r="CC58" s="59">
        <f t="shared" si="11"/>
        <v>744.43677306615541</v>
      </c>
      <c r="CD58" s="59">
        <f ca="1">AVERAGE(OFFSET($CC$3,0,0,'Données projet'!$E$12+1,1))-AVERAGE(OFFSET($H$3,0,0,'Données projet'!$E$12+1,1))</f>
        <v>445.38112098358147</v>
      </c>
      <c r="CE58" s="59">
        <f t="shared" si="40"/>
        <v>272.45883568548516</v>
      </c>
      <c r="CF58" s="15">
        <f>IF(ISNA(VLOOKUP(A58,'Données projet'!$A$113:$I$133,3,0)),0,VLOOKUP(A58,'Données projet'!$A$113:$I$133,3,0))</f>
        <v>8</v>
      </c>
      <c r="CG58" s="15">
        <f>IF(ISNA(VLOOKUP(A58,'Données projet'!$A$113:$I$133,4,0)),0,VLOOKUP(A58,'Données projet'!$A$113:$I$133,4,0))</f>
        <v>21</v>
      </c>
      <c r="CH58" s="16">
        <f>IF(ISNA(VLOOKUP(A58,'Données projet'!$A$113:$I$133,5,0)),0%,VLOOKUP(A58,'Données projet'!$A$113:$I$133,5,0)*VLOOKUP('Données projet'!$B$12,Paramètres!$A$1:$I$89,7,0))</f>
        <v>0.129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9.5027483809689937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9.5027483809689937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67.421926267198344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197</v>
      </c>
      <c r="CR58" s="12">
        <f>VLOOKUP(A58,'Données projet'!$A$139:$I$159,9,0)</f>
        <v>8</v>
      </c>
      <c r="CS58" s="12">
        <f t="array" ref="CS58">INDEX(CR:CR,MIN(IF(ISNUMBER(CR58:CR254),ROW(CR58:CR254),"")))</f>
        <v>8</v>
      </c>
      <c r="CT58" s="12">
        <f>IF('Données projet'!$A$140&gt;35,CT57+CS58-DB57,IF(A58&lt;'Données projet'!$A$140,$CQ$205^A58,IF(A58='Données projet'!$A$140,'Données projet'!$B$140,CT57+CS58-DB57)))</f>
        <v>197.00000000000003</v>
      </c>
      <c r="CU58" s="17">
        <f>CT58*VLOOKUP('Données projet'!$B$13,Paramètres!$A$1:$I$89,3,0)*VLOOKUP('Données projet'!$B$13,Paramètres!$A$1:$I$89,5,0)</f>
        <v>212.05080000000001</v>
      </c>
      <c r="CV58" s="13">
        <f t="shared" si="41"/>
        <v>52.383483303212302</v>
      </c>
      <c r="CW58" s="20">
        <f t="shared" si="13"/>
        <v>460.55637675309475</v>
      </c>
      <c r="CX58" s="59">
        <f t="shared" si="14"/>
        <v>744.43677306615541</v>
      </c>
      <c r="CY58" s="59">
        <f ca="1">AVERAGE(OFFSET($CX$3,0,0,'Données projet'!$E$13+1,1))-AVERAGE(OFFSET($H$3,0,0,'Données projet'!$E$13+1,1))</f>
        <v>445.38112098358147</v>
      </c>
      <c r="CZ58" s="59">
        <f t="shared" si="42"/>
        <v>272.45883568548516</v>
      </c>
      <c r="DA58" s="15">
        <f>IF(ISNA(VLOOKUP(A58,'Données projet'!$A$139:$I$159,3,0)),0,VLOOKUP(A58,'Données projet'!$A$139:$I$159,3,0))</f>
        <v>8</v>
      </c>
      <c r="DB58" s="15">
        <f>IF(ISNA(VLOOKUP(A58,'Données projet'!$A$139:$I$159,4,0)),0,VLOOKUP(A58,'Données projet'!$A$139:$I$159,4,0))</f>
        <v>21</v>
      </c>
      <c r="DC58" s="16">
        <f>IF(ISNA(VLOOKUP(A58,'Données projet'!$A$139:$I$159,5,0)),0%,VLOOKUP(A58,'Données projet'!$A$139:$I$159,5,0)*VLOOKUP('Données projet'!$B$13,Paramètres!$A$1:$I$89,7,0))</f>
        <v>0.129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9.5027483809689937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9.5027483809689937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67.421926267198344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197</v>
      </c>
      <c r="DM58" s="12">
        <f>VLOOKUP(A58,'Données projet'!$A$165:$I$185,9,0)</f>
        <v>8</v>
      </c>
      <c r="DN58" s="12">
        <f t="array" ref="DN58">INDEX(DM:DM,MIN(IF(ISNUMBER(DM58:DM254),ROW(DM58:DM254),"")))</f>
        <v>8</v>
      </c>
      <c r="DO58" s="12">
        <f>IF('Données projet'!$A$166&gt;35,DO57+DN58-DW57,IF(A58&lt;'Données projet'!$A$166,$DL$205^A58,IF(A58='Données projet'!$A$166,'Données projet'!$B$166,DO57+DN58-DW57)))</f>
        <v>197.00000000000003</v>
      </c>
      <c r="DP58" s="17">
        <f>DO58*VLOOKUP('Données projet'!$B$14,Paramètres!$A$1:$I$89,3,0)*VLOOKUP('Données projet'!$B$14,Paramètres!$A$1:$I$89,5,0)</f>
        <v>190.53840000000002</v>
      </c>
      <c r="DQ58" s="13">
        <f t="shared" si="43"/>
        <v>47.658965836673829</v>
      </c>
      <c r="DR58" s="20">
        <f t="shared" si="16"/>
        <v>414.86041216554025</v>
      </c>
      <c r="DS58" s="59">
        <f t="shared" si="17"/>
        <v>698.74080847860091</v>
      </c>
      <c r="DT58" s="59">
        <f ca="1">AVERAGE(OFFSET($DS$3,0,0,'Données projet'!$E$14+1,1))-AVERAGE(OFFSET($H$3,0,0,'Données projet'!$E$14+1,1))</f>
        <v>405.29179902613089</v>
      </c>
      <c r="DU58" s="59">
        <f t="shared" si="44"/>
        <v>249.61049717638238</v>
      </c>
      <c r="DV58" s="15">
        <f>IF(ISNA(VLOOKUP(A58,'Données projet'!$A$165:$I$185,3,0)),0,VLOOKUP(A58,'Données projet'!$A$165:$I$185,3,0))</f>
        <v>8</v>
      </c>
      <c r="DW58" s="15">
        <f>IF(ISNA(VLOOKUP(A58,'Données projet'!$A$165:$I$185,4,0)),0,VLOOKUP(A58,'Données projet'!$A$165:$I$185,4,0))</f>
        <v>21</v>
      </c>
      <c r="DX58" s="16">
        <f>IF(ISNA(VLOOKUP(A58,'Données projet'!$A$165:$I$185,5,0)),0%,VLOOKUP(A58,'Données projet'!$A$165:$I$185,5,0)*VLOOKUP('Données projet'!$B$14,Paramètres!$A$1:$I$89,7,0))</f>
        <v>0.129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8.5387014437692415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8.5387014437692415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67.421926267198344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17.995000000000005</v>
      </c>
      <c r="EJ58" s="12">
        <f>IF('Données projet'!$A$192&gt;35,EJ57+EI58-ER57,IF(A58&lt;'Données projet'!$A$192,$EG$205^A58,IF(A58='Données projet'!$A$192,'Données projet'!$B$192,EJ57+EI58-ER57)))</f>
        <v>533.70500000000015</v>
      </c>
      <c r="EK58" s="17">
        <f>EJ58*VLOOKUP('Données projet'!$B$15,Paramètres!$A$1:$I$89,3,0)*VLOOKUP('Données projet'!$B$15,Paramètres!$A$1:$I$89,5,0)</f>
        <v>319.15559000000013</v>
      </c>
      <c r="EL58" s="13">
        <f t="shared" si="45"/>
        <v>75.177630731012741</v>
      </c>
      <c r="EM58" s="20">
        <f t="shared" si="19"/>
        <v>686.79702610651418</v>
      </c>
      <c r="EN58" s="59">
        <f t="shared" si="20"/>
        <v>970.67742241957478</v>
      </c>
      <c r="EO58" s="59">
        <f ca="1">AVERAGE(OFFSET($EN$3,0,0,'Données projet'!$E$15+1,1))-AVERAGE(OFFSET($H$3,0,0,'Données projet'!$E$15+1,1))</f>
        <v>444.77624981561257</v>
      </c>
      <c r="EP58" s="59">
        <f t="shared" si="46"/>
        <v>382.10319641527587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20.135280873234898</v>
      </c>
      <c r="EW58" s="21">
        <f>EXP(-LN(2)/25)*EW57+(1-EXP(-LN(2)/25))/(LN(2)/25)*Calculateur!ER58*Calculateur!ET58*VLOOKUP('Données projet'!$B$15,Paramètres!$A$1:$I$89,3,0)*0.475*44/12</f>
        <v>25.241408557657593</v>
      </c>
      <c r="EX58" s="21">
        <f>EXP(-LN(2)/2)*EX57+(1-EXP(-LN(2)/2))/(LN(2)/2)*ER58*EU58*VLOOKUP('Données projet'!$B$15,Paramètres!$A$1:$I$89,3,0)*0.475*44/12</f>
        <v>0.75200145918052419</v>
      </c>
      <c r="EY58" s="22">
        <f t="shared" si="21"/>
        <v>46.128690890073017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67.421926267198344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781</v>
      </c>
      <c r="FC58" s="12">
        <f>VLOOKUP(A58,'Données projet'!$A$217:$I$237,9,0)</f>
        <v>24.2</v>
      </c>
      <c r="FD58" s="12">
        <f t="array" ref="FD58">INDEX(FC:FC,MIN(IF(ISNUMBER(FC58:FC254),ROW(FC58:FC254),"")))</f>
        <v>24.2</v>
      </c>
      <c r="FE58" s="12">
        <f>IF('Données projet'!$A$218&gt;35,FE57+FD58-FM57,IF(A58&lt;'Données projet'!$A$218,$FB$205^A58,IF(A58='Données projet'!$A$218,'Données projet'!$B$218,FE57+FD58-FM57)))</f>
        <v>781.00000000000011</v>
      </c>
      <c r="FF58" s="17">
        <f>FE58*VLOOKUP('Données projet'!$B$16,Paramètres!$A$1:$I$89,3,0)*VLOOKUP('Données projet'!$B$16,Paramètres!$A$1:$I$89,5,0)</f>
        <v>345.20200000000011</v>
      </c>
      <c r="FG58" s="13">
        <f t="shared" si="47"/>
        <v>80.573760926539379</v>
      </c>
      <c r="FH58" s="20">
        <f t="shared" si="22"/>
        <v>741.55945028038957</v>
      </c>
      <c r="FI58" s="59">
        <f t="shared" si="23"/>
        <v>1025.4398465934501</v>
      </c>
      <c r="FJ58" s="59">
        <f ca="1">AVERAGE(OFFSET($FI$3,0,0,'Données projet'!$E$16+1,1))-AVERAGE(OFFSET($H$3,0,0,'Données projet'!$E$16+1,1))</f>
        <v>508.71179785154317</v>
      </c>
      <c r="FK58" s="59">
        <f t="shared" si="48"/>
        <v>422.73937290731442</v>
      </c>
      <c r="FL58" s="15">
        <f>IF(ISNA(VLOOKUP(A58,'Données projet'!$A$217:$I$237,3,0)),0,VLOOKUP(A58,'Données projet'!$A$217:$I$237,3,0))</f>
        <v>9</v>
      </c>
      <c r="FM58" s="15">
        <f>IF(ISNA(VLOOKUP(A58,'Données projet'!$A$217:$I$237,4,0)),0,VLOOKUP(A58,'Données projet'!$A$217:$I$237,4,0))</f>
        <v>51</v>
      </c>
      <c r="FN58" s="16">
        <f>IF(ISNA(VLOOKUP(A58,'Données projet'!$A$217:$I$237,5,0)),0%,VLOOKUP(A58,'Données projet'!$A$217:$I$237,5,0)*VLOOKUP('Données projet'!$B$16,Paramètres!$A$1:$I$89,7,0))</f>
        <v>0.22000000000000003</v>
      </c>
      <c r="FO58" s="16">
        <f>IF(ISNA(VLOOKUP(A58,'Données projet'!$A$217:$I$237,6,0)),0%,VLOOKUP(A58,'Données projet'!$A$217:$I$237,6,0)*VLOOKUP('Données projet'!$B$16,Paramètres!$A$1:$I$89,7,0))</f>
        <v>0.18700000000000003</v>
      </c>
      <c r="FP58" s="16">
        <f>IF(ISNA(VLOOKUP(A58,'Données projet'!$A$217:$I$237,7,0)),0%,VLOOKUP(A58,'Données projet'!$A$217:$I$237,7,0))</f>
        <v>0.26</v>
      </c>
      <c r="FQ58" s="21">
        <f>EXP(-LN(2)/35)*FQ57+(1-EXP(-LN(2)/35))/(LN(2)/35)*FM58*FN58*VLOOKUP('Données projet'!$B$16,Paramètres!$A$1:$I$89,3,0)*0.475*44/12</f>
        <v>17.701523820567676</v>
      </c>
      <c r="FR58" s="21">
        <f>EXP(-LN(2)/25)*FR57+(1-EXP(-LN(2)/25))/(LN(2)/25)*Calculateur!FM58*Calculateur!FO58*VLOOKUP('Données projet'!$B$16,Paramètres!$A$1:$I$89,3,0)*0.475*44/12</f>
        <v>56.418378938263132</v>
      </c>
      <c r="FS58" s="21">
        <f>EXP(-LN(2)/2)*FS57+(1-EXP(-LN(2)/2))/(LN(2)/2)*FM58*FP58*VLOOKUP('Données projet'!$B$16,Paramètres!$A$1:$I$89,3,0)*0.475*44/12</f>
        <v>8.9436415372907643</v>
      </c>
      <c r="FT58" s="22">
        <f t="shared" si="24"/>
        <v>83.063544296121563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67.421926267198344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67.421926267198344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1.35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4.95</v>
      </c>
      <c r="H59" s="67">
        <f t="shared" si="1"/>
        <v>236.86666666666665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67.466650082753063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9.4</v>
      </c>
      <c r="N59" s="13">
        <f>IF('Données projet'!$A$36&gt;35,N58+M59-V58,IF(A59&lt;'Données projet'!$A$36,$K$205^A59,IF(A59='Données projet'!$A$36,'Données projet'!$B$36,N58+M59-V58)))</f>
        <v>235.39999999999992</v>
      </c>
      <c r="O59" s="13">
        <f>N59*VLOOKUP('Données projet'!$B$9,Paramètres!$A$1:$I$89,3,0)*VLOOKUP('Données projet'!$B$9,Paramètres!$A$1:$I$89,5,0)</f>
        <v>212.98991999999993</v>
      </c>
      <c r="P59" s="13">
        <f t="shared" si="33"/>
        <v>52.588419883221121</v>
      </c>
      <c r="Q59" s="20">
        <f t="shared" si="53"/>
        <v>462.5489419632766</v>
      </c>
      <c r="R59" s="59">
        <f t="shared" si="0"/>
        <v>746.59332560003782</v>
      </c>
      <c r="S59" s="59">
        <f ca="1">AVERAGE(OFFSET($R$3,0,0,'Données projet'!$E$9+1,1))-AVERAGE(OFFSET($H$3,0,0,'Données projet'!$E$9+1,1))</f>
        <v>466.90449882701591</v>
      </c>
      <c r="T59" s="59">
        <f t="shared" si="34"/>
        <v>283.37641704892053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10.441575001288859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10.441575001288859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67.466650082753063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7.6</v>
      </c>
      <c r="AI59" s="13">
        <f>IF('Données projet'!$A$62&gt;35,AI58+AH59-AQ58,IF(A59&lt;'Données projet'!$A$62,$AF$205^A59,IF(A59='Données projet'!$A$62,'Données projet'!$B$62,AI58+AH59-AQ58)))</f>
        <v>183.60000000000002</v>
      </c>
      <c r="AJ59" s="13">
        <f>AI59*VLOOKUP('Données projet'!$B$10,Paramètres!$A$1:$I$89,3,0)*VLOOKUP('Données projet'!$B$10,Paramètres!$A$1:$I$89,5,0)</f>
        <v>174.71376000000001</v>
      </c>
      <c r="AK59" s="13">
        <f t="shared" si="35"/>
        <v>44.144062647515817</v>
      </c>
      <c r="AL59" s="20">
        <f t="shared" si="4"/>
        <v>381.17737444442338</v>
      </c>
      <c r="AM59" s="59">
        <f t="shared" si="5"/>
        <v>665.22175808118459</v>
      </c>
      <c r="AN59" s="59">
        <f ca="1">AVERAGE(OFFSET($AM$3,0,0,'Données projet'!$E$10+1,1))-AVERAGE(OFFSET($H$3,0,0,'Données projet'!$E$10+1,1))</f>
        <v>399.5572791581468</v>
      </c>
      <c r="AO59" s="59">
        <f t="shared" si="36"/>
        <v>246.34185986079777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8.2362423501545745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8.2362423501545745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67.466650082753063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9.375</v>
      </c>
      <c r="BD59" s="12">
        <f>IF('Données projet'!$A$88&gt;35,BD58+BC59-BL58,IF(A59&lt;'Données projet'!$A$88,$BA$205^A59,IF(A59='Données projet'!$A$88,'Données projet'!$B$88,BD58+BC59-BL58)))</f>
        <v>259.49999999999989</v>
      </c>
      <c r="BE59" s="13">
        <f>BD59*VLOOKUP('Données projet'!$B$11,Paramètres!$A$1:$I$89,3,0)*VLOOKUP('Données projet'!$B$11,Paramètres!$A$1:$I$89,5,0)</f>
        <v>202.40999999999991</v>
      </c>
      <c r="BF59" s="13">
        <f t="shared" si="37"/>
        <v>50.273442991661817</v>
      </c>
      <c r="BG59" s="20">
        <f t="shared" si="7"/>
        <v>440.09032987714414</v>
      </c>
      <c r="BH59" s="59">
        <f t="shared" si="8"/>
        <v>724.13471351390535</v>
      </c>
      <c r="BI59" s="59">
        <f ca="1">AVERAGE(OFFSET($BH$3,0,0,'Données projet'!$E$11+1,1))-AVERAGE(OFFSET($H$3,0,0,'Données projet'!$E$11+1,1))</f>
        <v>294.23449029791681</v>
      </c>
      <c r="BJ59" s="59">
        <f t="shared" si="38"/>
        <v>288.64639202306159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17.878030621349293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17.878030621349293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67.466650082753063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7.6</v>
      </c>
      <c r="BY59" s="12">
        <f>IF('Données projet'!$A$114&gt;35,BY58+BX59-CG58,IF(A59&lt;'Données projet'!$A$114,$BV$205^A59,IF(A59='Données projet'!$A$114,'Données projet'!$B$114,BY58+BX59-CG58)))</f>
        <v>183.60000000000002</v>
      </c>
      <c r="BZ59" s="13">
        <f>BY59*VLOOKUP('Données projet'!$B$12,Paramètres!$A$1:$I$89,3,0)*VLOOKUP('Données projet'!$B$12,Paramètres!$A$1:$I$89,5,0)</f>
        <v>197.62704000000002</v>
      </c>
      <c r="CA59" s="13">
        <f t="shared" si="39"/>
        <v>49.222301224260057</v>
      </c>
      <c r="CB59" s="20">
        <f t="shared" si="10"/>
        <v>429.92926929891956</v>
      </c>
      <c r="CC59" s="59">
        <f t="shared" si="11"/>
        <v>713.97365293568078</v>
      </c>
      <c r="CD59" s="59">
        <f ca="1">AVERAGE(OFFSET($CC$3,0,0,'Données projet'!$E$12+1,1))-AVERAGE(OFFSET($H$3,0,0,'Données projet'!$E$12+1,1))</f>
        <v>445.38112098358147</v>
      </c>
      <c r="CE59" s="59">
        <f t="shared" si="40"/>
        <v>272.45883568548516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9.3164052813223872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9.3164052813223872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67.466650082753063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7.6</v>
      </c>
      <c r="CT59" s="12">
        <f>IF('Données projet'!$A$140&gt;35,CT58+CS59-DB58,IF(A59&lt;'Données projet'!$A$140,$CQ$205^A59,IF(A59='Données projet'!$A$140,'Données projet'!$B$140,CT58+CS59-DB58)))</f>
        <v>183.60000000000002</v>
      </c>
      <c r="CU59" s="17">
        <f>CT59*VLOOKUP('Données projet'!$B$13,Paramètres!$A$1:$I$89,3,0)*VLOOKUP('Données projet'!$B$13,Paramètres!$A$1:$I$89,5,0)</f>
        <v>197.62704000000002</v>
      </c>
      <c r="CV59" s="13">
        <f t="shared" si="41"/>
        <v>49.222301224260057</v>
      </c>
      <c r="CW59" s="20">
        <f t="shared" si="13"/>
        <v>429.92926929891956</v>
      </c>
      <c r="CX59" s="59">
        <f t="shared" si="14"/>
        <v>713.97365293568078</v>
      </c>
      <c r="CY59" s="59">
        <f ca="1">AVERAGE(OFFSET($CX$3,0,0,'Données projet'!$E$13+1,1))-AVERAGE(OFFSET($H$3,0,0,'Données projet'!$E$13+1,1))</f>
        <v>445.38112098358147</v>
      </c>
      <c r="CZ59" s="59">
        <f t="shared" si="42"/>
        <v>272.45883568548516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9.3164052813223872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9.3164052813223872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67.466650082753063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7.6</v>
      </c>
      <c r="DO59" s="12">
        <f>IF('Données projet'!$A$166&gt;35,DO58+DN59-DW58,IF(A59&lt;'Données projet'!$A$166,$DL$205^A59,IF(A59='Données projet'!$A$166,'Données projet'!$B$166,DO58+DN59-DW58)))</f>
        <v>183.60000000000002</v>
      </c>
      <c r="DP59" s="17">
        <f>DO59*VLOOKUP('Données projet'!$B$14,Paramètres!$A$1:$I$89,3,0)*VLOOKUP('Données projet'!$B$14,Paramètres!$A$1:$I$89,5,0)</f>
        <v>177.57792000000001</v>
      </c>
      <c r="DQ59" s="13">
        <f t="shared" si="43"/>
        <v>44.782893853597976</v>
      </c>
      <c r="DR59" s="20">
        <f t="shared" si="16"/>
        <v>387.27841746168315</v>
      </c>
      <c r="DS59" s="59">
        <f t="shared" si="17"/>
        <v>671.32280109844442</v>
      </c>
      <c r="DT59" s="59">
        <f ca="1">AVERAGE(OFFSET($DS$3,0,0,'Données projet'!$E$14+1,1))-AVERAGE(OFFSET($H$3,0,0,'Données projet'!$E$14+1,1))</f>
        <v>405.29179902613089</v>
      </c>
      <c r="DU59" s="59">
        <f t="shared" si="44"/>
        <v>249.61049717638238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8.3712627165505502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8.3712627165505502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67.466650082753063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>
        <f>VLOOKUP(A59,'Données projet'!$A$191:$I$211,2,0)</f>
        <v>551.70000000000005</v>
      </c>
      <c r="EH59" s="12">
        <f>VLOOKUP(A59,'Données projet'!$A$191:$I$211,9,0)</f>
        <v>17.995000000000005</v>
      </c>
      <c r="EI59" s="12">
        <f t="array" ref="EI59">INDEX(EH:EH,MIN(IF(ISNUMBER(EH59:EH255),ROW(EH59:EH255),"")))</f>
        <v>17.995000000000005</v>
      </c>
      <c r="EJ59" s="12">
        <f>IF('Données projet'!$A$192&gt;35,EJ58+EI59-ER58,IF(A59&lt;'Données projet'!$A$192,$EG$205^A59,IF(A59='Données projet'!$A$192,'Données projet'!$B$192,EJ58+EI59-ER58)))</f>
        <v>551.70000000000016</v>
      </c>
      <c r="EK59" s="17">
        <f>EJ59*VLOOKUP('Données projet'!$B$15,Paramètres!$A$1:$I$89,3,0)*VLOOKUP('Données projet'!$B$15,Paramètres!$A$1:$I$89,5,0)</f>
        <v>329.91660000000013</v>
      </c>
      <c r="EL59" s="13">
        <f t="shared" si="45"/>
        <v>77.413015969653813</v>
      </c>
      <c r="EM59" s="20">
        <f t="shared" si="19"/>
        <v>709.43241448048059</v>
      </c>
      <c r="EN59" s="59">
        <f t="shared" si="20"/>
        <v>993.47679811724174</v>
      </c>
      <c r="EO59" s="59">
        <f ca="1">AVERAGE(OFFSET($EN$3,0,0,'Données projet'!$E$15+1,1))-AVERAGE(OFFSET($H$3,0,0,'Données projet'!$E$15+1,1))</f>
        <v>444.77624981561257</v>
      </c>
      <c r="EP59" s="59">
        <f t="shared" si="46"/>
        <v>382.10319641527587</v>
      </c>
      <c r="EQ59" s="15">
        <f>IF(ISNA(VLOOKUP(A59,'Données projet'!$A$191:$I$211,3,0)),0,VLOOKUP(A59,'Données projet'!$A$191:$I$211,3,0))</f>
        <v>11</v>
      </c>
      <c r="ER59" s="15">
        <f>IF(ISNA(VLOOKUP(A59,'Données projet'!$A$191:$I$211,4,0)),0,VLOOKUP(A59,'Données projet'!$A$191:$I$211,4,0))</f>
        <v>77</v>
      </c>
      <c r="ES59" s="16">
        <f>IF(ISNA(VLOOKUP(A59,'Données projet'!$A$191:$I$211,5,0)),0%,VLOOKUP(A59,'Données projet'!$A$191:$I$211,5,0)*VLOOKUP('Données projet'!$B$15,Paramètres!$A$1:$I$89,7,0))</f>
        <v>0.27</v>
      </c>
      <c r="ET59" s="16">
        <f>IF(ISNA(VLOOKUP(A59,'Données projet'!$A$191:$I$211,6,0)),0%,VLOOKUP(A59,'Données projet'!$A$191:$I$211,6,0)*VLOOKUP('Données projet'!$B$15,Paramètres!$A$1:$I$89,7,0))</f>
        <v>9.9000000000000005E-2</v>
      </c>
      <c r="EU59" s="16">
        <f>IF(ISNA(VLOOKUP(A59,'Données projet'!$A$191:$I$211,7,0)),0%,VLOOKUP(A59,'Données projet'!$A$191:$I$211,7,0))</f>
        <v>0.18</v>
      </c>
      <c r="EV59" s="21">
        <f>EXP(-LN(2)/35)*EV58+(1-EXP(-LN(2)/35))/(LN(2)/35)*ER59*ES59*VLOOKUP('Données projet'!$B$15,Paramètres!$A$1:$I$89,3,0)*0.475*44/12</f>
        <v>36.232846763715067</v>
      </c>
      <c r="EW59" s="21">
        <f>EXP(-LN(2)/25)*EW58+(1-EXP(-LN(2)/25))/(LN(2)/25)*Calculateur!ER59*Calculateur!ET59*VLOOKUP('Données projet'!$B$15,Paramètres!$A$1:$I$89,3,0)*0.475*44/12</f>
        <v>30.574586425463355</v>
      </c>
      <c r="EX59" s="21">
        <f>EXP(-LN(2)/2)*EX58+(1-EXP(-LN(2)/2))/(LN(2)/2)*ER59*EU59*VLOOKUP('Données projet'!$B$15,Paramètres!$A$1:$I$89,3,0)*0.475*44/12</f>
        <v>9.9160036381913841</v>
      </c>
      <c r="EY59" s="22">
        <f t="shared" si="21"/>
        <v>76.72343682736981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67.466650082753063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21</v>
      </c>
      <c r="FE59" s="12">
        <f>IF('Données projet'!$A$218&gt;35,FE58+FD59-FM58,IF(A59&lt;'Données projet'!$A$218,$FB$205^A59,IF(A59='Données projet'!$A$218,'Données projet'!$B$218,FE58+FD59-FM58)))</f>
        <v>751.00000000000011</v>
      </c>
      <c r="FF59" s="17">
        <f>FE59*VLOOKUP('Données projet'!$B$16,Paramètres!$A$1:$I$89,3,0)*VLOOKUP('Données projet'!$B$16,Paramètres!$A$1:$I$89,5,0)</f>
        <v>331.94200000000006</v>
      </c>
      <c r="FG59" s="13">
        <f t="shared" si="47"/>
        <v>77.832795721146297</v>
      </c>
      <c r="FH59" s="20">
        <f t="shared" si="22"/>
        <v>713.69110254766326</v>
      </c>
      <c r="FI59" s="59">
        <f t="shared" si="23"/>
        <v>997.73548618442442</v>
      </c>
      <c r="FJ59" s="59">
        <f ca="1">AVERAGE(OFFSET($FI$3,0,0,'Données projet'!$E$16+1,1))-AVERAGE(OFFSET($H$3,0,0,'Données projet'!$E$16+1,1))</f>
        <v>508.71179785154317</v>
      </c>
      <c r="FK59" s="59">
        <f t="shared" si="48"/>
        <v>422.73937290731442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17.354407735309774</v>
      </c>
      <c r="FR59" s="21">
        <f>EXP(-LN(2)/25)*FR58+(1-EXP(-LN(2)/25))/(LN(2)/25)*Calculateur!FM59*Calculateur!FO59*VLOOKUP('Données projet'!$B$16,Paramètres!$A$1:$I$89,3,0)*0.475*44/12</f>
        <v>54.875615399282722</v>
      </c>
      <c r="FS59" s="21">
        <f>EXP(-LN(2)/2)*FS58+(1-EXP(-LN(2)/2))/(LN(2)/2)*FM59*FP59*VLOOKUP('Données projet'!$B$16,Paramètres!$A$1:$I$89,3,0)*0.475*44/12</f>
        <v>6.3241095795199787</v>
      </c>
      <c r="FT59" s="22">
        <f t="shared" si="24"/>
        <v>78.554132714112484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67.466650082753063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67.466650082753063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1.35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4.95</v>
      </c>
      <c r="H60" s="67">
        <f t="shared" si="1"/>
        <v>236.86666666666665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67.51059804009536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9.4</v>
      </c>
      <c r="N60" s="13">
        <f>IF('Données projet'!$A$36&gt;35,N59+M60-V59,IF(A60&lt;'Données projet'!$A$36,$K$205^A60,IF(A60='Données projet'!$A$36,'Données projet'!$B$36,N59+M60-V59)))</f>
        <v>244.79999999999993</v>
      </c>
      <c r="O60" s="13">
        <f>N60*VLOOKUP('Données projet'!$B$9,Paramètres!$A$1:$I$89,3,0)*VLOOKUP('Données projet'!$B$9,Paramètres!$A$1:$I$89,5,0)</f>
        <v>221.49503999999993</v>
      </c>
      <c r="P60" s="13">
        <f t="shared" si="33"/>
        <v>54.439697086174412</v>
      </c>
      <c r="Q60" s="20">
        <f t="shared" si="53"/>
        <v>480.58633375842027</v>
      </c>
      <c r="R60" s="59">
        <f t="shared" si="0"/>
        <v>764.79185990543658</v>
      </c>
      <c r="S60" s="59">
        <f ca="1">AVERAGE(OFFSET($R$3,0,0,'Données projet'!$E$9+1,1))-AVERAGE(OFFSET($H$3,0,0,'Données projet'!$E$9+1,1))</f>
        <v>466.90449882701591</v>
      </c>
      <c r="T60" s="59">
        <f t="shared" si="34"/>
        <v>283.37641704892053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10.236822084245475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10.236822084245475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67.51059804009536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7.6</v>
      </c>
      <c r="AI60" s="13">
        <f>IF('Données projet'!$A$62&gt;35,AI59+AH60-AQ59,IF(A60&lt;'Données projet'!$A$62,$AF$205^A60,IF(A60='Données projet'!$A$62,'Données projet'!$B$62,AI59+AH60-AQ59)))</f>
        <v>191.20000000000002</v>
      </c>
      <c r="AJ60" s="13">
        <f>AI60*VLOOKUP('Données projet'!$B$10,Paramètres!$A$1:$I$89,3,0)*VLOOKUP('Données projet'!$B$10,Paramètres!$A$1:$I$89,5,0)</f>
        <v>181.94592</v>
      </c>
      <c r="AK60" s="13">
        <f t="shared" si="35"/>
        <v>45.754846212632849</v>
      </c>
      <c r="AL60" s="20">
        <f t="shared" si="4"/>
        <v>396.57883448700221</v>
      </c>
      <c r="AM60" s="59">
        <f t="shared" si="5"/>
        <v>680.78436063401853</v>
      </c>
      <c r="AN60" s="59">
        <f ca="1">AVERAGE(OFFSET($AM$3,0,0,'Données projet'!$E$10+1,1))-AVERAGE(OFFSET($H$3,0,0,'Données projet'!$E$10+1,1))</f>
        <v>399.5572791581468</v>
      </c>
      <c r="AO60" s="59">
        <f t="shared" si="36"/>
        <v>246.34185986079777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8.0747346612798356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8.0747346612798356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67.51059804009536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9.375</v>
      </c>
      <c r="BD60" s="12">
        <f>IF('Données projet'!$A$88&gt;35,BD59+BC60-BL59,IF(A60&lt;'Données projet'!$A$88,$BA$205^A60,IF(A60='Données projet'!$A$88,'Données projet'!$B$88,BD59+BC60-BL59)))</f>
        <v>268.87499999999989</v>
      </c>
      <c r="BE60" s="13">
        <f>BD60*VLOOKUP('Données projet'!$B$11,Paramètres!$A$1:$I$89,3,0)*VLOOKUP('Données projet'!$B$11,Paramètres!$A$1:$I$89,5,0)</f>
        <v>209.72249999999991</v>
      </c>
      <c r="BF60" s="13">
        <f t="shared" si="37"/>
        <v>51.874940300502246</v>
      </c>
      <c r="BG60" s="20">
        <f t="shared" si="7"/>
        <v>455.61554185670792</v>
      </c>
      <c r="BH60" s="59">
        <f t="shared" si="8"/>
        <v>739.82106800372424</v>
      </c>
      <c r="BI60" s="59">
        <f ca="1">AVERAGE(OFFSET($BH$3,0,0,'Données projet'!$E$11+1,1))-AVERAGE(OFFSET($H$3,0,0,'Données projet'!$E$11+1,1))</f>
        <v>294.23449029791681</v>
      </c>
      <c r="BJ60" s="59">
        <f t="shared" si="38"/>
        <v>288.64639202306159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17.527453345386579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17.527453345386579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67.51059804009536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7.6</v>
      </c>
      <c r="BY60" s="12">
        <f>IF('Données projet'!$A$114&gt;35,BY59+BX60-CG59,IF(A60&lt;'Données projet'!$A$114,$BV$205^A60,IF(A60='Données projet'!$A$114,'Données projet'!$B$114,BY59+BX60-CG59)))</f>
        <v>191.20000000000002</v>
      </c>
      <c r="BZ60" s="13">
        <f>BY60*VLOOKUP('Données projet'!$B$12,Paramètres!$A$1:$I$89,3,0)*VLOOKUP('Données projet'!$B$12,Paramètres!$A$1:$I$89,5,0)</f>
        <v>205.80768</v>
      </c>
      <c r="CA60" s="13">
        <f t="shared" si="39"/>
        <v>51.018385886479962</v>
      </c>
      <c r="CB60" s="20">
        <f t="shared" si="10"/>
        <v>447.30539808561929</v>
      </c>
      <c r="CC60" s="59">
        <f t="shared" si="11"/>
        <v>731.5109242326356</v>
      </c>
      <c r="CD60" s="59">
        <f ca="1">AVERAGE(OFFSET($CC$3,0,0,'Données projet'!$E$12+1,1))-AVERAGE(OFFSET($H$3,0,0,'Données projet'!$E$12+1,1))</f>
        <v>445.38112098358147</v>
      </c>
      <c r="CE60" s="59">
        <f t="shared" si="40"/>
        <v>272.45883568548516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9.1337162562017813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9.1337162562017813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67.51059804009536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7.6</v>
      </c>
      <c r="CT60" s="12">
        <f>IF('Données projet'!$A$140&gt;35,CT59+CS60-DB59,IF(A60&lt;'Données projet'!$A$140,$CQ$205^A60,IF(A60='Données projet'!$A$140,'Données projet'!$B$140,CT59+CS60-DB59)))</f>
        <v>191.20000000000002</v>
      </c>
      <c r="CU60" s="17">
        <f>CT60*VLOOKUP('Données projet'!$B$13,Paramètres!$A$1:$I$89,3,0)*VLOOKUP('Données projet'!$B$13,Paramètres!$A$1:$I$89,5,0)</f>
        <v>205.80768</v>
      </c>
      <c r="CV60" s="13">
        <f t="shared" si="41"/>
        <v>51.018385886479962</v>
      </c>
      <c r="CW60" s="20">
        <f t="shared" si="13"/>
        <v>447.30539808561929</v>
      </c>
      <c r="CX60" s="59">
        <f t="shared" si="14"/>
        <v>731.5109242326356</v>
      </c>
      <c r="CY60" s="59">
        <f ca="1">AVERAGE(OFFSET($CX$3,0,0,'Données projet'!$E$13+1,1))-AVERAGE(OFFSET($H$3,0,0,'Données projet'!$E$13+1,1))</f>
        <v>445.38112098358147</v>
      </c>
      <c r="CZ60" s="59">
        <f t="shared" si="42"/>
        <v>272.45883568548516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9.1337162562017813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9.1337162562017813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67.51059804009536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7.6</v>
      </c>
      <c r="DO60" s="12">
        <f>IF('Données projet'!$A$166&gt;35,DO59+DN60-DW59,IF(A60&lt;'Données projet'!$A$166,$DL$205^A60,IF(A60='Données projet'!$A$166,'Données projet'!$B$166,DO59+DN60-DW59)))</f>
        <v>191.20000000000002</v>
      </c>
      <c r="DP60" s="17">
        <f>DO60*VLOOKUP('Données projet'!$B$14,Paramètres!$A$1:$I$89,3,0)*VLOOKUP('Données projet'!$B$14,Paramètres!$A$1:$I$89,5,0)</f>
        <v>184.92864000000003</v>
      </c>
      <c r="DQ60" s="13">
        <f t="shared" si="43"/>
        <v>46.416987887800268</v>
      </c>
      <c r="DR60" s="20">
        <f t="shared" si="16"/>
        <v>402.92696857125219</v>
      </c>
      <c r="DS60" s="59">
        <f t="shared" si="17"/>
        <v>687.1324947182685</v>
      </c>
      <c r="DT60" s="59">
        <f ca="1">AVERAGE(OFFSET($DS$3,0,0,'Données projet'!$E$14+1,1))-AVERAGE(OFFSET($H$3,0,0,'Données projet'!$E$14+1,1))</f>
        <v>405.29179902613089</v>
      </c>
      <c r="DU60" s="59">
        <f t="shared" si="44"/>
        <v>249.61049717638238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8.2071073606450788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8.2071073606450788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67.51059804009536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15.683333333333318</v>
      </c>
      <c r="EJ60" s="12">
        <f>IF('Données projet'!$A$192&gt;35,EJ59+EI60-ER59,IF(A60&lt;'Données projet'!$A$192,$EG$205^A60,IF(A60='Données projet'!$A$192,'Données projet'!$B$192,EJ59+EI60-ER59)))</f>
        <v>490.38333333333344</v>
      </c>
      <c r="EK60" s="17">
        <f>EJ60*VLOOKUP('Données projet'!$B$15,Paramètres!$A$1:$I$89,3,0)*VLOOKUP('Données projet'!$B$15,Paramètres!$A$1:$I$89,5,0)</f>
        <v>293.24923333333345</v>
      </c>
      <c r="EL60" s="13">
        <f t="shared" si="45"/>
        <v>69.759374333428127</v>
      </c>
      <c r="EM60" s="20">
        <f t="shared" si="19"/>
        <v>632.23999168627631</v>
      </c>
      <c r="EN60" s="59">
        <f t="shared" si="20"/>
        <v>916.44551783329257</v>
      </c>
      <c r="EO60" s="59">
        <f ca="1">AVERAGE(OFFSET($EN$3,0,0,'Données projet'!$E$15+1,1))-AVERAGE(OFFSET($H$3,0,0,'Données projet'!$E$15+1,1))</f>
        <v>444.77624981561257</v>
      </c>
      <c r="EP60" s="59">
        <f t="shared" si="46"/>
        <v>382.10319641527587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35.522342738532963</v>
      </c>
      <c r="EW60" s="21">
        <f>EXP(-LN(2)/25)*EW59+(1-EXP(-LN(2)/25))/(LN(2)/25)*Calculateur!ER60*Calculateur!ET60*VLOOKUP('Données projet'!$B$15,Paramètres!$A$1:$I$89,3,0)*0.475*44/12</f>
        <v>29.738522751811438</v>
      </c>
      <c r="EX60" s="21">
        <f>EXP(-LN(2)/2)*EX59+(1-EXP(-LN(2)/2))/(LN(2)/2)*ER60*EU60*VLOOKUP('Données projet'!$B$15,Paramètres!$A$1:$I$89,3,0)*0.475*44/12</f>
        <v>7.011673414835605</v>
      </c>
      <c r="EY60" s="22">
        <f t="shared" si="21"/>
        <v>72.272538905179999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67.51059804009536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21</v>
      </c>
      <c r="FE60" s="12">
        <f>IF('Données projet'!$A$218&gt;35,FE59+FD60-FM59,IF(A60&lt;'Données projet'!$A$218,$FB$205^A60,IF(A60='Données projet'!$A$218,'Données projet'!$B$218,FE59+FD60-FM59)))</f>
        <v>772.00000000000011</v>
      </c>
      <c r="FF60" s="17">
        <f>FE60*VLOOKUP('Données projet'!$B$16,Paramètres!$A$1:$I$89,3,0)*VLOOKUP('Données projet'!$B$16,Paramètres!$A$1:$I$89,5,0)</f>
        <v>341.2240000000001</v>
      </c>
      <c r="FG60" s="13">
        <f t="shared" si="47"/>
        <v>79.752779657506935</v>
      </c>
      <c r="FH60" s="20">
        <f t="shared" si="22"/>
        <v>733.20122457015805</v>
      </c>
      <c r="FI60" s="59">
        <f t="shared" si="23"/>
        <v>1017.4067507171744</v>
      </c>
      <c r="FJ60" s="59">
        <f ca="1">AVERAGE(OFFSET($FI$3,0,0,'Données projet'!$E$16+1,1))-AVERAGE(OFFSET($H$3,0,0,'Données projet'!$E$16+1,1))</f>
        <v>508.71179785154317</v>
      </c>
      <c r="FK60" s="59">
        <f t="shared" si="48"/>
        <v>422.73937290731442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17.014098384763873</v>
      </c>
      <c r="FR60" s="21">
        <f>EXP(-LN(2)/25)*FR59+(1-EXP(-LN(2)/25))/(LN(2)/25)*Calculateur!FM60*Calculateur!FO60*VLOOKUP('Données projet'!$B$16,Paramètres!$A$1:$I$89,3,0)*0.475*44/12</f>
        <v>53.375038810406146</v>
      </c>
      <c r="FS60" s="21">
        <f>EXP(-LN(2)/2)*FS59+(1-EXP(-LN(2)/2))/(LN(2)/2)*FM60*FP60*VLOOKUP('Données projet'!$B$16,Paramètres!$A$1:$I$89,3,0)*0.475*44/12</f>
        <v>4.471820768645383</v>
      </c>
      <c r="FT60" s="22">
        <f t="shared" si="24"/>
        <v>74.860957963815409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67.51059804009536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67.51059804009536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1.35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4.95</v>
      </c>
      <c r="H61" s="67">
        <f t="shared" si="1"/>
        <v>236.86666666666665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67.553783598630702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9.4</v>
      </c>
      <c r="N61" s="13">
        <f>IF('Données projet'!$A$36&gt;35,N60+M61-V60,IF(A61&lt;'Données projet'!$A$36,$K$205^A61,IF(A61='Données projet'!$A$36,'Données projet'!$B$36,N60+M61-V60)))</f>
        <v>254.19999999999993</v>
      </c>
      <c r="O61" s="13">
        <f>N61*VLOOKUP('Données projet'!$B$9,Paramètres!$A$1:$I$89,3,0)*VLOOKUP('Données projet'!$B$9,Paramètres!$A$1:$I$89,5,0)</f>
        <v>230.00015999999994</v>
      </c>
      <c r="P61" s="13">
        <f t="shared" si="33"/>
        <v>56.282716126880423</v>
      </c>
      <c r="Q61" s="20">
        <f t="shared" si="53"/>
        <v>498.60934258764996</v>
      </c>
      <c r="R61" s="59">
        <f t="shared" si="0"/>
        <v>782.97321578262927</v>
      </c>
      <c r="S61" s="59">
        <f ca="1">AVERAGE(OFFSET($R$3,0,0,'Données projet'!$E$9+1,1))-AVERAGE(OFFSET($H$3,0,0,'Données projet'!$E$9+1,1))</f>
        <v>466.90449882701591</v>
      </c>
      <c r="T61" s="59">
        <f t="shared" si="34"/>
        <v>283.37641704892053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10.036084247018364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10.036084247018364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67.553783598630702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7.6</v>
      </c>
      <c r="AI61" s="13">
        <f>IF('Données projet'!$A$62&gt;35,AI60+AH61-AQ60,IF(A61&lt;'Données projet'!$A$62,$AF$205^A61,IF(A61='Données projet'!$A$62,'Données projet'!$B$62,AI60+AH61-AQ60)))</f>
        <v>198.8</v>
      </c>
      <c r="AJ61" s="13">
        <f>AI61*VLOOKUP('Données projet'!$B$10,Paramètres!$A$1:$I$89,3,0)*VLOOKUP('Données projet'!$B$10,Paramètres!$A$1:$I$89,5,0)</f>
        <v>189.17807999999999</v>
      </c>
      <c r="AK61" s="13">
        <f t="shared" si="35"/>
        <v>47.358192185392497</v>
      </c>
      <c r="AL61" s="20">
        <f t="shared" si="4"/>
        <v>411.96734072289183</v>
      </c>
      <c r="AM61" s="59">
        <f t="shared" si="5"/>
        <v>696.33121391787108</v>
      </c>
      <c r="AN61" s="59">
        <f ca="1">AVERAGE(OFFSET($AM$3,0,0,'Données projet'!$E$10+1,1))-AVERAGE(OFFSET($H$3,0,0,'Données projet'!$E$10+1,1))</f>
        <v>399.5572791581468</v>
      </c>
      <c r="AO61" s="59">
        <f t="shared" si="36"/>
        <v>246.34185986079777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7.9163940396739676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7.9163940396739676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67.553783598630702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9.375</v>
      </c>
      <c r="BD61" s="12">
        <f>IF('Données projet'!$A$88&gt;35,BD60+BC61-BL60,IF(A61&lt;'Données projet'!$A$88,$BA$205^A61,IF(A61='Données projet'!$A$88,'Données projet'!$B$88,BD60+BC61-BL60)))</f>
        <v>278.24999999999989</v>
      </c>
      <c r="BE61" s="13">
        <f>BD61*VLOOKUP('Données projet'!$B$11,Paramètres!$A$1:$I$89,3,0)*VLOOKUP('Données projet'!$B$11,Paramètres!$A$1:$I$89,5,0)</f>
        <v>217.03499999999991</v>
      </c>
      <c r="BF61" s="13">
        <f t="shared" si="37"/>
        <v>53.469949591969474</v>
      </c>
      <c r="BG61" s="20">
        <f t="shared" si="7"/>
        <v>471.12945387267996</v>
      </c>
      <c r="BH61" s="59">
        <f t="shared" si="8"/>
        <v>755.49332706765927</v>
      </c>
      <c r="BI61" s="59">
        <f ca="1">AVERAGE(OFFSET($BH$3,0,0,'Données projet'!$E$11+1,1))-AVERAGE(OFFSET($H$3,0,0,'Données projet'!$E$11+1,1))</f>
        <v>294.23449029791681</v>
      </c>
      <c r="BJ61" s="59">
        <f t="shared" si="38"/>
        <v>288.64639202306159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17.183750675974473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17.183750675974473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67.553783598630702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7.6</v>
      </c>
      <c r="BY61" s="12">
        <f>IF('Données projet'!$A$114&gt;35,BY60+BX61-CG60,IF(A61&lt;'Données projet'!$A$114,$BV$205^A61,IF(A61='Données projet'!$A$114,'Données projet'!$B$114,BY60+BX61-CG60)))</f>
        <v>198.8</v>
      </c>
      <c r="BZ61" s="13">
        <f>BY61*VLOOKUP('Données projet'!$B$12,Paramètres!$A$1:$I$89,3,0)*VLOOKUP('Données projet'!$B$12,Paramètres!$A$1:$I$89,5,0)</f>
        <v>213.98832000000002</v>
      </c>
      <c r="CA61" s="13">
        <f t="shared" si="39"/>
        <v>52.806177351621038</v>
      </c>
      <c r="CB61" s="20">
        <f t="shared" si="10"/>
        <v>464.66708288740665</v>
      </c>
      <c r="CC61" s="59">
        <f t="shared" si="11"/>
        <v>749.03095608238596</v>
      </c>
      <c r="CD61" s="59">
        <f ca="1">AVERAGE(OFFSET($CC$3,0,0,'Données projet'!$E$12+1,1))-AVERAGE(OFFSET($H$3,0,0,'Données projet'!$E$12+1,1))</f>
        <v>445.38112098358147</v>
      </c>
      <c r="CE61" s="59">
        <f t="shared" si="40"/>
        <v>272.45883568548516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8.9546096514344882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8.9546096514344882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67.553783598630702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7.6</v>
      </c>
      <c r="CT61" s="12">
        <f>IF('Données projet'!$A$140&gt;35,CT60+CS61-DB60,IF(A61&lt;'Données projet'!$A$140,$CQ$205^A61,IF(A61='Données projet'!$A$140,'Données projet'!$B$140,CT60+CS61-DB60)))</f>
        <v>198.8</v>
      </c>
      <c r="CU61" s="17">
        <f>CT61*VLOOKUP('Données projet'!$B$13,Paramètres!$A$1:$I$89,3,0)*VLOOKUP('Données projet'!$B$13,Paramètres!$A$1:$I$89,5,0)</f>
        <v>213.98832000000002</v>
      </c>
      <c r="CV61" s="13">
        <f t="shared" si="41"/>
        <v>52.806177351621038</v>
      </c>
      <c r="CW61" s="20">
        <f t="shared" si="13"/>
        <v>464.66708288740665</v>
      </c>
      <c r="CX61" s="59">
        <f t="shared" si="14"/>
        <v>749.03095608238596</v>
      </c>
      <c r="CY61" s="59">
        <f ca="1">AVERAGE(OFFSET($CX$3,0,0,'Données projet'!$E$13+1,1))-AVERAGE(OFFSET($H$3,0,0,'Données projet'!$E$13+1,1))</f>
        <v>445.38112098358147</v>
      </c>
      <c r="CZ61" s="59">
        <f t="shared" si="42"/>
        <v>272.45883568548516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8.9546096514344882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8.9546096514344882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67.553783598630702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7.6</v>
      </c>
      <c r="DO61" s="12">
        <f>IF('Données projet'!$A$166&gt;35,DO60+DN61-DW60,IF(A61&lt;'Données projet'!$A$166,$DL$205^A61,IF(A61='Données projet'!$A$166,'Données projet'!$B$166,DO60+DN61-DW60)))</f>
        <v>198.8</v>
      </c>
      <c r="DP61" s="17">
        <f>DO61*VLOOKUP('Données projet'!$B$14,Paramètres!$A$1:$I$89,3,0)*VLOOKUP('Données projet'!$B$14,Paramètres!$A$1:$I$89,5,0)</f>
        <v>192.27936</v>
      </c>
      <c r="DQ61" s="13">
        <f t="shared" si="43"/>
        <v>48.04353669645932</v>
      </c>
      <c r="DR61" s="20">
        <f t="shared" si="16"/>
        <v>418.56237841299998</v>
      </c>
      <c r="DS61" s="59">
        <f t="shared" si="17"/>
        <v>702.92625160797922</v>
      </c>
      <c r="DT61" s="59">
        <f ca="1">AVERAGE(OFFSET($DS$3,0,0,'Données projet'!$E$14+1,1))-AVERAGE(OFFSET($H$3,0,0,'Données projet'!$E$14+1,1))</f>
        <v>405.29179902613089</v>
      </c>
      <c r="DU61" s="59">
        <f t="shared" si="44"/>
        <v>249.61049717638238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8.0461709911440327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8.0461709911440327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67.553783598630702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15.683333333333318</v>
      </c>
      <c r="EJ61" s="12">
        <f>IF('Données projet'!$A$192&gt;35,EJ60+EI61-ER60,IF(A61&lt;'Données projet'!$A$192,$EG$205^A61,IF(A61='Données projet'!$A$192,'Données projet'!$B$192,EJ60+EI61-ER60)))</f>
        <v>506.06666666666678</v>
      </c>
      <c r="EK61" s="17">
        <f>EJ61*VLOOKUP('Données projet'!$B$15,Paramètres!$A$1:$I$89,3,0)*VLOOKUP('Données projet'!$B$15,Paramètres!$A$1:$I$89,5,0)</f>
        <v>302.62786666666676</v>
      </c>
      <c r="EL61" s="13">
        <f t="shared" si="45"/>
        <v>71.727085324665211</v>
      </c>
      <c r="EM61" s="20">
        <f t="shared" si="19"/>
        <v>652.00154138490313</v>
      </c>
      <c r="EN61" s="59">
        <f t="shared" si="20"/>
        <v>936.36541457988233</v>
      </c>
      <c r="EO61" s="59">
        <f ca="1">AVERAGE(OFFSET($EN$3,0,0,'Données projet'!$E$15+1,1))-AVERAGE(OFFSET($H$3,0,0,'Données projet'!$E$15+1,1))</f>
        <v>444.77624981561257</v>
      </c>
      <c r="EP61" s="59">
        <f t="shared" si="46"/>
        <v>382.10319641527587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34.825771263920011</v>
      </c>
      <c r="EW61" s="21">
        <f>EXP(-LN(2)/25)*EW60+(1-EXP(-LN(2)/25))/(LN(2)/25)*Calculateur!ER61*Calculateur!ET61*VLOOKUP('Données projet'!$B$15,Paramètres!$A$1:$I$89,3,0)*0.475*44/12</f>
        <v>28.925321283282212</v>
      </c>
      <c r="EX61" s="21">
        <f>EXP(-LN(2)/2)*EX60+(1-EXP(-LN(2)/2))/(LN(2)/2)*ER61*EU61*VLOOKUP('Données projet'!$B$15,Paramètres!$A$1:$I$89,3,0)*0.475*44/12</f>
        <v>4.9580018190956929</v>
      </c>
      <c r="EY61" s="22">
        <f t="shared" si="21"/>
        <v>68.709094366297919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67.553783598630702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21</v>
      </c>
      <c r="FE61" s="12">
        <f>IF('Données projet'!$A$218&gt;35,FE60+FD61-FM60,IF(A61&lt;'Données projet'!$A$218,$FB$205^A61,IF(A61='Données projet'!$A$218,'Données projet'!$B$218,FE60+FD61-FM60)))</f>
        <v>793.00000000000011</v>
      </c>
      <c r="FF61" s="17">
        <f>FE61*VLOOKUP('Données projet'!$B$16,Paramètres!$A$1:$I$89,3,0)*VLOOKUP('Données projet'!$B$16,Paramètres!$A$1:$I$89,5,0)</f>
        <v>350.50600000000009</v>
      </c>
      <c r="FG61" s="13">
        <f t="shared" si="47"/>
        <v>81.666693131176757</v>
      </c>
      <c r="FH61" s="20">
        <f t="shared" si="22"/>
        <v>752.70077387013305</v>
      </c>
      <c r="FI61" s="59">
        <f t="shared" si="23"/>
        <v>1037.0646470651122</v>
      </c>
      <c r="FJ61" s="59">
        <f ca="1">AVERAGE(OFFSET($FI$3,0,0,'Données projet'!$E$16+1,1))-AVERAGE(OFFSET($H$3,0,0,'Données projet'!$E$16+1,1))</f>
        <v>508.71179785154317</v>
      </c>
      <c r="FK61" s="59">
        <f t="shared" si="48"/>
        <v>422.73937290731442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16.680462293013967</v>
      </c>
      <c r="FR61" s="21">
        <f>EXP(-LN(2)/25)*FR60+(1-EXP(-LN(2)/25))/(LN(2)/25)*Calculateur!FM61*Calculateur!FO61*VLOOKUP('Données projet'!$B$16,Paramètres!$A$1:$I$89,3,0)*0.475*44/12</f>
        <v>51.915495567264287</v>
      </c>
      <c r="FS61" s="21">
        <f>EXP(-LN(2)/2)*FS60+(1-EXP(-LN(2)/2))/(LN(2)/2)*FM61*FP61*VLOOKUP('Données projet'!$B$16,Paramètres!$A$1:$I$89,3,0)*0.475*44/12</f>
        <v>3.1620547897599898</v>
      </c>
      <c r="FT61" s="22">
        <f t="shared" si="24"/>
        <v>71.758012650038239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67.553783598630702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67.553783598630702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1.35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4.95</v>
      </c>
      <c r="H62" s="67">
        <f t="shared" si="1"/>
        <v>236.86666666666665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67.596219984273887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9.4</v>
      </c>
      <c r="N62" s="13">
        <f>IF('Données projet'!$A$36&gt;35,N61+M62-V61,IF(A62&lt;'Données projet'!$A$36,$K$205^A62,IF(A62='Données projet'!$A$36,'Données projet'!$B$36,N61+M62-V61)))</f>
        <v>263.59999999999991</v>
      </c>
      <c r="O62" s="13">
        <f>N62*VLOOKUP('Données projet'!$B$9,Paramètres!$A$1:$I$89,3,0)*VLOOKUP('Données projet'!$B$9,Paramètres!$A$1:$I$89,5,0)</f>
        <v>238.50527999999991</v>
      </c>
      <c r="P62" s="13">
        <f t="shared" si="33"/>
        <v>58.117817352909881</v>
      </c>
      <c r="Q62" s="20">
        <f t="shared" si="53"/>
        <v>516.61856122298445</v>
      </c>
      <c r="R62" s="59">
        <f t="shared" si="0"/>
        <v>801.13803449865532</v>
      </c>
      <c r="S62" s="59">
        <f ca="1">AVERAGE(OFFSET($R$3,0,0,'Données projet'!$E$9+1,1))-AVERAGE(OFFSET($H$3,0,0,'Données projet'!$E$9+1,1))</f>
        <v>466.90449882701591</v>
      </c>
      <c r="T62" s="59">
        <f t="shared" si="34"/>
        <v>283.37641704892053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9.8392827563412855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9.8392827563412855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67.596219984273887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7.6</v>
      </c>
      <c r="AI62" s="13">
        <f>IF('Données projet'!$A$62&gt;35,AI61+AH62-AQ61,IF(A62&lt;'Données projet'!$A$62,$AF$205^A62,IF(A62='Données projet'!$A$62,'Données projet'!$B$62,AI61+AH62-AQ61)))</f>
        <v>206.4</v>
      </c>
      <c r="AJ62" s="13">
        <f>AI62*VLOOKUP('Données projet'!$B$10,Paramètres!$A$1:$I$89,3,0)*VLOOKUP('Données projet'!$B$10,Paramètres!$A$1:$I$89,5,0)</f>
        <v>196.41023999999999</v>
      </c>
      <c r="AK62" s="13">
        <f t="shared" si="35"/>
        <v>48.954417448783772</v>
      </c>
      <c r="AL62" s="20">
        <f t="shared" si="4"/>
        <v>427.34344505663171</v>
      </c>
      <c r="AM62" s="59">
        <f t="shared" si="5"/>
        <v>711.86291833230257</v>
      </c>
      <c r="AN62" s="59">
        <f ca="1">AVERAGE(OFFSET($AM$3,0,0,'Données projet'!$E$10+1,1))-AVERAGE(OFFSET($H$3,0,0,'Données projet'!$E$10+1,1))</f>
        <v>399.5572791581468</v>
      </c>
      <c r="AO62" s="59">
        <f t="shared" si="36"/>
        <v>246.34185986079777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7.7611583810795484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7.7611583810795484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67.596219984273887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9.375</v>
      </c>
      <c r="BD62" s="12">
        <f>IF('Données projet'!$A$88&gt;35,BD61+BC62-BL61,IF(A62&lt;'Données projet'!$A$88,$BA$205^A62,IF(A62='Données projet'!$A$88,'Données projet'!$B$88,BD61+BC62-BL61)))</f>
        <v>287.62499999999989</v>
      </c>
      <c r="BE62" s="13">
        <f>BD62*VLOOKUP('Données projet'!$B$11,Paramètres!$A$1:$I$89,3,0)*VLOOKUP('Données projet'!$B$11,Paramètres!$A$1:$I$89,5,0)</f>
        <v>224.34749999999991</v>
      </c>
      <c r="BF62" s="13">
        <f t="shared" si="37"/>
        <v>55.058714525680429</v>
      </c>
      <c r="BG62" s="20">
        <f t="shared" si="7"/>
        <v>486.63249029889329</v>
      </c>
      <c r="BH62" s="59">
        <f t="shared" si="8"/>
        <v>771.15196357456421</v>
      </c>
      <c r="BI62" s="59">
        <f ca="1">AVERAGE(OFFSET($BH$3,0,0,'Données projet'!$E$11+1,1))-AVERAGE(OFFSET($H$3,0,0,'Données projet'!$E$11+1,1))</f>
        <v>294.23449029791681</v>
      </c>
      <c r="BJ62" s="59">
        <f t="shared" si="38"/>
        <v>288.64639202306159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16.846787806271607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16.846787806271607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67.596219984273887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7.6</v>
      </c>
      <c r="BY62" s="12">
        <f>IF('Données projet'!$A$114&gt;35,BY61+BX62-CG61,IF(A62&lt;'Données projet'!$A$114,$BV$205^A62,IF(A62='Données projet'!$A$114,'Données projet'!$B$114,BY61+BX62-CG61)))</f>
        <v>206.4</v>
      </c>
      <c r="BZ62" s="13">
        <f>BY62*VLOOKUP('Données projet'!$B$12,Paramètres!$A$1:$I$89,3,0)*VLOOKUP('Données projet'!$B$12,Paramètres!$A$1:$I$89,5,0)</f>
        <v>222.16896</v>
      </c>
      <c r="CA62" s="13">
        <f t="shared" si="39"/>
        <v>54.586028956213688</v>
      </c>
      <c r="CB62" s="20">
        <f t="shared" si="10"/>
        <v>482.01493909873881</v>
      </c>
      <c r="CC62" s="59">
        <f t="shared" si="11"/>
        <v>766.53441237440973</v>
      </c>
      <c r="CD62" s="59">
        <f ca="1">AVERAGE(OFFSET($CC$3,0,0,'Données projet'!$E$12+1,1))-AVERAGE(OFFSET($H$3,0,0,'Données projet'!$E$12+1,1))</f>
        <v>445.38112098358147</v>
      </c>
      <c r="CE62" s="59">
        <f t="shared" si="40"/>
        <v>272.45883568548516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8.7790152179424403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8.7790152179424403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67.596219984273887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7.6</v>
      </c>
      <c r="CT62" s="12">
        <f>IF('Données projet'!$A$140&gt;35,CT61+CS62-DB61,IF(A62&lt;'Données projet'!$A$140,$CQ$205^A62,IF(A62='Données projet'!$A$140,'Données projet'!$B$140,CT61+CS62-DB61)))</f>
        <v>206.4</v>
      </c>
      <c r="CU62" s="17">
        <f>CT62*VLOOKUP('Données projet'!$B$13,Paramètres!$A$1:$I$89,3,0)*VLOOKUP('Données projet'!$B$13,Paramètres!$A$1:$I$89,5,0)</f>
        <v>222.16896</v>
      </c>
      <c r="CV62" s="13">
        <f t="shared" si="41"/>
        <v>54.586028956213688</v>
      </c>
      <c r="CW62" s="20">
        <f t="shared" si="13"/>
        <v>482.01493909873881</v>
      </c>
      <c r="CX62" s="59">
        <f t="shared" si="14"/>
        <v>766.53441237440973</v>
      </c>
      <c r="CY62" s="59">
        <f ca="1">AVERAGE(OFFSET($CX$3,0,0,'Données projet'!$E$13+1,1))-AVERAGE(OFFSET($H$3,0,0,'Données projet'!$E$13+1,1))</f>
        <v>445.38112098358147</v>
      </c>
      <c r="CZ62" s="59">
        <f t="shared" si="42"/>
        <v>272.45883568548516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8.7790152179424403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8.7790152179424403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67.596219984273887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7.6</v>
      </c>
      <c r="DO62" s="12">
        <f>IF('Données projet'!$A$166&gt;35,DO61+DN62-DW61,IF(A62&lt;'Données projet'!$A$166,$DL$205^A62,IF(A62='Données projet'!$A$166,'Données projet'!$B$166,DO61+DN62-DW61)))</f>
        <v>206.4</v>
      </c>
      <c r="DP62" s="17">
        <f>DO62*VLOOKUP('Données projet'!$B$14,Paramètres!$A$1:$I$89,3,0)*VLOOKUP('Données projet'!$B$14,Paramètres!$A$1:$I$89,5,0)</f>
        <v>199.63008000000002</v>
      </c>
      <c r="DQ62" s="13">
        <f t="shared" si="43"/>
        <v>49.662861748339331</v>
      </c>
      <c r="DR62" s="20">
        <f t="shared" si="16"/>
        <v>434.18520687835775</v>
      </c>
      <c r="DS62" s="59">
        <f t="shared" si="17"/>
        <v>718.70468015402867</v>
      </c>
      <c r="DT62" s="59">
        <f ca="1">AVERAGE(OFFSET($DS$3,0,0,'Données projet'!$E$14+1,1))-AVERAGE(OFFSET($H$3,0,0,'Données projet'!$E$14+1,1))</f>
        <v>405.29179902613089</v>
      </c>
      <c r="DU62" s="59">
        <f t="shared" si="44"/>
        <v>249.61049717638238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7.8883904856874096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7.8883904856874096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67.596219984273887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>
        <f>VLOOKUP(A62,'Données projet'!$A$191:$I$211,2,0)</f>
        <v>521.75</v>
      </c>
      <c r="EH62" s="12">
        <f>VLOOKUP(A62,'Données projet'!$A$191:$I$211,9,0)</f>
        <v>15.683333333333318</v>
      </c>
      <c r="EI62" s="12">
        <f t="array" ref="EI62">INDEX(EH:EH,MIN(IF(ISNUMBER(EH62:EH258),ROW(EH62:EH258),"")))</f>
        <v>15.683333333333318</v>
      </c>
      <c r="EJ62" s="12">
        <f>IF('Données projet'!$A$192&gt;35,EJ61+EI62-ER61,IF(A62&lt;'Données projet'!$A$192,$EG$205^A62,IF(A62='Données projet'!$A$192,'Données projet'!$B$192,EJ61+EI62-ER61)))</f>
        <v>521.75000000000011</v>
      </c>
      <c r="EK62" s="17">
        <f>EJ62*VLOOKUP('Données projet'!$B$15,Paramètres!$A$1:$I$89,3,0)*VLOOKUP('Données projet'!$B$15,Paramètres!$A$1:$I$89,5,0)</f>
        <v>312.00650000000007</v>
      </c>
      <c r="EL62" s="13">
        <f t="shared" si="45"/>
        <v>73.687709758579885</v>
      </c>
      <c r="EM62" s="20">
        <f t="shared" si="19"/>
        <v>671.75074866286002</v>
      </c>
      <c r="EN62" s="59">
        <f t="shared" si="20"/>
        <v>956.27022193853099</v>
      </c>
      <c r="EO62" s="59">
        <f ca="1">AVERAGE(OFFSET($EN$3,0,0,'Données projet'!$E$15+1,1))-AVERAGE(OFFSET($H$3,0,0,'Données projet'!$E$15+1,1))</f>
        <v>444.77624981561257</v>
      </c>
      <c r="EP62" s="59">
        <f t="shared" si="46"/>
        <v>382.10319641527587</v>
      </c>
      <c r="EQ62" s="15">
        <f>IF(ISNA(VLOOKUP(A62,'Données projet'!$A$191:$I$211,3,0)),0,VLOOKUP(A62,'Données projet'!$A$191:$I$211,3,0))</f>
        <v>12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34.142859131057577</v>
      </c>
      <c r="EW62" s="21">
        <f>EXP(-LN(2)/25)*EW61+(1-EXP(-LN(2)/25))/(LN(2)/25)*Calculateur!ER62*Calculateur!ET62*VLOOKUP('Données projet'!$B$15,Paramètres!$A$1:$I$89,3,0)*0.475*44/12</f>
        <v>28.134356851674323</v>
      </c>
      <c r="EX62" s="21">
        <f>EXP(-LN(2)/2)*EX61+(1-EXP(-LN(2)/2))/(LN(2)/2)*ER62*EU62*VLOOKUP('Données projet'!$B$15,Paramètres!$A$1:$I$89,3,0)*0.475*44/12</f>
        <v>3.505836707417803</v>
      </c>
      <c r="EY62" s="22">
        <f t="shared" si="21"/>
        <v>65.783052690149702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67.596219984273887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21</v>
      </c>
      <c r="FE62" s="12">
        <f>IF('Données projet'!$A$218&gt;35,FE61+FD62-FM61,IF(A62&lt;'Données projet'!$A$218,$FB$205^A62,IF(A62='Données projet'!$A$218,'Données projet'!$B$218,FE61+FD62-FM61)))</f>
        <v>814.00000000000011</v>
      </c>
      <c r="FF62" s="17">
        <f>FE62*VLOOKUP('Données projet'!$B$16,Paramètres!$A$1:$I$89,3,0)*VLOOKUP('Données projet'!$B$16,Paramètres!$A$1:$I$89,5,0)</f>
        <v>359.78800000000007</v>
      </c>
      <c r="FG62" s="13">
        <f t="shared" si="47"/>
        <v>83.574715376538705</v>
      </c>
      <c r="FH62" s="20">
        <f t="shared" si="22"/>
        <v>772.19006261413824</v>
      </c>
      <c r="FI62" s="59">
        <f t="shared" si="23"/>
        <v>1056.7095358898091</v>
      </c>
      <c r="FJ62" s="59">
        <f ca="1">AVERAGE(OFFSET($FI$3,0,0,'Données projet'!$E$16+1,1))-AVERAGE(OFFSET($H$3,0,0,'Données projet'!$E$16+1,1))</f>
        <v>508.71179785154317</v>
      </c>
      <c r="FK62" s="59">
        <f t="shared" si="48"/>
        <v>422.73937290731442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16.353368601525354</v>
      </c>
      <c r="FR62" s="21">
        <f>EXP(-LN(2)/25)*FR61+(1-EXP(-LN(2)/25))/(LN(2)/25)*Calculateur!FM62*Calculateur!FO62*VLOOKUP('Données projet'!$B$16,Paramètres!$A$1:$I$89,3,0)*0.475*44/12</f>
        <v>50.495863610860191</v>
      </c>
      <c r="FS62" s="21">
        <f>EXP(-LN(2)/2)*FS61+(1-EXP(-LN(2)/2))/(LN(2)/2)*FM62*FP62*VLOOKUP('Données projet'!$B$16,Paramètres!$A$1:$I$89,3,0)*0.475*44/12</f>
        <v>2.235910384322692</v>
      </c>
      <c r="FT62" s="22">
        <f t="shared" si="24"/>
        <v>69.085142596708238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67.596219984273887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67.596219984273887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1.35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4.95</v>
      </c>
      <c r="H63" s="67">
        <f t="shared" si="1"/>
        <v>236.86666666666665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67.63792019349971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273</v>
      </c>
      <c r="L63" s="12">
        <f>VLOOKUP(A63,'Données projet'!$A$35:$I$55,9,0)</f>
        <v>9.4</v>
      </c>
      <c r="M63" s="12">
        <f t="array" ref="M63">INDEX(L:L,MIN(IF(ISNUMBER(L63:L259),ROW(L63:L259),"")))</f>
        <v>9.4</v>
      </c>
      <c r="N63" s="13">
        <f>IF('Données projet'!$A$36&gt;35,N62+M63-V62,IF(A63&lt;'Données projet'!$A$36,$K$205^A63,IF(A63='Données projet'!$A$36,'Données projet'!$B$36,N62+M63-V62)))</f>
        <v>272.99999999999989</v>
      </c>
      <c r="O63" s="13">
        <f>N63*VLOOKUP('Données projet'!$B$9,Paramètres!$A$1:$I$89,3,0)*VLOOKUP('Données projet'!$B$9,Paramètres!$A$1:$I$89,5,0)</f>
        <v>247.01039999999989</v>
      </c>
      <c r="P63" s="13">
        <f t="shared" si="33"/>
        <v>59.945315462121812</v>
      </c>
      <c r="Q63" s="20">
        <f t="shared" si="53"/>
        <v>534.61453776319524</v>
      </c>
      <c r="R63" s="59">
        <f t="shared" si="0"/>
        <v>819.28691180602755</v>
      </c>
      <c r="S63" s="59">
        <f ca="1">AVERAGE(OFFSET($R$3,0,0,'Données projet'!$E$9+1,1))-AVERAGE(OFFSET($H$3,0,0,'Données projet'!$E$9+1,1))</f>
        <v>466.90449882701591</v>
      </c>
      <c r="T63" s="59">
        <f t="shared" si="34"/>
        <v>283.37641704892053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28</v>
      </c>
      <c r="W63" s="16">
        <f>IF(ISNA(VLOOKUP(A63,'Données projet'!$A$35:$I$55,5,0)),0%,VLOOKUP(A63,'Données projet'!$A$35:$I$55,5,0)*VLOOKUP('Données projet'!$B$9,Paramètres!$A$1:$I$89,7,0))</f>
        <v>0.17200000000000001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14.463446173576536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14.463446173576536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67.63792019349971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214</v>
      </c>
      <c r="AG63" s="12">
        <f>VLOOKUP(A63,'Données projet'!$A$61:$I$81,9,0)</f>
        <v>7.6</v>
      </c>
      <c r="AH63" s="12">
        <f t="array" ref="AH63">INDEX(AG:AG,MIN(IF(ISNUMBER(AG63:AG259),ROW(AG63:AG259),"")))</f>
        <v>7.6</v>
      </c>
      <c r="AI63" s="13">
        <f>IF('Données projet'!$A$62&gt;35,AI62+AH63-AQ62,IF(A63&lt;'Données projet'!$A$62,$AF$205^A63,IF(A63='Données projet'!$A$62,'Données projet'!$B$62,AI62+AH63-AQ62)))</f>
        <v>214</v>
      </c>
      <c r="AJ63" s="13">
        <f>AI63*VLOOKUP('Données projet'!$B$10,Paramètres!$A$1:$I$89,3,0)*VLOOKUP('Données projet'!$B$10,Paramètres!$A$1:$I$89,5,0)</f>
        <v>203.64239999999998</v>
      </c>
      <c r="AK63" s="13">
        <f t="shared" si="35"/>
        <v>50.543814227115405</v>
      </c>
      <c r="AL63" s="20">
        <f t="shared" si="4"/>
        <v>442.70765644555928</v>
      </c>
      <c r="AM63" s="59">
        <f t="shared" si="5"/>
        <v>727.38003048839153</v>
      </c>
      <c r="AN63" s="59">
        <f ca="1">AVERAGE(OFFSET($AM$3,0,0,'Données projet'!$E$10+1,1))-AVERAGE(OFFSET($H$3,0,0,'Données projet'!$E$10+1,1))</f>
        <v>399.5572791581468</v>
      </c>
      <c r="AO63" s="59">
        <f t="shared" si="36"/>
        <v>246.34185986079777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21</v>
      </c>
      <c r="AR63" s="16">
        <f>IF(ISNA(VLOOKUP(A63,'Données projet'!$A$61:$I$81,5,0)),0%,VLOOKUP(A63,'Données projet'!$A$61:$I$81,5,0)*VLOOKUP('Données projet'!$B$10,Paramètres!$A$1:$I$89,7,0))</f>
        <v>0.17200000000000001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11.408666593812526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11.408666593812526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67.63792019349971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297</v>
      </c>
      <c r="BB63" s="12">
        <f>VLOOKUP(A63,'Données projet'!$A$87:$I$107,9,0)</f>
        <v>9.375</v>
      </c>
      <c r="BC63" s="12">
        <f t="array" ref="BC63">INDEX(BB:BB,MIN(IF(ISNUMBER(BB63:BB259),ROW(BB63:BB259),"")))</f>
        <v>9.375</v>
      </c>
      <c r="BD63" s="12">
        <f>IF('Données projet'!$A$88&gt;35,BD62+BC63-BL62,IF(A63&lt;'Données projet'!$A$88,$BA$205^A63,IF(A63='Données projet'!$A$88,'Données projet'!$B$88,BD62+BC63-BL62)))</f>
        <v>296.99999999999989</v>
      </c>
      <c r="BE63" s="13">
        <f>BD63*VLOOKUP('Données projet'!$B$11,Paramètres!$A$1:$I$89,3,0)*VLOOKUP('Données projet'!$B$11,Paramètres!$A$1:$I$89,5,0)</f>
        <v>231.65999999999991</v>
      </c>
      <c r="BF63" s="13">
        <f t="shared" si="37"/>
        <v>56.641461975682766</v>
      </c>
      <c r="BG63" s="20">
        <f t="shared" si="7"/>
        <v>502.125046274314</v>
      </c>
      <c r="BH63" s="59">
        <f t="shared" si="8"/>
        <v>786.79742031714625</v>
      </c>
      <c r="BI63" s="59">
        <f ca="1">AVERAGE(OFFSET($BH$3,0,0,'Données projet'!$E$11+1,1))-AVERAGE(OFFSET($H$3,0,0,'Données projet'!$E$11+1,1))</f>
        <v>294.23449029791681</v>
      </c>
      <c r="BJ63" s="59">
        <f t="shared" si="38"/>
        <v>288.64639202306159</v>
      </c>
      <c r="BK63" s="15">
        <f>IF(ISNA(VLOOKUP(A63,'Données projet'!$A$87:$I$107,3,0)),0,VLOOKUP(A63,'Données projet'!$A$87:$I$107,3,0))</f>
        <v>8</v>
      </c>
      <c r="BL63" s="15">
        <f>IF(ISNA(VLOOKUP(A63,'Données projet'!$A$87:$I$107,4,0)),0,VLOOKUP(A63,'Données projet'!$A$87:$I$107,4,0))</f>
        <v>47</v>
      </c>
      <c r="BM63" s="16">
        <f>IF(ISNA(VLOOKUP(A63,'Données projet'!$A$87:$I$107,5,0)),0%,VLOOKUP(A63,'Données projet'!$A$87:$I$107,5,0)*VLOOKUP('Données projet'!$B$11,Paramètres!$A$1:$I$89,7,0))</f>
        <v>0.215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25.229639557357316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25.229639557357316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67.63792019349971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214</v>
      </c>
      <c r="BW63" s="12">
        <f>VLOOKUP(A63,'Données projet'!$A$113:$I$133,9,0)</f>
        <v>7.6</v>
      </c>
      <c r="BX63" s="12">
        <f t="array" ref="BX63">INDEX(BW:BW,MIN(IF(ISNUMBER(BW63:BW259),ROW(BW63:BW259),"")))</f>
        <v>7.6</v>
      </c>
      <c r="BY63" s="12">
        <f>IF('Données projet'!$A$114&gt;35,BY62+BX63-CG62,IF(A63&lt;'Données projet'!$A$114,$BV$205^A63,IF(A63='Données projet'!$A$114,'Données projet'!$B$114,BY62+BX63-CG62)))</f>
        <v>214</v>
      </c>
      <c r="BZ63" s="13">
        <f>BY63*VLOOKUP('Données projet'!$B$12,Paramètres!$A$1:$I$89,3,0)*VLOOKUP('Données projet'!$B$12,Paramètres!$A$1:$I$89,5,0)</f>
        <v>230.34960000000001</v>
      </c>
      <c r="CA63" s="13">
        <f t="shared" si="39"/>
        <v>56.35826654142631</v>
      </c>
      <c r="CB63" s="20">
        <f t="shared" si="10"/>
        <v>499.34953422631753</v>
      </c>
      <c r="CC63" s="59">
        <f t="shared" si="11"/>
        <v>784.02190826914978</v>
      </c>
      <c r="CD63" s="59">
        <f ca="1">AVERAGE(OFFSET($CC$3,0,0,'Données projet'!$E$12+1,1))-AVERAGE(OFFSET($H$3,0,0,'Données projet'!$E$12+1,1))</f>
        <v>445.38112098358147</v>
      </c>
      <c r="CE63" s="59">
        <f t="shared" si="40"/>
        <v>272.45883568548516</v>
      </c>
      <c r="CF63" s="15">
        <f>IF(ISNA(VLOOKUP(A63,'Données projet'!$A$113:$I$133,3,0)),0,VLOOKUP(A63,'Données projet'!$A$113:$I$133,3,0))</f>
        <v>9</v>
      </c>
      <c r="CG63" s="15">
        <f>IF(ISNA(VLOOKUP(A63,'Données projet'!$A$113:$I$133,4,0)),0,VLOOKUP(A63,'Données projet'!$A$113:$I$133,4,0))</f>
        <v>21</v>
      </c>
      <c r="CH63" s="16">
        <f>IF(ISNA(VLOOKUP(A63,'Données projet'!$A$113:$I$133,5,0)),0%,VLOOKUP(A63,'Données projet'!$A$113:$I$133,5,0)*VLOOKUP('Données projet'!$B$12,Paramètres!$A$1:$I$89,7,0))</f>
        <v>0.17200000000000001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12.904885163492857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12.904885163492857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67.63792019349971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214</v>
      </c>
      <c r="CR63" s="12">
        <f>VLOOKUP(A63,'Données projet'!$A$139:$I$159,9,0)</f>
        <v>7.6</v>
      </c>
      <c r="CS63" s="12">
        <f t="array" ref="CS63">INDEX(CR:CR,MIN(IF(ISNUMBER(CR63:CR259),ROW(CR63:CR259),"")))</f>
        <v>7.6</v>
      </c>
      <c r="CT63" s="12">
        <f>IF('Données projet'!$A$140&gt;35,CT62+CS63-DB62,IF(A63&lt;'Données projet'!$A$140,$CQ$205^A63,IF(A63='Données projet'!$A$140,'Données projet'!$B$140,CT62+CS63-DB62)))</f>
        <v>214</v>
      </c>
      <c r="CU63" s="17">
        <f>CT63*VLOOKUP('Données projet'!$B$13,Paramètres!$A$1:$I$89,3,0)*VLOOKUP('Données projet'!$B$13,Paramètres!$A$1:$I$89,5,0)</f>
        <v>230.34960000000001</v>
      </c>
      <c r="CV63" s="13">
        <f t="shared" si="41"/>
        <v>56.35826654142631</v>
      </c>
      <c r="CW63" s="20">
        <f t="shared" si="13"/>
        <v>499.34953422631753</v>
      </c>
      <c r="CX63" s="59">
        <f t="shared" si="14"/>
        <v>784.02190826914978</v>
      </c>
      <c r="CY63" s="59">
        <f ca="1">AVERAGE(OFFSET($CX$3,0,0,'Données projet'!$E$13+1,1))-AVERAGE(OFFSET($H$3,0,0,'Données projet'!$E$13+1,1))</f>
        <v>445.38112098358147</v>
      </c>
      <c r="CZ63" s="59">
        <f t="shared" si="42"/>
        <v>272.45883568548516</v>
      </c>
      <c r="DA63" s="15">
        <f>IF(ISNA(VLOOKUP(A63,'Données projet'!$A$139:$I$159,3,0)),0,VLOOKUP(A63,'Données projet'!$A$139:$I$159,3,0))</f>
        <v>9</v>
      </c>
      <c r="DB63" s="15">
        <f>IF(ISNA(VLOOKUP(A63,'Données projet'!$A$139:$I$159,4,0)),0,VLOOKUP(A63,'Données projet'!$A$139:$I$159,4,0))</f>
        <v>21</v>
      </c>
      <c r="DC63" s="16">
        <f>IF(ISNA(VLOOKUP(A63,'Données projet'!$A$139:$I$159,5,0)),0%,VLOOKUP(A63,'Données projet'!$A$139:$I$159,5,0)*VLOOKUP('Données projet'!$B$13,Paramètres!$A$1:$I$89,7,0))</f>
        <v>0.17200000000000001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12.904885163492857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12.904885163492857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67.63792019349971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214</v>
      </c>
      <c r="DM63" s="12">
        <f>VLOOKUP(A63,'Données projet'!$A$165:$I$185,9,0)</f>
        <v>7.6</v>
      </c>
      <c r="DN63" s="12">
        <f t="array" ref="DN63">INDEX(DM:DM,MIN(IF(ISNUMBER(DM63:DM259),ROW(DM63:DM259),"")))</f>
        <v>7.6</v>
      </c>
      <c r="DO63" s="12">
        <f>IF('Données projet'!$A$166&gt;35,DO62+DN63-DW62,IF(A63&lt;'Données projet'!$A$166,$DL$205^A63,IF(A63='Données projet'!$A$166,'Données projet'!$B$166,DO62+DN63-DW62)))</f>
        <v>214</v>
      </c>
      <c r="DP63" s="17">
        <f>DO63*VLOOKUP('Données projet'!$B$14,Paramètres!$A$1:$I$89,3,0)*VLOOKUP('Données projet'!$B$14,Paramètres!$A$1:$I$89,5,0)</f>
        <v>206.98080000000002</v>
      </c>
      <c r="DQ63" s="13">
        <f t="shared" si="43"/>
        <v>51.275259496675787</v>
      </c>
      <c r="DR63" s="20">
        <f t="shared" si="16"/>
        <v>449.79597029004367</v>
      </c>
      <c r="DS63" s="59">
        <f t="shared" si="17"/>
        <v>734.46834433287586</v>
      </c>
      <c r="DT63" s="59">
        <f ca="1">AVERAGE(OFFSET($DS$3,0,0,'Données projet'!$E$14+1,1))-AVERAGE(OFFSET($H$3,0,0,'Données projet'!$E$14+1,1))</f>
        <v>405.29179902613089</v>
      </c>
      <c r="DU63" s="59">
        <f t="shared" si="44"/>
        <v>249.61049717638238</v>
      </c>
      <c r="DV63" s="15">
        <f>IF(ISNA(VLOOKUP(A63,'Données projet'!$A$165:$I$185,3,0)),0,VLOOKUP(A63,'Données projet'!$A$165:$I$185,3,0))</f>
        <v>9</v>
      </c>
      <c r="DW63" s="15">
        <f>IF(ISNA(VLOOKUP(A63,'Données projet'!$A$165:$I$185,4,0)),0,VLOOKUP(A63,'Données projet'!$A$165:$I$185,4,0))</f>
        <v>21</v>
      </c>
      <c r="DX63" s="16">
        <f>IF(ISNA(VLOOKUP(A63,'Données projet'!$A$165:$I$185,5,0)),0%,VLOOKUP(A63,'Données projet'!$A$165:$I$185,5,0)*VLOOKUP('Données projet'!$B$14,Paramètres!$A$1:$I$89,7,0))</f>
        <v>0.17200000000000001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11.595693915022567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11.595693915022567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67.63792019349971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15.515714285714287</v>
      </c>
      <c r="EJ63" s="12">
        <f>IF('Données projet'!$A$192&gt;35,EJ62+EI63-ER62,IF(A63&lt;'Données projet'!$A$192,$EG$205^A63,IF(A63='Données projet'!$A$192,'Données projet'!$B$192,EJ62+EI63-ER62)))</f>
        <v>537.26571428571435</v>
      </c>
      <c r="EK63" s="17">
        <f>EJ63*VLOOKUP('Données projet'!$B$15,Paramètres!$A$1:$I$89,3,0)*VLOOKUP('Données projet'!$B$15,Paramètres!$A$1:$I$89,5,0)</f>
        <v>321.28489714285718</v>
      </c>
      <c r="EL63" s="13">
        <f t="shared" si="45"/>
        <v>75.620639118286675</v>
      </c>
      <c r="EM63" s="20">
        <f t="shared" si="19"/>
        <v>691.27714232149219</v>
      </c>
      <c r="EN63" s="59">
        <f t="shared" si="20"/>
        <v>975.94951636432438</v>
      </c>
      <c r="EO63" s="59">
        <f ca="1">AVERAGE(OFFSET($EN$3,0,0,'Données projet'!$E$15+1,1))-AVERAGE(OFFSET($H$3,0,0,'Données projet'!$E$15+1,1))</f>
        <v>444.77624981561257</v>
      </c>
      <c r="EP63" s="59">
        <f t="shared" si="46"/>
        <v>382.10319641527587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33.473338488585298</v>
      </c>
      <c r="EW63" s="21">
        <f>EXP(-LN(2)/25)*EW62+(1-EXP(-LN(2)/25))/(LN(2)/25)*Calculateur!ER63*Calculateur!ET63*VLOOKUP('Données projet'!$B$15,Paramètres!$A$1:$I$89,3,0)*0.475*44/12</f>
        <v>27.365021384043764</v>
      </c>
      <c r="EX63" s="21">
        <f>EXP(-LN(2)/2)*EX62+(1-EXP(-LN(2)/2))/(LN(2)/2)*ER63*EU63*VLOOKUP('Données projet'!$B$15,Paramètres!$A$1:$I$89,3,0)*0.475*44/12</f>
        <v>2.4790009095478469</v>
      </c>
      <c r="EY63" s="22">
        <f t="shared" si="21"/>
        <v>63.317360782176912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67.63792019349971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835</v>
      </c>
      <c r="FC63" s="12">
        <f>VLOOKUP(A63,'Données projet'!$A$217:$I$237,9,0)</f>
        <v>21</v>
      </c>
      <c r="FD63" s="12">
        <f t="array" ref="FD63">INDEX(FC:FC,MIN(IF(ISNUMBER(FC63:FC259),ROW(FC63:FC259),"")))</f>
        <v>21</v>
      </c>
      <c r="FE63" s="12">
        <f>IF('Données projet'!$A$218&gt;35,FE62+FD63-FM62,IF(A63&lt;'Données projet'!$A$218,$FB$205^A63,IF(A63='Données projet'!$A$218,'Données projet'!$B$218,FE62+FD63-FM62)))</f>
        <v>835.00000000000011</v>
      </c>
      <c r="FF63" s="17">
        <f>FE63*VLOOKUP('Données projet'!$B$16,Paramètres!$A$1:$I$89,3,0)*VLOOKUP('Données projet'!$B$16,Paramètres!$A$1:$I$89,5,0)</f>
        <v>369.07000000000005</v>
      </c>
      <c r="FG63" s="13">
        <f t="shared" si="47"/>
        <v>85.477015853186089</v>
      </c>
      <c r="FH63" s="20">
        <f t="shared" si="22"/>
        <v>791.66938594429928</v>
      </c>
      <c r="FI63" s="59">
        <f t="shared" si="23"/>
        <v>1076.3417599871316</v>
      </c>
      <c r="FJ63" s="59">
        <f ca="1">AVERAGE(OFFSET($FI$3,0,0,'Données projet'!$E$16+1,1))-AVERAGE(OFFSET($H$3,0,0,'Données projet'!$E$16+1,1))</f>
        <v>508.71179785154317</v>
      </c>
      <c r="FK63" s="59">
        <f t="shared" si="48"/>
        <v>422.73937290731442</v>
      </c>
      <c r="FL63" s="15">
        <f>IF(ISNA(VLOOKUP(A63,'Données projet'!$A$217:$I$237,3,0)),0,VLOOKUP(A63,'Données projet'!$A$217:$I$237,3,0))</f>
        <v>10</v>
      </c>
      <c r="FM63" s="15">
        <f>IF(ISNA(VLOOKUP(A63,'Données projet'!$A$217:$I$237,4,0)),0,VLOOKUP(A63,'Données projet'!$A$217:$I$237,4,0))</f>
        <v>45</v>
      </c>
      <c r="FN63" s="16">
        <f>IF(ISNA(VLOOKUP(A63,'Données projet'!$A$217:$I$237,5,0)),0%,VLOOKUP(A63,'Données projet'!$A$217:$I$237,5,0)*VLOOKUP('Données projet'!$B$16,Paramètres!$A$1:$I$89,7,0))</f>
        <v>0.22000000000000003</v>
      </c>
      <c r="FO63" s="16">
        <f>IF(ISNA(VLOOKUP(A63,'Données projet'!$A$217:$I$237,6,0)),0%,VLOOKUP(A63,'Données projet'!$A$217:$I$237,6,0)*VLOOKUP('Données projet'!$B$16,Paramètres!$A$1:$I$89,7,0))</f>
        <v>0.18700000000000003</v>
      </c>
      <c r="FP63" s="16">
        <f>IF(ISNA(VLOOKUP(A63,'Données projet'!$A$217:$I$237,7,0)),0%,VLOOKUP(A63,'Données projet'!$A$217:$I$237,7,0))</f>
        <v>0.26</v>
      </c>
      <c r="FQ63" s="21">
        <f>EXP(-LN(2)/35)*FQ62+(1-EXP(-LN(2)/35))/(LN(2)/35)*FM63*FN63*VLOOKUP('Données projet'!$B$16,Paramètres!$A$1:$I$89,3,0)*0.475*44/12</f>
        <v>21.837469761931725</v>
      </c>
      <c r="FR63" s="21">
        <f>EXP(-LN(2)/25)*FR62+(1-EXP(-LN(2)/25))/(LN(2)/25)*Calculateur!FM63*Calculateur!FO63*VLOOKUP('Données projet'!$B$16,Paramètres!$A$1:$I$89,3,0)*0.475*44/12</f>
        <v>54.029687908907881</v>
      </c>
      <c r="FS63" s="21">
        <f>EXP(-LN(2)/2)*FS62+(1-EXP(-LN(2)/2))/(LN(2)/2)*FM63*FP63*VLOOKUP('Données projet'!$B$16,Paramètres!$A$1:$I$89,3,0)*0.475*44/12</f>
        <v>7.4362534983083606</v>
      </c>
      <c r="FT63" s="22">
        <f t="shared" si="24"/>
        <v>83.303411169147964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67.63792019349971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67.63792019349971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1.35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4.95</v>
      </c>
      <c r="H64" s="67">
        <f t="shared" si="1"/>
        <v>236.86666666666665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67.678896997323164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8.8000000000000007</v>
      </c>
      <c r="N64" s="13">
        <f>IF('Données projet'!$A$36&gt;35,N63+M64-V63,IF(A64&lt;'Données projet'!$A$36,$K$205^A64,IF(A64='Données projet'!$A$36,'Données projet'!$B$36,N63+M64-V63)))</f>
        <v>253.7999999999999</v>
      </c>
      <c r="O64" s="13">
        <f>N64*VLOOKUP('Données projet'!$B$9,Paramètres!$A$1:$I$89,3,0)*VLOOKUP('Données projet'!$B$9,Paramètres!$A$1:$I$89,5,0)</f>
        <v>229.63823999999988</v>
      </c>
      <c r="P64" s="13">
        <f t="shared" si="33"/>
        <v>56.204453396569633</v>
      </c>
      <c r="Q64" s="20">
        <f t="shared" si="53"/>
        <v>497.84269099902525</v>
      </c>
      <c r="R64" s="59">
        <f t="shared" si="0"/>
        <v>782.66531332254351</v>
      </c>
      <c r="S64" s="59">
        <f ca="1">AVERAGE(OFFSET($R$3,0,0,'Données projet'!$E$9+1,1))-AVERAGE(OFFSET($H$3,0,0,'Données projet'!$E$9+1,1))</f>
        <v>466.90449882701591</v>
      </c>
      <c r="T64" s="59">
        <f t="shared" si="34"/>
        <v>283.37641704892053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14.179826815943782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14.179826815943782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67.678896997323164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7.2</v>
      </c>
      <c r="AI64" s="13">
        <f>IF('Données projet'!$A$62&gt;35,AI63+AH64-AQ63,IF(A64&lt;'Données projet'!$A$62,$AF$205^A64,IF(A64='Données projet'!$A$62,'Données projet'!$B$62,AI63+AH64-AQ63)))</f>
        <v>200.2</v>
      </c>
      <c r="AJ64" s="13">
        <f>AI64*VLOOKUP('Données projet'!$B$10,Paramètres!$A$1:$I$89,3,0)*VLOOKUP('Données projet'!$B$10,Paramètres!$A$1:$I$89,5,0)</f>
        <v>190.51031999999998</v>
      </c>
      <c r="AK64" s="13">
        <f t="shared" si="35"/>
        <v>47.652759738576151</v>
      </c>
      <c r="AL64" s="20">
        <f t="shared" si="4"/>
        <v>414.80069721135334</v>
      </c>
      <c r="AM64" s="59">
        <f t="shared" si="5"/>
        <v>699.6233195348716</v>
      </c>
      <c r="AN64" s="59">
        <f ca="1">AVERAGE(OFFSET($AM$3,0,0,'Données projet'!$E$10+1,1))-AVERAGE(OFFSET($H$3,0,0,'Données projet'!$E$10+1,1))</f>
        <v>399.5572791581468</v>
      </c>
      <c r="AO64" s="59">
        <f t="shared" si="36"/>
        <v>246.34185986079777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11.18494960050738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11.18494960050738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67.678896997323164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8.6666666666666661</v>
      </c>
      <c r="BD64" s="12">
        <f>IF('Données projet'!$A$88&gt;35,BD63+BC64-BL63,IF(A64&lt;'Données projet'!$A$88,$BA$205^A64,IF(A64='Données projet'!$A$88,'Données projet'!$B$88,BD63+BC64-BL63)))</f>
        <v>258.66666666666657</v>
      </c>
      <c r="BE64" s="13">
        <f>BD64*VLOOKUP('Données projet'!$B$11,Paramètres!$A$1:$I$89,3,0)*VLOOKUP('Données projet'!$B$11,Paramètres!$A$1:$I$89,5,0)</f>
        <v>201.75999999999993</v>
      </c>
      <c r="BF64" s="13">
        <f t="shared" si="37"/>
        <v>50.130765000424169</v>
      </c>
      <c r="BG64" s="20">
        <f t="shared" si="7"/>
        <v>438.70974904240529</v>
      </c>
      <c r="BH64" s="59">
        <f t="shared" si="8"/>
        <v>723.53237136592361</v>
      </c>
      <c r="BI64" s="59">
        <f ca="1">AVERAGE(OFFSET($BH$3,0,0,'Données projet'!$E$11+1,1))-AVERAGE(OFFSET($H$3,0,0,'Données projet'!$E$11+1,1))</f>
        <v>294.23449029791681</v>
      </c>
      <c r="BJ64" s="59">
        <f t="shared" si="38"/>
        <v>288.64639202306159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24.734901714198177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24.734901714198177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67.678896997323164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7.2</v>
      </c>
      <c r="BY64" s="12">
        <f>IF('Données projet'!$A$114&gt;35,BY63+BX64-CG63,IF(A64&lt;'Données projet'!$A$114,$BV$205^A64,IF(A64='Données projet'!$A$114,'Données projet'!$B$114,BY63+BX64-CG63)))</f>
        <v>200.2</v>
      </c>
      <c r="BZ64" s="13">
        <f>BY64*VLOOKUP('Données projet'!$B$12,Paramètres!$A$1:$I$89,3,0)*VLOOKUP('Données projet'!$B$12,Paramètres!$A$1:$I$89,5,0)</f>
        <v>215.49527999999998</v>
      </c>
      <c r="CA64" s="13">
        <f t="shared" si="39"/>
        <v>53.134631326269272</v>
      </c>
      <c r="CB64" s="20">
        <f t="shared" si="10"/>
        <v>467.86376222658561</v>
      </c>
      <c r="CC64" s="59">
        <f t="shared" si="11"/>
        <v>752.68638455010387</v>
      </c>
      <c r="CD64" s="59">
        <f ca="1">AVERAGE(OFFSET($CC$3,0,0,'Données projet'!$E$12+1,1))-AVERAGE(OFFSET($H$3,0,0,'Données projet'!$E$12+1,1))</f>
        <v>445.38112098358147</v>
      </c>
      <c r="CE64" s="59">
        <f t="shared" si="40"/>
        <v>272.45883568548516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12.651828236639496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12.651828236639496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67.678896997323164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7.2</v>
      </c>
      <c r="CT64" s="12">
        <f>IF('Données projet'!$A$140&gt;35,CT63+CS64-DB63,IF(A64&lt;'Données projet'!$A$140,$CQ$205^A64,IF(A64='Données projet'!$A$140,'Données projet'!$B$140,CT63+CS64-DB63)))</f>
        <v>200.2</v>
      </c>
      <c r="CU64" s="17">
        <f>CT64*VLOOKUP('Données projet'!$B$13,Paramètres!$A$1:$I$89,3,0)*VLOOKUP('Données projet'!$B$13,Paramètres!$A$1:$I$89,5,0)</f>
        <v>215.49527999999998</v>
      </c>
      <c r="CV64" s="13">
        <f t="shared" si="41"/>
        <v>53.134631326269272</v>
      </c>
      <c r="CW64" s="20">
        <f t="shared" si="13"/>
        <v>467.86376222658561</v>
      </c>
      <c r="CX64" s="59">
        <f t="shared" si="14"/>
        <v>752.68638455010387</v>
      </c>
      <c r="CY64" s="59">
        <f ca="1">AVERAGE(OFFSET($CX$3,0,0,'Données projet'!$E$13+1,1))-AVERAGE(OFFSET($H$3,0,0,'Données projet'!$E$13+1,1))</f>
        <v>445.38112098358147</v>
      </c>
      <c r="CZ64" s="59">
        <f t="shared" si="42"/>
        <v>272.45883568548516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12.651828236639496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12.651828236639496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67.678896997323164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7.2</v>
      </c>
      <c r="DO64" s="12">
        <f>IF('Données projet'!$A$166&gt;35,DO63+DN64-DW63,IF(A64&lt;'Données projet'!$A$166,$DL$205^A64,IF(A64='Données projet'!$A$166,'Données projet'!$B$166,DO63+DN64-DW63)))</f>
        <v>200.2</v>
      </c>
      <c r="DP64" s="17">
        <f>DO64*VLOOKUP('Données projet'!$B$14,Paramètres!$A$1:$I$89,3,0)*VLOOKUP('Données projet'!$B$14,Paramètres!$A$1:$I$89,5,0)</f>
        <v>193.63344000000001</v>
      </c>
      <c r="DQ64" s="13">
        <f t="shared" si="43"/>
        <v>48.342367086681229</v>
      </c>
      <c r="DR64" s="20">
        <f t="shared" si="16"/>
        <v>421.44119734263649</v>
      </c>
      <c r="DS64" s="59">
        <f t="shared" si="17"/>
        <v>706.26381966615475</v>
      </c>
      <c r="DT64" s="59">
        <f ca="1">AVERAGE(OFFSET($DS$3,0,0,'Données projet'!$E$14+1,1))-AVERAGE(OFFSET($H$3,0,0,'Données projet'!$E$14+1,1))</f>
        <v>405.29179902613089</v>
      </c>
      <c r="DU64" s="59">
        <f t="shared" si="44"/>
        <v>249.61049717638238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11.368309430023894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11.368309430023894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67.678896997323164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15.515714285714287</v>
      </c>
      <c r="EJ64" s="12">
        <f>IF('Données projet'!$A$192&gt;35,EJ63+EI64-ER63,IF(A64&lt;'Données projet'!$A$192,$EG$205^A64,IF(A64='Données projet'!$A$192,'Données projet'!$B$192,EJ63+EI64-ER63)))</f>
        <v>552.78142857142859</v>
      </c>
      <c r="EK64" s="17">
        <f>EJ64*VLOOKUP('Données projet'!$B$15,Paramètres!$A$1:$I$89,3,0)*VLOOKUP('Données projet'!$B$15,Paramètres!$A$1:$I$89,5,0)</f>
        <v>330.56329428571433</v>
      </c>
      <c r="EL64" s="13">
        <f t="shared" si="45"/>
        <v>77.547080854167504</v>
      </c>
      <c r="EM64" s="20">
        <f t="shared" si="19"/>
        <v>710.79223670196086</v>
      </c>
      <c r="EN64" s="59">
        <f t="shared" si="20"/>
        <v>995.61485902547906</v>
      </c>
      <c r="EO64" s="59">
        <f ca="1">AVERAGE(OFFSET($EN$3,0,0,'Données projet'!$E$15+1,1))-AVERAGE(OFFSET($H$3,0,0,'Données projet'!$E$15+1,1))</f>
        <v>444.77624981561257</v>
      </c>
      <c r="EP64" s="59">
        <f t="shared" si="46"/>
        <v>382.10319641527587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32.816946737544633</v>
      </c>
      <c r="EW64" s="21">
        <f>EXP(-LN(2)/25)*EW63+(1-EXP(-LN(2)/25))/(LN(2)/25)*Calculateur!ER64*Calculateur!ET64*VLOOKUP('Données projet'!$B$15,Paramètres!$A$1:$I$89,3,0)*0.475*44/12</f>
        <v>26.616723435233158</v>
      </c>
      <c r="EX64" s="21">
        <f>EXP(-LN(2)/2)*EX63+(1-EXP(-LN(2)/2))/(LN(2)/2)*ER64*EU64*VLOOKUP('Données projet'!$B$15,Paramètres!$A$1:$I$89,3,0)*0.475*44/12</f>
        <v>1.7529183537089017</v>
      </c>
      <c r="EY64" s="22">
        <f t="shared" si="21"/>
        <v>61.186588526486695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67.678896997323164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17.600000000000001</v>
      </c>
      <c r="FE64" s="12">
        <f>IF('Données projet'!$A$218&gt;35,FE63+FD64-FM63,IF(A64&lt;'Données projet'!$A$218,$FB$205^A64,IF(A64='Données projet'!$A$218,'Données projet'!$B$218,FE63+FD64-FM63)))</f>
        <v>807.60000000000014</v>
      </c>
      <c r="FF64" s="17">
        <f>FE64*VLOOKUP('Données projet'!$B$16,Paramètres!$A$1:$I$89,3,0)*VLOOKUP('Données projet'!$B$16,Paramètres!$A$1:$I$89,5,0)</f>
        <v>356.95920000000007</v>
      </c>
      <c r="FG64" s="13">
        <f t="shared" si="47"/>
        <v>82.993836678382237</v>
      </c>
      <c r="FH64" s="20">
        <f t="shared" si="22"/>
        <v>766.2515388815159</v>
      </c>
      <c r="FI64" s="59">
        <f t="shared" si="23"/>
        <v>1051.0741612050342</v>
      </c>
      <c r="FJ64" s="59">
        <f ca="1">AVERAGE(OFFSET($FI$3,0,0,'Données projet'!$E$16+1,1))-AVERAGE(OFFSET($H$3,0,0,'Données projet'!$E$16+1,1))</f>
        <v>508.71179785154317</v>
      </c>
      <c r="FK64" s="59">
        <f t="shared" si="48"/>
        <v>422.73937290731442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21.409250299441602</v>
      </c>
      <c r="FR64" s="21">
        <f>EXP(-LN(2)/25)*FR63+(1-EXP(-LN(2)/25))/(LN(2)/25)*Calculateur!FM64*Calculateur!FO64*VLOOKUP('Données projet'!$B$16,Paramètres!$A$1:$I$89,3,0)*0.475*44/12</f>
        <v>52.552243251740997</v>
      </c>
      <c r="FS64" s="21">
        <f>EXP(-LN(2)/2)*FS63+(1-EXP(-LN(2)/2))/(LN(2)/2)*FM64*FP64*VLOOKUP('Données projet'!$B$16,Paramètres!$A$1:$I$89,3,0)*0.475*44/12</f>
        <v>5.258225275276029</v>
      </c>
      <c r="FT64" s="22">
        <f t="shared" si="24"/>
        <v>79.219718826458632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67.678896997323164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67.678896997323164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1.35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4.95</v>
      </c>
      <c r="H65" s="67">
        <f t="shared" si="1"/>
        <v>236.86666666666665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67.719162945210684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8.8000000000000007</v>
      </c>
      <c r="N65" s="13">
        <f>IF('Données projet'!$A$36&gt;35,N64+M65-V64,IF(A65&lt;'Données projet'!$A$36,$K$205^A65,IF(A65='Données projet'!$A$36,'Données projet'!$B$36,N64+M65-V64)))</f>
        <v>262.59999999999991</v>
      </c>
      <c r="O65" s="13">
        <f>N65*VLOOKUP('Données projet'!$B$9,Paramètres!$A$1:$I$89,3,0)*VLOOKUP('Données projet'!$B$9,Paramètres!$A$1:$I$89,5,0)</f>
        <v>237.60047999999992</v>
      </c>
      <c r="P65" s="13">
        <f t="shared" si="33"/>
        <v>57.922960533442058</v>
      </c>
      <c r="Q65" s="20">
        <f t="shared" si="53"/>
        <v>514.70332559574479</v>
      </c>
      <c r="R65" s="59">
        <f t="shared" si="0"/>
        <v>799.67358972818397</v>
      </c>
      <c r="S65" s="59">
        <f ca="1">AVERAGE(OFFSET($R$3,0,0,'Données projet'!$E$9+1,1))-AVERAGE(OFFSET($H$3,0,0,'Données projet'!$E$9+1,1))</f>
        <v>466.90449882701591</v>
      </c>
      <c r="T65" s="59">
        <f t="shared" si="34"/>
        <v>283.37641704892053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13.901769060923479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13.901769060923479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67.719162945210684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7.2</v>
      </c>
      <c r="AI65" s="13">
        <f>IF('Données projet'!$A$62&gt;35,AI64+AH65-AQ64,IF(A65&lt;'Données projet'!$A$62,$AF$205^A65,IF(A65='Données projet'!$A$62,'Données projet'!$B$62,AI64+AH65-AQ64)))</f>
        <v>207.39999999999998</v>
      </c>
      <c r="AJ65" s="13">
        <f>AI65*VLOOKUP('Données projet'!$B$10,Paramètres!$A$1:$I$89,3,0)*VLOOKUP('Données projet'!$B$10,Paramètres!$A$1:$I$89,5,0)</f>
        <v>197.36183999999997</v>
      </c>
      <c r="AK65" s="13">
        <f t="shared" si="35"/>
        <v>49.163932700586031</v>
      </c>
      <c r="AL65" s="20">
        <f t="shared" si="4"/>
        <v>429.36572078685396</v>
      </c>
      <c r="AM65" s="59">
        <f t="shared" si="5"/>
        <v>714.3359849192932</v>
      </c>
      <c r="AN65" s="59">
        <f ca="1">AVERAGE(OFFSET($AM$3,0,0,'Données projet'!$E$10+1,1))-AVERAGE(OFFSET($H$3,0,0,'Données projet'!$E$10+1,1))</f>
        <v>399.5572791581468</v>
      </c>
      <c r="AO65" s="59">
        <f t="shared" si="36"/>
        <v>246.34185986079777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10.965619560987056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10.965619560987056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67.719162945210684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8.6666666666666661</v>
      </c>
      <c r="BD65" s="12">
        <f>IF('Données projet'!$A$88&gt;35,BD64+BC65-BL64,IF(A65&lt;'Données projet'!$A$88,$BA$205^A65,IF(A65='Données projet'!$A$88,'Données projet'!$B$88,BD64+BC65-BL64)))</f>
        <v>267.33333333333326</v>
      </c>
      <c r="BE65" s="13">
        <f>BD65*VLOOKUP('Données projet'!$B$11,Paramètres!$A$1:$I$89,3,0)*VLOOKUP('Données projet'!$B$11,Paramètres!$A$1:$I$89,5,0)</f>
        <v>208.51999999999995</v>
      </c>
      <c r="BF65" s="13">
        <f t="shared" si="37"/>
        <v>51.612035456318459</v>
      </c>
      <c r="BG65" s="20">
        <f t="shared" si="7"/>
        <v>453.06329508642119</v>
      </c>
      <c r="BH65" s="59">
        <f t="shared" si="8"/>
        <v>738.03355921886032</v>
      </c>
      <c r="BI65" s="59">
        <f ca="1">AVERAGE(OFFSET($BH$3,0,0,'Données projet'!$E$11+1,1))-AVERAGE(OFFSET($H$3,0,0,'Données projet'!$E$11+1,1))</f>
        <v>294.23449029791681</v>
      </c>
      <c r="BJ65" s="59">
        <f t="shared" si="38"/>
        <v>288.64639202306159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24.249865378383099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24.249865378383099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67.719162945210684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7.2</v>
      </c>
      <c r="BY65" s="12">
        <f>IF('Données projet'!$A$114&gt;35,BY64+BX65-CG64,IF(A65&lt;'Données projet'!$A$114,$BV$205^A65,IF(A65='Données projet'!$A$114,'Données projet'!$B$114,BY64+BX65-CG64)))</f>
        <v>207.39999999999998</v>
      </c>
      <c r="BZ65" s="13">
        <f>BY65*VLOOKUP('Données projet'!$B$12,Paramètres!$A$1:$I$89,3,0)*VLOOKUP('Données projet'!$B$12,Paramètres!$A$1:$I$89,5,0)</f>
        <v>223.24535999999995</v>
      </c>
      <c r="CA65" s="13">
        <f t="shared" si="39"/>
        <v>54.819646394591118</v>
      </c>
      <c r="CB65" s="20">
        <f t="shared" si="10"/>
        <v>484.29655280391279</v>
      </c>
      <c r="CC65" s="59">
        <f t="shared" si="11"/>
        <v>769.26681693635192</v>
      </c>
      <c r="CD65" s="59">
        <f ca="1">AVERAGE(OFFSET($CC$3,0,0,'Données projet'!$E$12+1,1))-AVERAGE(OFFSET($H$3,0,0,'Données projet'!$E$12+1,1))</f>
        <v>445.38112098358147</v>
      </c>
      <c r="CE65" s="59">
        <f t="shared" si="40"/>
        <v>272.45883568548516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12.403733601772243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12.403733601772243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67.719162945210684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7.2</v>
      </c>
      <c r="CT65" s="12">
        <f>IF('Données projet'!$A$140&gt;35,CT64+CS65-DB64,IF(A65&lt;'Données projet'!$A$140,$CQ$205^A65,IF(A65='Données projet'!$A$140,'Données projet'!$B$140,CT64+CS65-DB64)))</f>
        <v>207.39999999999998</v>
      </c>
      <c r="CU65" s="17">
        <f>CT65*VLOOKUP('Données projet'!$B$13,Paramètres!$A$1:$I$89,3,0)*VLOOKUP('Données projet'!$B$13,Paramètres!$A$1:$I$89,5,0)</f>
        <v>223.24535999999995</v>
      </c>
      <c r="CV65" s="13">
        <f t="shared" si="41"/>
        <v>54.819646394591118</v>
      </c>
      <c r="CW65" s="20">
        <f t="shared" si="13"/>
        <v>484.29655280391279</v>
      </c>
      <c r="CX65" s="59">
        <f t="shared" si="14"/>
        <v>769.26681693635192</v>
      </c>
      <c r="CY65" s="59">
        <f ca="1">AVERAGE(OFFSET($CX$3,0,0,'Données projet'!$E$13+1,1))-AVERAGE(OFFSET($H$3,0,0,'Données projet'!$E$13+1,1))</f>
        <v>445.38112098358147</v>
      </c>
      <c r="CZ65" s="59">
        <f t="shared" si="42"/>
        <v>272.45883568548516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12.403733601772243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12.403733601772243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67.719162945210684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7.2</v>
      </c>
      <c r="DO65" s="12">
        <f>IF('Données projet'!$A$166&gt;35,DO64+DN65-DW64,IF(A65&lt;'Données projet'!$A$166,$DL$205^A65,IF(A65='Données projet'!$A$166,'Données projet'!$B$166,DO64+DN65-DW64)))</f>
        <v>207.39999999999998</v>
      </c>
      <c r="DP65" s="17">
        <f>DO65*VLOOKUP('Données projet'!$B$14,Paramètres!$A$1:$I$89,3,0)*VLOOKUP('Données projet'!$B$14,Paramètres!$A$1:$I$89,5,0)</f>
        <v>200.59727999999998</v>
      </c>
      <c r="DQ65" s="13">
        <f t="shared" si="43"/>
        <v>49.875409002023019</v>
      </c>
      <c r="DR65" s="20">
        <f t="shared" si="16"/>
        <v>436.23993334519008</v>
      </c>
      <c r="DS65" s="59">
        <f t="shared" si="17"/>
        <v>721.21019747762921</v>
      </c>
      <c r="DT65" s="59">
        <f ca="1">AVERAGE(OFFSET($DS$3,0,0,'Données projet'!$E$14+1,1))-AVERAGE(OFFSET($H$3,0,0,'Données projet'!$E$14+1,1))</f>
        <v>405.29179902613089</v>
      </c>
      <c r="DU65" s="59">
        <f t="shared" si="44"/>
        <v>249.61049717638238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11.145383816085204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11.145383816085204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67.719162945210684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15.515714285714287</v>
      </c>
      <c r="EJ65" s="12">
        <f>IF('Données projet'!$A$192&gt;35,EJ64+EI65-ER64,IF(A65&lt;'Données projet'!$A$192,$EG$205^A65,IF(A65='Données projet'!$A$192,'Données projet'!$B$192,EJ64+EI65-ER64)))</f>
        <v>568.29714285714283</v>
      </c>
      <c r="EK65" s="17">
        <f>EJ65*VLOOKUP('Données projet'!$B$15,Paramètres!$A$1:$I$89,3,0)*VLOOKUP('Données projet'!$B$15,Paramètres!$A$1:$I$89,5,0)</f>
        <v>339.84169142857149</v>
      </c>
      <c r="EL65" s="13">
        <f t="shared" si="45"/>
        <v>79.467237982145818</v>
      </c>
      <c r="EM65" s="20">
        <f t="shared" si="19"/>
        <v>730.2963853903326</v>
      </c>
      <c r="EN65" s="59">
        <f t="shared" si="20"/>
        <v>1015.2666495227718</v>
      </c>
      <c r="EO65" s="59">
        <f ca="1">AVERAGE(OFFSET($EN$3,0,0,'Données projet'!$E$15+1,1))-AVERAGE(OFFSET($H$3,0,0,'Données projet'!$E$15+1,1))</f>
        <v>444.77624981561257</v>
      </c>
      <c r="EP65" s="59">
        <f t="shared" si="46"/>
        <v>382.10319641527587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32.173426428382442</v>
      </c>
      <c r="EW65" s="21">
        <f>EXP(-LN(2)/25)*EW64+(1-EXP(-LN(2)/25))/(LN(2)/25)*Calculateur!ER65*Calculateur!ET65*VLOOKUP('Données projet'!$B$15,Paramètres!$A$1:$I$89,3,0)*0.475*44/12</f>
        <v>25.888887733184056</v>
      </c>
      <c r="EX65" s="21">
        <f>EXP(-LN(2)/2)*EX64+(1-EXP(-LN(2)/2))/(LN(2)/2)*ER65*EU65*VLOOKUP('Données projet'!$B$15,Paramètres!$A$1:$I$89,3,0)*0.475*44/12</f>
        <v>1.2395004547739235</v>
      </c>
      <c r="EY65" s="22">
        <f t="shared" si="21"/>
        <v>59.301814616340423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67.719162945210684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17.600000000000001</v>
      </c>
      <c r="FE65" s="12">
        <f>IF('Données projet'!$A$218&gt;35,FE64+FD65-FM64,IF(A65&lt;'Données projet'!$A$218,$FB$205^A65,IF(A65='Données projet'!$A$218,'Données projet'!$B$218,FE64+FD65-FM64)))</f>
        <v>825.20000000000016</v>
      </c>
      <c r="FF65" s="17">
        <f>FE65*VLOOKUP('Données projet'!$B$16,Paramètres!$A$1:$I$89,3,0)*VLOOKUP('Données projet'!$B$16,Paramètres!$A$1:$I$89,5,0)</f>
        <v>364.73840000000013</v>
      </c>
      <c r="FG65" s="13">
        <f t="shared" si="47"/>
        <v>84.58997726602351</v>
      </c>
      <c r="FH65" s="20">
        <f t="shared" si="22"/>
        <v>782.5802570716578</v>
      </c>
      <c r="FI65" s="59">
        <f t="shared" si="23"/>
        <v>1067.5505212040971</v>
      </c>
      <c r="FJ65" s="59">
        <f ca="1">AVERAGE(OFFSET($FI$3,0,0,'Données projet'!$E$16+1,1))-AVERAGE(OFFSET($H$3,0,0,'Données projet'!$E$16+1,1))</f>
        <v>508.71179785154317</v>
      </c>
      <c r="FK65" s="59">
        <f t="shared" si="48"/>
        <v>422.73937290731442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20.98942795942283</v>
      </c>
      <c r="FR65" s="21">
        <f>EXP(-LN(2)/25)*FR64+(1-EXP(-LN(2)/25))/(LN(2)/25)*Calculateur!FM65*Calculateur!FO65*VLOOKUP('Données projet'!$B$16,Paramètres!$A$1:$I$89,3,0)*0.475*44/12</f>
        <v>51.115199396419776</v>
      </c>
      <c r="FS65" s="21">
        <f>EXP(-LN(2)/2)*FS64+(1-EXP(-LN(2)/2))/(LN(2)/2)*FM65*FP65*VLOOKUP('Données projet'!$B$16,Paramètres!$A$1:$I$89,3,0)*0.475*44/12</f>
        <v>3.7181267491541807</v>
      </c>
      <c r="FT65" s="22">
        <f t="shared" si="24"/>
        <v>75.82275410499679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67.719162945210684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67.719162945210684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1.35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4.95</v>
      </c>
      <c r="H66" s="67">
        <f t="shared" si="1"/>
        <v>236.86666666666665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67.758730368923551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8.8000000000000007</v>
      </c>
      <c r="N66" s="13">
        <f>IF('Données projet'!$A$36&gt;35,N65+M66-V65,IF(A66&lt;'Données projet'!$A$36,$K$205^A66,IF(A66='Données projet'!$A$36,'Données projet'!$B$36,N65+M66-V65)))</f>
        <v>271.39999999999992</v>
      </c>
      <c r="O66" s="13">
        <f>N66*VLOOKUP('Données projet'!$B$9,Paramètres!$A$1:$I$89,3,0)*VLOOKUP('Données projet'!$B$9,Paramètres!$A$1:$I$89,5,0)</f>
        <v>245.56271999999993</v>
      </c>
      <c r="P66" s="13">
        <f t="shared" si="33"/>
        <v>59.634776048276898</v>
      </c>
      <c r="Q66" s="20">
        <f t="shared" si="53"/>
        <v>531.55230561741553</v>
      </c>
      <c r="R66" s="59">
        <f t="shared" si="0"/>
        <v>816.66765030346846</v>
      </c>
      <c r="S66" s="59">
        <f ca="1">AVERAGE(OFFSET($R$3,0,0,'Données projet'!$E$9+1,1))-AVERAGE(OFFSET($H$3,0,0,'Données projet'!$E$9+1,1))</f>
        <v>466.90449882701591</v>
      </c>
      <c r="T66" s="59">
        <f t="shared" si="34"/>
        <v>283.37641704892053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13.629163848880642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13.629163848880642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67.758730368923551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7.2</v>
      </c>
      <c r="AI66" s="13">
        <f>IF('Données projet'!$A$62&gt;35,AI65+AH66-AQ65,IF(A66&lt;'Données projet'!$A$62,$AF$205^A66,IF(A66='Données projet'!$A$62,'Données projet'!$B$62,AI65+AH66-AQ65)))</f>
        <v>214.59999999999997</v>
      </c>
      <c r="AJ66" s="13">
        <f>AI66*VLOOKUP('Données projet'!$B$10,Paramètres!$A$1:$I$89,3,0)*VLOOKUP('Données projet'!$B$10,Paramètres!$A$1:$I$89,5,0)</f>
        <v>204.21335999999997</v>
      </c>
      <c r="AK66" s="13">
        <f t="shared" si="35"/>
        <v>50.669010210991836</v>
      </c>
      <c r="AL66" s="20">
        <f t="shared" si="4"/>
        <v>443.92012811747736</v>
      </c>
      <c r="AM66" s="59">
        <f t="shared" si="5"/>
        <v>729.03547280353041</v>
      </c>
      <c r="AN66" s="59">
        <f ca="1">AVERAGE(OFFSET($AM$3,0,0,'Données projet'!$E$10+1,1))-AVERAGE(OFFSET($H$3,0,0,'Données projet'!$E$10+1,1))</f>
        <v>399.5572791581468</v>
      </c>
      <c r="AO66" s="59">
        <f t="shared" si="36"/>
        <v>246.34185986079777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10.75059044976361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10.75059044976361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67.758730368923551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8.6666666666666661</v>
      </c>
      <c r="BD66" s="12">
        <f>IF('Données projet'!$A$88&gt;35,BD65+BC66-BL65,IF(A66&lt;'Données projet'!$A$88,$BA$205^A66,IF(A66='Données projet'!$A$88,'Données projet'!$B$88,BD65+BC66-BL65)))</f>
        <v>275.99999999999994</v>
      </c>
      <c r="BE66" s="13">
        <f>BD66*VLOOKUP('Données projet'!$B$11,Paramètres!$A$1:$I$89,3,0)*VLOOKUP('Données projet'!$B$11,Paramètres!$A$1:$I$89,5,0)</f>
        <v>215.27999999999997</v>
      </c>
      <c r="BF66" s="13">
        <f t="shared" si="37"/>
        <v>53.087725740853138</v>
      </c>
      <c r="BG66" s="20">
        <f t="shared" si="7"/>
        <v>467.40712233198587</v>
      </c>
      <c r="BH66" s="59">
        <f t="shared" si="8"/>
        <v>752.52246701803892</v>
      </c>
      <c r="BI66" s="59">
        <f ca="1">AVERAGE(OFFSET($BH$3,0,0,'Données projet'!$E$11+1,1))-AVERAGE(OFFSET($H$3,0,0,'Données projet'!$E$11+1,1))</f>
        <v>294.23449029791681</v>
      </c>
      <c r="BJ66" s="59">
        <f t="shared" si="38"/>
        <v>288.64639202306159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23.7743403092704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23.7743403092704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67.758730368923551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7.2</v>
      </c>
      <c r="BY66" s="12">
        <f>IF('Données projet'!$A$114&gt;35,BY65+BX66-CG65,IF(A66&lt;'Données projet'!$A$114,$BV$205^A66,IF(A66='Données projet'!$A$114,'Données projet'!$B$114,BY65+BX66-CG65)))</f>
        <v>214.59999999999997</v>
      </c>
      <c r="BZ66" s="13">
        <f>BY66*VLOOKUP('Données projet'!$B$12,Paramètres!$A$1:$I$89,3,0)*VLOOKUP('Données projet'!$B$12,Paramètres!$A$1:$I$89,5,0)</f>
        <v>230.99543999999995</v>
      </c>
      <c r="CA66" s="13">
        <f t="shared" si="39"/>
        <v>56.497864803589785</v>
      </c>
      <c r="CB66" s="20">
        <f t="shared" si="10"/>
        <v>500.71750586625211</v>
      </c>
      <c r="CC66" s="59">
        <f t="shared" si="11"/>
        <v>785.8328505523051</v>
      </c>
      <c r="CD66" s="59">
        <f ca="1">AVERAGE(OFFSET($CC$3,0,0,'Données projet'!$E$12+1,1))-AVERAGE(OFFSET($H$3,0,0,'Données projet'!$E$12+1,1))</f>
        <v>445.38112098358147</v>
      </c>
      <c r="CE66" s="59">
        <f t="shared" si="40"/>
        <v>272.45883568548516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12.160503951371952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12.160503951371952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67.758730368923551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7.2</v>
      </c>
      <c r="CT66" s="12">
        <f>IF('Données projet'!$A$140&gt;35,CT65+CS66-DB65,IF(A66&lt;'Données projet'!$A$140,$CQ$205^A66,IF(A66='Données projet'!$A$140,'Données projet'!$B$140,CT65+CS66-DB65)))</f>
        <v>214.59999999999997</v>
      </c>
      <c r="CU66" s="17">
        <f>CT66*VLOOKUP('Données projet'!$B$13,Paramètres!$A$1:$I$89,3,0)*VLOOKUP('Données projet'!$B$13,Paramètres!$A$1:$I$89,5,0)</f>
        <v>230.99543999999995</v>
      </c>
      <c r="CV66" s="13">
        <f t="shared" si="41"/>
        <v>56.497864803589785</v>
      </c>
      <c r="CW66" s="20">
        <f t="shared" si="13"/>
        <v>500.71750586625211</v>
      </c>
      <c r="CX66" s="59">
        <f t="shared" si="14"/>
        <v>785.8328505523051</v>
      </c>
      <c r="CY66" s="59">
        <f ca="1">AVERAGE(OFFSET($CX$3,0,0,'Données projet'!$E$13+1,1))-AVERAGE(OFFSET($H$3,0,0,'Données projet'!$E$13+1,1))</f>
        <v>445.38112098358147</v>
      </c>
      <c r="CZ66" s="59">
        <f t="shared" si="42"/>
        <v>272.45883568548516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12.160503951371952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12.160503951371952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67.758730368923551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7.2</v>
      </c>
      <c r="DO66" s="12">
        <f>IF('Données projet'!$A$166&gt;35,DO65+DN66-DW65,IF(A66&lt;'Données projet'!$A$166,$DL$205^A66,IF(A66='Données projet'!$A$166,'Données projet'!$B$166,DO65+DN66-DW65)))</f>
        <v>214.59999999999997</v>
      </c>
      <c r="DP66" s="17">
        <f>DO66*VLOOKUP('Données projet'!$B$14,Paramètres!$A$1:$I$89,3,0)*VLOOKUP('Données projet'!$B$14,Paramètres!$A$1:$I$89,5,0)</f>
        <v>207.56111999999996</v>
      </c>
      <c r="DQ66" s="13">
        <f t="shared" si="43"/>
        <v>51.40226725537714</v>
      </c>
      <c r="DR66" s="20">
        <f t="shared" si="16"/>
        <v>451.02789946978169</v>
      </c>
      <c r="DS66" s="59">
        <f t="shared" si="17"/>
        <v>736.14324415583474</v>
      </c>
      <c r="DT66" s="59">
        <f ca="1">AVERAGE(OFFSET($DS$3,0,0,'Données projet'!$E$14+1,1))-AVERAGE(OFFSET($H$3,0,0,'Données projet'!$E$14+1,1))</f>
        <v>405.29179902613089</v>
      </c>
      <c r="DU66" s="59">
        <f t="shared" si="44"/>
        <v>249.61049717638238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10.926829637464653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10.926829637464653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67.758730368923551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15.515714285714287</v>
      </c>
      <c r="EJ66" s="12">
        <f>IF('Données projet'!$A$192&gt;35,EJ65+EI66-ER65,IF(A66&lt;'Données projet'!$A$192,$EG$205^A66,IF(A66='Données projet'!$A$192,'Données projet'!$B$192,EJ65+EI66-ER65)))</f>
        <v>583.81285714285707</v>
      </c>
      <c r="EK66" s="17">
        <f>EJ66*VLOOKUP('Données projet'!$B$15,Paramètres!$A$1:$I$89,3,0)*VLOOKUP('Données projet'!$B$15,Paramètres!$A$1:$I$89,5,0)</f>
        <v>349.12008857142854</v>
      </c>
      <c r="EL66" s="13">
        <f t="shared" si="45"/>
        <v>81.381301801660527</v>
      </c>
      <c r="EM66" s="20">
        <f t="shared" si="19"/>
        <v>749.78992156646348</v>
      </c>
      <c r="EN66" s="59">
        <f t="shared" si="20"/>
        <v>1034.9052662525164</v>
      </c>
      <c r="EO66" s="59">
        <f ca="1">AVERAGE(OFFSET($EN$3,0,0,'Données projet'!$E$15+1,1))-AVERAGE(OFFSET($H$3,0,0,'Données projet'!$E$15+1,1))</f>
        <v>444.77624981561257</v>
      </c>
      <c r="EP66" s="59">
        <f t="shared" si="46"/>
        <v>382.10319641527587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31.542525159974289</v>
      </c>
      <c r="EW66" s="21">
        <f>EXP(-LN(2)/25)*EW65+(1-EXP(-LN(2)/25))/(LN(2)/25)*Calculateur!ER66*Calculateur!ET66*VLOOKUP('Données projet'!$B$15,Paramètres!$A$1:$I$89,3,0)*0.475*44/12</f>
        <v>25.1809547366827</v>
      </c>
      <c r="EX66" s="21">
        <f>EXP(-LN(2)/2)*EX65+(1-EXP(-LN(2)/2))/(LN(2)/2)*ER66*EU66*VLOOKUP('Données projet'!$B$15,Paramètres!$A$1:$I$89,3,0)*0.475*44/12</f>
        <v>0.87645917685445085</v>
      </c>
      <c r="EY66" s="22">
        <f t="shared" si="21"/>
        <v>57.599939073511443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67.758730368923551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17.600000000000001</v>
      </c>
      <c r="FE66" s="12">
        <f>IF('Données projet'!$A$218&gt;35,FE65+FD66-FM65,IF(A66&lt;'Données projet'!$A$218,$FB$205^A66,IF(A66='Données projet'!$A$218,'Données projet'!$B$218,FE65+FD66-FM65)))</f>
        <v>842.80000000000018</v>
      </c>
      <c r="FF66" s="17">
        <f>FE66*VLOOKUP('Données projet'!$B$16,Paramètres!$A$1:$I$89,3,0)*VLOOKUP('Données projet'!$B$16,Paramètres!$A$1:$I$89,5,0)</f>
        <v>372.51760000000013</v>
      </c>
      <c r="FG66" s="13">
        <f t="shared" si="47"/>
        <v>86.182159875475833</v>
      </c>
      <c r="FH66" s="20">
        <f t="shared" si="22"/>
        <v>798.90208178312059</v>
      </c>
      <c r="FI66" s="59">
        <f t="shared" si="23"/>
        <v>1084.0174264691736</v>
      </c>
      <c r="FJ66" s="59">
        <f ca="1">AVERAGE(OFFSET($FI$3,0,0,'Données projet'!$E$16+1,1))-AVERAGE(OFFSET($H$3,0,0,'Données projet'!$E$16+1,1))</f>
        <v>508.71179785154317</v>
      </c>
      <c r="FK66" s="59">
        <f t="shared" si="48"/>
        <v>422.73937290731442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20.577838079425483</v>
      </c>
      <c r="FR66" s="21">
        <f>EXP(-LN(2)/25)*FR65+(1-EXP(-LN(2)/25))/(LN(2)/25)*Calculateur!FM66*Calculateur!FO66*VLOOKUP('Données projet'!$B$16,Paramètres!$A$1:$I$89,3,0)*0.475*44/12</f>
        <v>49.717451580893169</v>
      </c>
      <c r="FS66" s="21">
        <f>EXP(-LN(2)/2)*FS65+(1-EXP(-LN(2)/2))/(LN(2)/2)*FM66*FP66*VLOOKUP('Données projet'!$B$16,Paramètres!$A$1:$I$89,3,0)*0.475*44/12</f>
        <v>2.6291126376380149</v>
      </c>
      <c r="FT66" s="22">
        <f t="shared" si="24"/>
        <v>72.924402297956661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67.758730368923551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67.758730368923551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1.35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4.95</v>
      </c>
      <c r="H67" s="67">
        <f t="shared" si="1"/>
        <v>236.86666666666665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67.797611386294491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8.8000000000000007</v>
      </c>
      <c r="N67" s="13">
        <f>IF('Données projet'!$A$36&gt;35,N66+M67-V66,IF(A67&lt;'Données projet'!$A$36,$K$205^A67,IF(A67='Données projet'!$A$36,'Données projet'!$B$36,N66+M67-V66)))</f>
        <v>280.19999999999993</v>
      </c>
      <c r="O67" s="13">
        <f>N67*VLOOKUP('Données projet'!$B$9,Paramètres!$A$1:$I$89,3,0)*VLOOKUP('Données projet'!$B$9,Paramètres!$A$1:$I$89,5,0)</f>
        <v>253.52495999999996</v>
      </c>
      <c r="P67" s="13">
        <f t="shared" si="33"/>
        <v>61.340141798422209</v>
      </c>
      <c r="Q67" s="20">
        <f t="shared" ref="Q67:Q98" si="54">(O67+P67)*0.475*44/12</f>
        <v>548.39005229891859</v>
      </c>
      <c r="R67" s="59">
        <f t="shared" ref="R67:R130" si="55">Q67+(I67+J67)*44/12</f>
        <v>833.64796071533169</v>
      </c>
      <c r="S67" s="59">
        <f ca="1">AVERAGE(OFFSET($R$3,0,0,'Données projet'!$E$9+1,1))-AVERAGE(OFFSET($H$3,0,0,'Données projet'!$E$9+1,1))</f>
        <v>466.90449882701591</v>
      </c>
      <c r="T67" s="59">
        <f t="shared" si="34"/>
        <v>283.37641704892053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13.361904258773203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13.361904258773203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67.797611386294491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7.2</v>
      </c>
      <c r="AI67" s="13">
        <f>IF('Données projet'!$A$62&gt;35,AI66+AH67-AQ66,IF(A67&lt;'Données projet'!$A$62,$AF$205^A67,IF(A67='Données projet'!$A$62,'Données projet'!$B$62,AI66+AH67-AQ66)))</f>
        <v>221.79999999999995</v>
      </c>
      <c r="AJ67" s="13">
        <f>AI67*VLOOKUP('Données projet'!$B$10,Paramètres!$A$1:$I$89,3,0)*VLOOKUP('Données projet'!$B$10,Paramètres!$A$1:$I$89,5,0)</f>
        <v>211.06487999999996</v>
      </c>
      <c r="AK67" s="13">
        <f t="shared" si="35"/>
        <v>52.168220223304395</v>
      </c>
      <c r="AL67" s="20">
        <f t="shared" si="4"/>
        <v>458.46431622225504</v>
      </c>
      <c r="AM67" s="59">
        <f t="shared" si="5"/>
        <v>743.72222463866819</v>
      </c>
      <c r="AN67" s="59">
        <f ca="1">AVERAGE(OFFSET($AM$3,0,0,'Données projet'!$E$10+1,1))-AVERAGE(OFFSET($H$3,0,0,'Données projet'!$E$10+1,1))</f>
        <v>399.5572791581468</v>
      </c>
      <c r="AO67" s="59">
        <f t="shared" si="36"/>
        <v>246.34185986079777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10.539777928256449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10.539777928256449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67.797611386294491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8.6666666666666661</v>
      </c>
      <c r="BD67" s="12">
        <f>IF('Données projet'!$A$88&gt;35,BD66+BC67-BL66,IF(A67&lt;'Données projet'!$A$88,$BA$205^A67,IF(A67='Données projet'!$A$88,'Données projet'!$B$88,BD66+BC67-BL66)))</f>
        <v>284.66666666666663</v>
      </c>
      <c r="BE67" s="13">
        <f>BD67*VLOOKUP('Données projet'!$B$11,Paramètres!$A$1:$I$89,3,0)*VLOOKUP('Données projet'!$B$11,Paramètres!$A$1:$I$89,5,0)</f>
        <v>222.04</v>
      </c>
      <c r="BF67" s="13">
        <f t="shared" si="37"/>
        <v>54.558031180803546</v>
      </c>
      <c r="BG67" s="20">
        <f t="shared" si="7"/>
        <v>481.74157097323285</v>
      </c>
      <c r="BH67" s="59">
        <f t="shared" si="8"/>
        <v>766.99947938964601</v>
      </c>
      <c r="BI67" s="59">
        <f ca="1">AVERAGE(OFFSET($BH$3,0,0,'Données projet'!$E$11+1,1))-AVERAGE(OFFSET($H$3,0,0,'Données projet'!$E$11+1,1))</f>
        <v>294.23449029791681</v>
      </c>
      <c r="BJ67" s="59">
        <f t="shared" si="38"/>
        <v>288.64639202306159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23.308139996721348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23.308139996721348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67.797611386294491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7.2</v>
      </c>
      <c r="BY67" s="12">
        <f>IF('Données projet'!$A$114&gt;35,BY66+BX67-CG66,IF(A67&lt;'Données projet'!$A$114,$BV$205^A67,IF(A67='Données projet'!$A$114,'Données projet'!$B$114,BY66+BX67-CG66)))</f>
        <v>221.79999999999995</v>
      </c>
      <c r="BZ67" s="13">
        <f>BY67*VLOOKUP('Données projet'!$B$12,Paramètres!$A$1:$I$89,3,0)*VLOOKUP('Données projet'!$B$12,Paramètres!$A$1:$I$89,5,0)</f>
        <v>238.74551999999991</v>
      </c>
      <c r="CA67" s="13">
        <f t="shared" si="39"/>
        <v>58.169540730060781</v>
      </c>
      <c r="CB67" s="20">
        <f t="shared" si="10"/>
        <v>517.12706410485578</v>
      </c>
      <c r="CC67" s="59">
        <f t="shared" si="11"/>
        <v>802.38497252126899</v>
      </c>
      <c r="CD67" s="59">
        <f ca="1">AVERAGE(OFFSET($CC$3,0,0,'Données projet'!$E$12+1,1))-AVERAGE(OFFSET($H$3,0,0,'Données projet'!$E$12+1,1))</f>
        <v>445.38112098358147</v>
      </c>
      <c r="CE67" s="59">
        <f t="shared" si="40"/>
        <v>272.45883568548516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11.922043886060573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11.922043886060573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67.797611386294491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7.2</v>
      </c>
      <c r="CT67" s="12">
        <f>IF('Données projet'!$A$140&gt;35,CT66+CS67-DB66,IF(A67&lt;'Données projet'!$A$140,$CQ$205^A67,IF(A67='Données projet'!$A$140,'Données projet'!$B$140,CT66+CS67-DB66)))</f>
        <v>221.79999999999995</v>
      </c>
      <c r="CU67" s="17">
        <f>CT67*VLOOKUP('Données projet'!$B$13,Paramètres!$A$1:$I$89,3,0)*VLOOKUP('Données projet'!$B$13,Paramètres!$A$1:$I$89,5,0)</f>
        <v>238.74551999999991</v>
      </c>
      <c r="CV67" s="13">
        <f t="shared" si="41"/>
        <v>58.169540730060781</v>
      </c>
      <c r="CW67" s="20">
        <f t="shared" si="13"/>
        <v>517.12706410485578</v>
      </c>
      <c r="CX67" s="59">
        <f t="shared" si="14"/>
        <v>802.38497252126899</v>
      </c>
      <c r="CY67" s="59">
        <f ca="1">AVERAGE(OFFSET($CX$3,0,0,'Données projet'!$E$13+1,1))-AVERAGE(OFFSET($H$3,0,0,'Données projet'!$E$13+1,1))</f>
        <v>445.38112098358147</v>
      </c>
      <c r="CZ67" s="59">
        <f t="shared" si="42"/>
        <v>272.45883568548516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11.922043886060573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11.922043886060573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67.797611386294491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7.2</v>
      </c>
      <c r="DO67" s="12">
        <f>IF('Données projet'!$A$166&gt;35,DO66+DN67-DW66,IF(A67&lt;'Données projet'!$A$166,$DL$205^A67,IF(A67='Données projet'!$A$166,'Données projet'!$B$166,DO66+DN67-DW66)))</f>
        <v>221.79999999999995</v>
      </c>
      <c r="DP67" s="17">
        <f>DO67*VLOOKUP('Données projet'!$B$14,Paramètres!$A$1:$I$89,3,0)*VLOOKUP('Données projet'!$B$14,Paramètres!$A$1:$I$89,5,0)</f>
        <v>214.52495999999994</v>
      </c>
      <c r="DQ67" s="13">
        <f t="shared" si="43"/>
        <v>52.923173099085716</v>
      </c>
      <c r="DR67" s="20">
        <f t="shared" si="16"/>
        <v>465.80549848090754</v>
      </c>
      <c r="DS67" s="59">
        <f t="shared" si="17"/>
        <v>751.06340689732065</v>
      </c>
      <c r="DT67" s="59">
        <f ca="1">AVERAGE(OFFSET($DS$3,0,0,'Données projet'!$E$14+1,1))-AVERAGE(OFFSET($H$3,0,0,'Données projet'!$E$14+1,1))</f>
        <v>405.29179902613089</v>
      </c>
      <c r="DU67" s="59">
        <f t="shared" si="44"/>
        <v>249.61049717638238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10.712561172981966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10.712561172981966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67.797611386294491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15.515714285714287</v>
      </c>
      <c r="EJ67" s="12">
        <f>IF('Données projet'!$A$192&gt;35,EJ66+EI67-ER66,IF(A67&lt;'Données projet'!$A$192,$EG$205^A67,IF(A67='Données projet'!$A$192,'Données projet'!$B$192,EJ66+EI67-ER66)))</f>
        <v>599.32857142857131</v>
      </c>
      <c r="EK67" s="17">
        <f>EJ67*VLOOKUP('Données projet'!$B$15,Paramètres!$A$1:$I$89,3,0)*VLOOKUP('Données projet'!$B$15,Paramètres!$A$1:$I$89,5,0)</f>
        <v>358.3984857142857</v>
      </c>
      <c r="EL67" s="13">
        <f t="shared" si="45"/>
        <v>83.289452865023264</v>
      </c>
      <c r="EM67" s="20">
        <f t="shared" si="19"/>
        <v>769.2731596922963</v>
      </c>
      <c r="EN67" s="59">
        <f t="shared" si="20"/>
        <v>1054.5310681087094</v>
      </c>
      <c r="EO67" s="59">
        <f ca="1">AVERAGE(OFFSET($EN$3,0,0,'Données projet'!$E$15+1,1))-AVERAGE(OFFSET($H$3,0,0,'Données projet'!$E$15+1,1))</f>
        <v>444.77624981561257</v>
      </c>
      <c r="EP67" s="59">
        <f t="shared" si="46"/>
        <v>382.10319641527587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30.923995480627845</v>
      </c>
      <c r="EW67" s="21">
        <f>EXP(-LN(2)/25)*EW66+(1-EXP(-LN(2)/25))/(LN(2)/25)*Calculateur!ER67*Calculateur!ET67*VLOOKUP('Données projet'!$B$15,Paramètres!$A$1:$I$89,3,0)*0.475*44/12</f>
        <v>24.492380205199254</v>
      </c>
      <c r="EX67" s="21">
        <f>EXP(-LN(2)/2)*EX66+(1-EXP(-LN(2)/2))/(LN(2)/2)*ER67*EU67*VLOOKUP('Données projet'!$B$15,Paramètres!$A$1:$I$89,3,0)*0.475*44/12</f>
        <v>0.61975022738696173</v>
      </c>
      <c r="EY67" s="22">
        <f t="shared" si="21"/>
        <v>56.036125913214057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67.797611386294491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17.600000000000001</v>
      </c>
      <c r="FE67" s="12">
        <f>IF('Données projet'!$A$218&gt;35,FE66+FD67-FM66,IF(A67&lt;'Données projet'!$A$218,$FB$205^A67,IF(A67='Données projet'!$A$218,'Données projet'!$B$218,FE66+FD67-FM66)))</f>
        <v>860.4000000000002</v>
      </c>
      <c r="FF67" s="17">
        <f>FE67*VLOOKUP('Données projet'!$B$16,Paramètres!$A$1:$I$89,3,0)*VLOOKUP('Données projet'!$B$16,Paramètres!$A$1:$I$89,5,0)</f>
        <v>380.29680000000019</v>
      </c>
      <c r="FG67" s="13">
        <f t="shared" si="47"/>
        <v>87.770476682637394</v>
      </c>
      <c r="FH67" s="20">
        <f t="shared" si="22"/>
        <v>815.21717355559383</v>
      </c>
      <c r="FI67" s="59">
        <f t="shared" si="23"/>
        <v>1100.475081972007</v>
      </c>
      <c r="FJ67" s="59">
        <f ca="1">AVERAGE(OFFSET($FI$3,0,0,'Données projet'!$E$16+1,1))-AVERAGE(OFFSET($H$3,0,0,'Données projet'!$E$16+1,1))</f>
        <v>508.71179785154317</v>
      </c>
      <c r="FK67" s="59">
        <f t="shared" si="48"/>
        <v>422.73937290731442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20.174319225929846</v>
      </c>
      <c r="FR67" s="21">
        <f>EXP(-LN(2)/25)*FR66+(1-EXP(-LN(2)/25))/(LN(2)/25)*Calculateur!FM67*Calculateur!FO67*VLOOKUP('Données projet'!$B$16,Paramètres!$A$1:$I$89,3,0)*0.475*44/12</f>
        <v>48.357925252886496</v>
      </c>
      <c r="FS67" s="21">
        <f>EXP(-LN(2)/2)*FS66+(1-EXP(-LN(2)/2))/(LN(2)/2)*FM67*FP67*VLOOKUP('Données projet'!$B$16,Paramètres!$A$1:$I$89,3,0)*0.475*44/12</f>
        <v>1.8590633745770908</v>
      </c>
      <c r="FT67" s="22">
        <f t="shared" si="24"/>
        <v>70.391307853393428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67.797611386294491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67.797611386294491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1.35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4.95</v>
      </c>
      <c r="H68" s="67">
        <f t="shared" ref="H68:H131" si="56">(B68+E68+F68)*44/12+(C68+D68)*0.475*44/12</f>
        <v>236.86666666666665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67.835817904938978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289</v>
      </c>
      <c r="L68" s="12">
        <f>VLOOKUP(A68,'Données projet'!$A$35:$I$55,9,0)</f>
        <v>8.8000000000000007</v>
      </c>
      <c r="M68" s="12">
        <f t="array" ref="M68">INDEX(L:L,MIN(IF(ISNUMBER(L68:L264),ROW(L68:L264),"")))</f>
        <v>8.8000000000000007</v>
      </c>
      <c r="N68" s="13">
        <f>IF('Données projet'!$A$36&gt;35,N67+M68-V67,IF(A68&lt;'Données projet'!$A$36,$K$205^A68,IF(A68='Données projet'!$A$36,'Données projet'!$B$36,N67+M68-V67)))</f>
        <v>288.99999999999994</v>
      </c>
      <c r="O68" s="13">
        <f>N68*VLOOKUP('Données projet'!$B$9,Paramètres!$A$1:$I$89,3,0)*VLOOKUP('Données projet'!$B$9,Paramètres!$A$1:$I$89,5,0)</f>
        <v>261.48719999999992</v>
      </c>
      <c r="P68" s="13">
        <f t="shared" si="33"/>
        <v>63.039283586802391</v>
      </c>
      <c r="Q68" s="20">
        <f t="shared" si="54"/>
        <v>565.21695891368074</v>
      </c>
      <c r="R68" s="59">
        <f t="shared" si="55"/>
        <v>850.61495789845708</v>
      </c>
      <c r="S68" s="59">
        <f ca="1">AVERAGE(OFFSET($R$3,0,0,'Données projet'!$E$9+1,1))-AVERAGE(OFFSET($H$3,0,0,'Données projet'!$E$9+1,1))</f>
        <v>466.90449882701591</v>
      </c>
      <c r="T68" s="59">
        <f t="shared" si="34"/>
        <v>283.37641704892053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28</v>
      </c>
      <c r="W68" s="16">
        <f>IF(ISNA(VLOOKUP(A68,'Données projet'!$A$35:$I$55,5,0)),0%,VLOOKUP(A68,'Données projet'!$A$35:$I$55,5,0)*VLOOKUP('Données projet'!$B$9,Paramètres!$A$1:$I$89,7,0))</f>
        <v>0.17200000000000001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17.916991216932722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17.916991216932722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67.835817904938978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229</v>
      </c>
      <c r="AG68" s="12">
        <f>VLOOKUP(A68,'Données projet'!$A$61:$I$81,9,0)</f>
        <v>7.2</v>
      </c>
      <c r="AH68" s="12">
        <f t="array" ref="AH68">INDEX(AG:AG,MIN(IF(ISNUMBER(AG68:AG264),ROW(AG68:AG264),"")))</f>
        <v>7.2</v>
      </c>
      <c r="AI68" s="13">
        <f>IF('Données projet'!$A$62&gt;35,AI67+AH68-AQ67,IF(A68&lt;'Données projet'!$A$62,$AF$205^A68,IF(A68='Données projet'!$A$62,'Données projet'!$B$62,AI67+AH68-AQ67)))</f>
        <v>228.99999999999994</v>
      </c>
      <c r="AJ68" s="13">
        <f>AI68*VLOOKUP('Données projet'!$B$10,Paramètres!$A$1:$I$89,3,0)*VLOOKUP('Données projet'!$B$10,Paramètres!$A$1:$I$89,5,0)</f>
        <v>217.91639999999995</v>
      </c>
      <c r="AK68" s="13">
        <f t="shared" si="35"/>
        <v>53.661775051402536</v>
      </c>
      <c r="AL68" s="20">
        <f t="shared" ref="AL68:AL131" si="58">(AJ68+AK68)*0.475*44/12</f>
        <v>472.99865488119258</v>
      </c>
      <c r="AM68" s="59">
        <f t="shared" ref="AM68:AM131" si="59">AL68+(AD68+AE68)*44/12</f>
        <v>758.3966538659688</v>
      </c>
      <c r="AN68" s="59">
        <f ca="1">AVERAGE(OFFSET($AM$3,0,0,'Données projet'!$E$10+1,1))-AVERAGE(OFFSET($H$3,0,0,'Données projet'!$E$10+1,1))</f>
        <v>399.5572791581468</v>
      </c>
      <c r="AO68" s="59">
        <f t="shared" si="36"/>
        <v>246.34185986079777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21</v>
      </c>
      <c r="AR68" s="16">
        <f>IF(ISNA(VLOOKUP(A68,'Données projet'!$A$61:$I$81,5,0)),0%,VLOOKUP(A68,'Données projet'!$A$61:$I$81,5,0)*VLOOKUP('Données projet'!$B$10,Paramètres!$A$1:$I$89,7,0))</f>
        <v>0.17200000000000001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14.132799106459863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14.132799106459863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67.835817904938978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8.6666666666666661</v>
      </c>
      <c r="BD68" s="12">
        <f>IF('Données projet'!$A$88&gt;35,BD67+BC68-BL67,IF(A68&lt;'Données projet'!$A$88,$BA$205^A68,IF(A68='Données projet'!$A$88,'Données projet'!$B$88,BD67+BC68-BL67)))</f>
        <v>293.33333333333331</v>
      </c>
      <c r="BE68" s="13">
        <f>BD68*VLOOKUP('Données projet'!$B$11,Paramètres!$A$1:$I$89,3,0)*VLOOKUP('Données projet'!$B$11,Paramètres!$A$1:$I$89,5,0)</f>
        <v>228.79999999999998</v>
      </c>
      <c r="BF68" s="13">
        <f t="shared" si="37"/>
        <v>56.023134533701196</v>
      </c>
      <c r="BG68" s="20">
        <f t="shared" ref="BG68:BG131" si="61">(BE68+BF68)*0.475*44/12</f>
        <v>496.06695931286293</v>
      </c>
      <c r="BH68" s="59">
        <f t="shared" ref="BH68:BH131" si="62">BG68+(AY68+AZ68)*44/12</f>
        <v>781.46495829763921</v>
      </c>
      <c r="BI68" s="59">
        <f ca="1">AVERAGE(OFFSET($BH$3,0,0,'Données projet'!$E$11+1,1))-AVERAGE(OFFSET($H$3,0,0,'Données projet'!$E$11+1,1))</f>
        <v>294.23449029791681</v>
      </c>
      <c r="BJ68" s="59">
        <f t="shared" si="38"/>
        <v>288.64639202306159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22.85108158794727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22.85108158794727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67.835817904938978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229</v>
      </c>
      <c r="BW68" s="12">
        <f>VLOOKUP(A68,'Données projet'!$A$113:$I$133,9,0)</f>
        <v>7.2</v>
      </c>
      <c r="BX68" s="12">
        <f t="array" ref="BX68">INDEX(BW:BW,MIN(IF(ISNUMBER(BW68:BW264),ROW(BW68:BW264),"")))</f>
        <v>7.2</v>
      </c>
      <c r="BY68" s="12">
        <f>IF('Données projet'!$A$114&gt;35,BY67+BX68-CG67,IF(A68&lt;'Données projet'!$A$114,$BV$205^A68,IF(A68='Données projet'!$A$114,'Données projet'!$B$114,BY67+BX68-CG67)))</f>
        <v>228.99999999999994</v>
      </c>
      <c r="BZ68" s="13">
        <f>BY68*VLOOKUP('Données projet'!$B$12,Paramètres!$A$1:$I$89,3,0)*VLOOKUP('Données projet'!$B$12,Paramètres!$A$1:$I$89,5,0)</f>
        <v>246.49559999999994</v>
      </c>
      <c r="CA68" s="13">
        <f t="shared" si="39"/>
        <v>59.834910912017278</v>
      </c>
      <c r="CB68" s="20">
        <f t="shared" ref="CB68:CB131" si="64">(BZ68+CA68)*0.475*44/12</f>
        <v>533.52563983842992</v>
      </c>
      <c r="CC68" s="59">
        <f t="shared" ref="CC68:CC131" si="65">CB68+(BT68+BU68)*44/12</f>
        <v>818.92363882320615</v>
      </c>
      <c r="CD68" s="59">
        <f ca="1">AVERAGE(OFFSET($CC$3,0,0,'Données projet'!$E$12+1,1))-AVERAGE(OFFSET($H$3,0,0,'Données projet'!$E$12+1,1))</f>
        <v>445.38112098358147</v>
      </c>
      <c r="CE68" s="59">
        <f t="shared" si="40"/>
        <v>272.45883568548516</v>
      </c>
      <c r="CF68" s="15">
        <f>IF(ISNA(VLOOKUP(A68,'Données projet'!$A$113:$I$133,3,0)),0,VLOOKUP(A68,'Données projet'!$A$113:$I$133,3,0))</f>
        <v>10</v>
      </c>
      <c r="CG68" s="15">
        <f>IF(ISNA(VLOOKUP(A68,'Données projet'!$A$113:$I$133,4,0)),0,VLOOKUP(A68,'Données projet'!$A$113:$I$133,4,0))</f>
        <v>21</v>
      </c>
      <c r="CH68" s="16">
        <f>IF(ISNA(VLOOKUP(A68,'Données projet'!$A$113:$I$133,5,0)),0%,VLOOKUP(A68,'Données projet'!$A$113:$I$133,5,0)*VLOOKUP('Données projet'!$B$12,Paramètres!$A$1:$I$89,7,0))</f>
        <v>0.17200000000000001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15.986280956487384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15.986280956487384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67.835817904938978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229</v>
      </c>
      <c r="CR68" s="12">
        <f>VLOOKUP(A68,'Données projet'!$A$139:$I$159,9,0)</f>
        <v>7.2</v>
      </c>
      <c r="CS68" s="12">
        <f t="array" ref="CS68">INDEX(CR:CR,MIN(IF(ISNUMBER(CR68:CR264),ROW(CR68:CR264),"")))</f>
        <v>7.2</v>
      </c>
      <c r="CT68" s="12">
        <f>IF('Données projet'!$A$140&gt;35,CT67+CS68-DB67,IF(A68&lt;'Données projet'!$A$140,$CQ$205^A68,IF(A68='Données projet'!$A$140,'Données projet'!$B$140,CT67+CS68-DB67)))</f>
        <v>228.99999999999994</v>
      </c>
      <c r="CU68" s="17">
        <f>CT68*VLOOKUP('Données projet'!$B$13,Paramètres!$A$1:$I$89,3,0)*VLOOKUP('Données projet'!$B$13,Paramètres!$A$1:$I$89,5,0)</f>
        <v>246.49559999999994</v>
      </c>
      <c r="CV68" s="13">
        <f t="shared" si="41"/>
        <v>59.834910912017278</v>
      </c>
      <c r="CW68" s="20">
        <f t="shared" ref="CW68:CW131" si="67">(CU68+CV68)*0.475*44/12</f>
        <v>533.52563983842992</v>
      </c>
      <c r="CX68" s="59">
        <f t="shared" ref="CX68:CX131" si="68">CW68+(CO68+CP68)*44/12</f>
        <v>818.92363882320615</v>
      </c>
      <c r="CY68" s="59">
        <f ca="1">AVERAGE(OFFSET($CX$3,0,0,'Données projet'!$E$13+1,1))-AVERAGE(OFFSET($H$3,0,0,'Données projet'!$E$13+1,1))</f>
        <v>445.38112098358147</v>
      </c>
      <c r="CZ68" s="59">
        <f t="shared" si="42"/>
        <v>272.45883568548516</v>
      </c>
      <c r="DA68" s="15">
        <f>IF(ISNA(VLOOKUP(A68,'Données projet'!$A$139:$I$159,3,0)),0,VLOOKUP(A68,'Données projet'!$A$139:$I$159,3,0))</f>
        <v>10</v>
      </c>
      <c r="DB68" s="15">
        <f>IF(ISNA(VLOOKUP(A68,'Données projet'!$A$139:$I$159,4,0)),0,VLOOKUP(A68,'Données projet'!$A$139:$I$159,4,0))</f>
        <v>21</v>
      </c>
      <c r="DC68" s="16">
        <f>IF(ISNA(VLOOKUP(A68,'Données projet'!$A$139:$I$159,5,0)),0%,VLOOKUP(A68,'Données projet'!$A$139:$I$159,5,0)*VLOOKUP('Données projet'!$B$13,Paramètres!$A$1:$I$89,7,0))</f>
        <v>0.17200000000000001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15.986280956487384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15.986280956487384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67.835817904938978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229</v>
      </c>
      <c r="DM68" s="12">
        <f>VLOOKUP(A68,'Données projet'!$A$165:$I$185,9,0)</f>
        <v>7.2</v>
      </c>
      <c r="DN68" s="12">
        <f t="array" ref="DN68">INDEX(DM:DM,MIN(IF(ISNUMBER(DM68:DM264),ROW(DM68:DM264),"")))</f>
        <v>7.2</v>
      </c>
      <c r="DO68" s="12">
        <f>IF('Données projet'!$A$166&gt;35,DO67+DN68-DW67,IF(A68&lt;'Données projet'!$A$166,$DL$205^A68,IF(A68='Données projet'!$A$166,'Données projet'!$B$166,DO67+DN68-DW67)))</f>
        <v>228.99999999999994</v>
      </c>
      <c r="DP68" s="17">
        <f>DO68*VLOOKUP('Données projet'!$B$14,Paramètres!$A$1:$I$89,3,0)*VLOOKUP('Données projet'!$B$14,Paramètres!$A$1:$I$89,5,0)</f>
        <v>221.48879999999994</v>
      </c>
      <c r="DQ68" s="13">
        <f t="shared" si="43"/>
        <v>54.43834191952984</v>
      </c>
      <c r="DR68" s="20">
        <f t="shared" ref="DR68:DR131" si="70">(DP68+DQ68)*0.475*44/12</f>
        <v>480.57310550984772</v>
      </c>
      <c r="DS68" s="59">
        <f t="shared" ref="DS68:DS131" si="71">DR68+(DJ68+DK68)*44/12</f>
        <v>765.971104494624</v>
      </c>
      <c r="DT68" s="59">
        <f ca="1">AVERAGE(OFFSET($DS$3,0,0,'Données projet'!$E$14+1,1))-AVERAGE(OFFSET($H$3,0,0,'Données projet'!$E$14+1,1))</f>
        <v>405.29179902613089</v>
      </c>
      <c r="DU68" s="59">
        <f t="shared" si="44"/>
        <v>249.61049717638238</v>
      </c>
      <c r="DV68" s="15">
        <f>IF(ISNA(VLOOKUP(A68,'Données projet'!$A$165:$I$185,3,0)),0,VLOOKUP(A68,'Données projet'!$A$165:$I$185,3,0))</f>
        <v>10</v>
      </c>
      <c r="DW68" s="15">
        <f>IF(ISNA(VLOOKUP(A68,'Données projet'!$A$165:$I$185,4,0)),0,VLOOKUP(A68,'Données projet'!$A$165:$I$185,4,0))</f>
        <v>21</v>
      </c>
      <c r="DX68" s="16">
        <f>IF(ISNA(VLOOKUP(A68,'Données projet'!$A$165:$I$185,5,0)),0%,VLOOKUP(A68,'Données projet'!$A$165:$I$185,5,0)*VLOOKUP('Données projet'!$B$14,Paramètres!$A$1:$I$89,7,0))</f>
        <v>0.17200000000000001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14.364484337713305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14.364484337713305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67.835817904938978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15.515714285714287</v>
      </c>
      <c r="EJ68" s="12">
        <f>IF('Données projet'!$A$192&gt;35,EJ67+EI68-ER67,IF(A68&lt;'Données projet'!$A$192,$EG$205^A68,IF(A68='Données projet'!$A$192,'Données projet'!$B$192,EJ67+EI68-ER67)))</f>
        <v>614.84428571428555</v>
      </c>
      <c r="EK68" s="17">
        <f>EJ68*VLOOKUP('Données projet'!$B$15,Paramètres!$A$1:$I$89,3,0)*VLOOKUP('Données projet'!$B$15,Paramètres!$A$1:$I$89,5,0)</f>
        <v>367.6768828571428</v>
      </c>
      <c r="EL68" s="13">
        <f t="shared" si="45"/>
        <v>85.191861843570578</v>
      </c>
      <c r="EM68" s="20">
        <f t="shared" ref="EM68:EM131" si="73">(EK68+EL68)*0.475*44/12</f>
        <v>788.74639702040906</v>
      </c>
      <c r="EN68" s="59">
        <f t="shared" ref="EN68:EN131" si="74">EM68+(EE68+EF68)*44/12</f>
        <v>1074.1443960051854</v>
      </c>
      <c r="EO68" s="59">
        <f ca="1">AVERAGE(OFFSET($EN$3,0,0,'Données projet'!$E$15+1,1))-AVERAGE(OFFSET($H$3,0,0,'Données projet'!$E$15+1,1))</f>
        <v>444.77624981561257</v>
      </c>
      <c r="EP68" s="59">
        <f t="shared" si="46"/>
        <v>382.10319641527587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30.317594791027531</v>
      </c>
      <c r="EW68" s="21">
        <f>EXP(-LN(2)/25)*EW67+(1-EXP(-LN(2)/25))/(LN(2)/25)*Calculateur!ER68*Calculateur!ET68*VLOOKUP('Données projet'!$B$15,Paramètres!$A$1:$I$89,3,0)*0.475*44/12</f>
        <v>23.822634780489782</v>
      </c>
      <c r="EX68" s="21">
        <f>EXP(-LN(2)/2)*EX67+(1-EXP(-LN(2)/2))/(LN(2)/2)*ER68*EU68*VLOOKUP('Données projet'!$B$15,Paramètres!$A$1:$I$89,3,0)*0.475*44/12</f>
        <v>0.43822958842722542</v>
      </c>
      <c r="EY68" s="22">
        <f t="shared" ref="EY68:EY131" si="75">SUM(EV68:EX68)</f>
        <v>54.578459159944536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67.835817904938978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878</v>
      </c>
      <c r="FC68" s="12">
        <f>VLOOKUP(A68,'Données projet'!$A$217:$I$237,9,0)</f>
        <v>17.600000000000001</v>
      </c>
      <c r="FD68" s="12">
        <f t="array" ref="FD68">INDEX(FC:FC,MIN(IF(ISNUMBER(FC68:FC264),ROW(FC68:FC264),"")))</f>
        <v>17.600000000000001</v>
      </c>
      <c r="FE68" s="12">
        <f>IF('Données projet'!$A$218&gt;35,FE67+FD68-FM67,IF(A68&lt;'Données projet'!$A$218,$FB$205^A68,IF(A68='Données projet'!$A$218,'Données projet'!$B$218,FE67+FD68-FM67)))</f>
        <v>878.00000000000023</v>
      </c>
      <c r="FF68" s="17">
        <f>FE68*VLOOKUP('Données projet'!$B$16,Paramètres!$A$1:$I$89,3,0)*VLOOKUP('Données projet'!$B$16,Paramètres!$A$1:$I$89,5,0)</f>
        <v>388.07600000000014</v>
      </c>
      <c r="FG68" s="13">
        <f t="shared" si="47"/>
        <v>89.355015876818186</v>
      </c>
      <c r="FH68" s="20">
        <f t="shared" ref="FH68:FH131" si="76">(FF68+FG68)*0.475*44/12</f>
        <v>831.52568598545849</v>
      </c>
      <c r="FI68" s="59">
        <f t="shared" ref="FI68:FI131" si="77">FH68+(EZ68+FA68)*44/12</f>
        <v>1116.9236849702347</v>
      </c>
      <c r="FJ68" s="59">
        <f ca="1">AVERAGE(OFFSET($FI$3,0,0,'Données projet'!$E$16+1,1))-AVERAGE(OFFSET($H$3,0,0,'Données projet'!$E$16+1,1))</f>
        <v>508.71179785154317</v>
      </c>
      <c r="FK68" s="59">
        <f t="shared" si="48"/>
        <v>422.73937290731442</v>
      </c>
      <c r="FL68" s="15">
        <f>IF(ISNA(VLOOKUP(A68,'Données projet'!$A$217:$I$237,3,0)),0,VLOOKUP(A68,'Données projet'!$A$217:$I$237,3,0))</f>
        <v>11</v>
      </c>
      <c r="FM68" s="15">
        <f>IF(ISNA(VLOOKUP(A68,'Données projet'!$A$217:$I$237,4,0)),0,VLOOKUP(A68,'Données projet'!$A$217:$I$237,4,0))</f>
        <v>40</v>
      </c>
      <c r="FN68" s="16">
        <f>IF(ISNA(VLOOKUP(A68,'Données projet'!$A$217:$I$237,5,0)),0%,VLOOKUP(A68,'Données projet'!$A$217:$I$237,5,0)*VLOOKUP('Données projet'!$B$16,Paramètres!$A$1:$I$89,7,0))</f>
        <v>0.33</v>
      </c>
      <c r="FO68" s="16">
        <f>IF(ISNA(VLOOKUP(A68,'Données projet'!$A$217:$I$237,6,0)),0%,VLOOKUP(A68,'Données projet'!$A$217:$I$237,6,0)*VLOOKUP('Données projet'!$B$16,Paramètres!$A$1:$I$89,7,0))</f>
        <v>0.12100000000000001</v>
      </c>
      <c r="FP68" s="16">
        <f>IF(ISNA(VLOOKUP(A68,'Données projet'!$A$217:$I$237,7,0)),0%,VLOOKUP(A68,'Données projet'!$A$217:$I$237,7,0))</f>
        <v>0.18</v>
      </c>
      <c r="FQ68" s="21">
        <f>EXP(-LN(2)/35)*FQ67+(1-EXP(-LN(2)/35))/(LN(2)/35)*FM68*FN68*VLOOKUP('Données projet'!$B$16,Paramètres!$A$1:$I$89,3,0)*0.475*44/12</f>
        <v>27.518420789845514</v>
      </c>
      <c r="FR68" s="21">
        <f>EXP(-LN(2)/25)*FR67+(1-EXP(-LN(2)/25))/(LN(2)/25)*Calculateur!FM68*Calculateur!FO68*VLOOKUP('Données projet'!$B$16,Paramètres!$A$1:$I$89,3,0)*0.475*44/12</f>
        <v>49.862294186738303</v>
      </c>
      <c r="FS68" s="21">
        <f>EXP(-LN(2)/2)*FS67+(1-EXP(-LN(2)/2))/(LN(2)/2)*FM68*FP68*VLOOKUP('Données projet'!$B$16,Paramètres!$A$1:$I$89,3,0)*0.475*44/12</f>
        <v>4.9177723824672341</v>
      </c>
      <c r="FT68" s="22">
        <f t="shared" ref="FT68:FT131" si="78">SUM(FQ68:FS68)</f>
        <v>82.298487359051052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67.835817904938978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67.835817904938978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1.35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4.95</v>
      </c>
      <c r="H69" s="67">
        <f t="shared" si="56"/>
        <v>236.86666666666665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67.873361625901964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8.1999999999999993</v>
      </c>
      <c r="N69" s="13">
        <f>IF('Données projet'!$A$36&gt;35,N68+M69-V68,IF(A69&lt;'Données projet'!$A$36,$K$205^A69,IF(A69='Données projet'!$A$36,'Données projet'!$B$36,N68+M69-V68)))</f>
        <v>269.19999999999993</v>
      </c>
      <c r="O69" s="13">
        <f>N69*VLOOKUP('Données projet'!$B$9,Paramètres!$A$1:$I$89,3,0)*VLOOKUP('Données projet'!$B$9,Paramètres!$A$1:$I$89,5,0)</f>
        <v>243.57215999999991</v>
      </c>
      <c r="P69" s="13">
        <f t="shared" ref="P69:P132" si="87">EXP(-1.0587+0.8836*LN(O69)+0.284)</f>
        <v>59.207435995642292</v>
      </c>
      <c r="Q69" s="20">
        <f t="shared" si="54"/>
        <v>527.34112969241005</v>
      </c>
      <c r="R69" s="59">
        <f t="shared" si="55"/>
        <v>812.87678898738386</v>
      </c>
      <c r="S69" s="59">
        <f ca="1">AVERAGE(OFFSET($R$3,0,0,'Données projet'!$E$9+1,1))-AVERAGE(OFFSET($H$3,0,0,'Données projet'!$E$9+1,1))</f>
        <v>466.90449882701591</v>
      </c>
      <c r="T69" s="59">
        <f t="shared" ref="T69:T132" si="88">$T$3</f>
        <v>283.37641704892053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17.565649947454236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17.565649947454236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67.873361625901964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6.8</v>
      </c>
      <c r="AI69" s="13">
        <f>IF('Données projet'!$A$62&gt;35,AI68+AH69-AQ68,IF(A69&lt;'Données projet'!$A$62,$AF$205^A69,IF(A69='Données projet'!$A$62,'Données projet'!$B$62,AI68+AH69-AQ68)))</f>
        <v>214.79999999999995</v>
      </c>
      <c r="AJ69" s="13">
        <f>AI69*VLOOKUP('Données projet'!$B$10,Paramètres!$A$1:$I$89,3,0)*VLOOKUP('Données projet'!$B$10,Paramètres!$A$1:$I$89,5,0)</f>
        <v>204.40367999999995</v>
      </c>
      <c r="AK69" s="13">
        <f t="shared" ref="AK69:AK132" si="89">EXP(-1.0587+0.8836*LN(AJ69)+0.284)</f>
        <v>50.710733146553501</v>
      </c>
      <c r="AL69" s="20">
        <f t="shared" si="58"/>
        <v>444.32426956358057</v>
      </c>
      <c r="AM69" s="59">
        <f t="shared" si="59"/>
        <v>729.85992885855444</v>
      </c>
      <c r="AN69" s="59">
        <f ca="1">AVERAGE(OFFSET($AM$3,0,0,'Données projet'!$E$10+1,1))-AVERAGE(OFFSET($H$3,0,0,'Données projet'!$E$10+1,1))</f>
        <v>399.5572791581468</v>
      </c>
      <c r="AO69" s="59">
        <f t="shared" ref="AO69:AO132" si="90">$AO$3</f>
        <v>246.34185986079777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13.85566353613847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13.85566353613847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67.873361625901964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8.6666666666666661</v>
      </c>
      <c r="BD69" s="12">
        <f>IF('Données projet'!$A$88&gt;35,BD68+BC69-BL68,IF(A69&lt;'Données projet'!$A$88,$BA$205^A69,IF(A69='Données projet'!$A$88,'Données projet'!$B$88,BD68+BC69-BL68)))</f>
        <v>302</v>
      </c>
      <c r="BE69" s="13">
        <f>BD69*VLOOKUP('Données projet'!$B$11,Paramètres!$A$1:$I$89,3,0)*VLOOKUP('Données projet'!$B$11,Paramètres!$A$1:$I$89,5,0)</f>
        <v>235.56</v>
      </c>
      <c r="BF69" s="13">
        <f t="shared" ref="BF69:BF132" si="91">EXP(-1.0587+0.8836*LN(BE69)+0.284)</f>
        <v>57.483207143847721</v>
      </c>
      <c r="BG69" s="20">
        <f t="shared" si="61"/>
        <v>510.38358577553481</v>
      </c>
      <c r="BH69" s="59">
        <f t="shared" si="62"/>
        <v>795.91924507050862</v>
      </c>
      <c r="BI69" s="59">
        <f ca="1">AVERAGE(OFFSET($BH$3,0,0,'Données projet'!$E$11+1,1))-AVERAGE(OFFSET($H$3,0,0,'Données projet'!$E$11+1,1))</f>
        <v>294.23449029791681</v>
      </c>
      <c r="BJ69" s="59">
        <f t="shared" ref="BJ69:BJ132" si="92">$BJ$3</f>
        <v>288.64639202306159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22.402985815791151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22.402985815791151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67.873361625901964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6.8</v>
      </c>
      <c r="BY69" s="12">
        <f>IF('Données projet'!$A$114&gt;35,BY68+BX69-CG68,IF(A69&lt;'Données projet'!$A$114,$BV$205^A69,IF(A69='Données projet'!$A$114,'Données projet'!$B$114,BY68+BX69-CG68)))</f>
        <v>214.79999999999995</v>
      </c>
      <c r="BZ69" s="13">
        <f>BY69*VLOOKUP('Données projet'!$B$12,Paramètres!$A$1:$I$89,3,0)*VLOOKUP('Données projet'!$B$12,Paramètres!$A$1:$I$89,5,0)</f>
        <v>231.21071999999995</v>
      </c>
      <c r="CA69" s="13">
        <f t="shared" ref="CA69:CA132" si="93">EXP(-1.0587+0.8836*LN(BZ69)+0.284)</f>
        <v>56.544387456445222</v>
      </c>
      <c r="CB69" s="20">
        <f t="shared" si="64"/>
        <v>501.17347881997534</v>
      </c>
      <c r="CC69" s="59">
        <f t="shared" si="65"/>
        <v>786.70913811494916</v>
      </c>
      <c r="CD69" s="59">
        <f ca="1">AVERAGE(OFFSET($CC$3,0,0,'Données projet'!$E$12+1,1))-AVERAGE(OFFSET($H$3,0,0,'Données projet'!$E$12+1,1))</f>
        <v>445.38112098358147</v>
      </c>
      <c r="CE69" s="59">
        <f t="shared" ref="CE69:CE132" si="94">$CE$3</f>
        <v>272.45883568548516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15.672799737599252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15.672799737599252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67.873361625901964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6.8</v>
      </c>
      <c r="CT69" s="12">
        <f>IF('Données projet'!$A$140&gt;35,CT68+CS69-DB68,IF(A69&lt;'Données projet'!$A$140,$CQ$205^A69,IF(A69='Données projet'!$A$140,'Données projet'!$B$140,CT68+CS69-DB68)))</f>
        <v>214.79999999999995</v>
      </c>
      <c r="CU69" s="17">
        <f>CT69*VLOOKUP('Données projet'!$B$13,Paramètres!$A$1:$I$89,3,0)*VLOOKUP('Données projet'!$B$13,Paramètres!$A$1:$I$89,5,0)</f>
        <v>231.21071999999995</v>
      </c>
      <c r="CV69" s="13">
        <f t="shared" ref="CV69:CV132" si="95">EXP(-1.0587+0.8836*LN(CU69)+0.284)</f>
        <v>56.544387456445222</v>
      </c>
      <c r="CW69" s="20">
        <f t="shared" si="67"/>
        <v>501.17347881997534</v>
      </c>
      <c r="CX69" s="59">
        <f t="shared" si="68"/>
        <v>786.70913811494916</v>
      </c>
      <c r="CY69" s="59">
        <f ca="1">AVERAGE(OFFSET($CX$3,0,0,'Données projet'!$E$13+1,1))-AVERAGE(OFFSET($H$3,0,0,'Données projet'!$E$13+1,1))</f>
        <v>445.38112098358147</v>
      </c>
      <c r="CZ69" s="59">
        <f t="shared" ref="CZ69:CZ132" si="96">$CZ$3</f>
        <v>272.45883568548516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15.672799737599252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15.672799737599252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67.873361625901964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6.8</v>
      </c>
      <c r="DO69" s="12">
        <f>IF('Données projet'!$A$166&gt;35,DO68+DN69-DW68,IF(A69&lt;'Données projet'!$A$166,$DL$205^A69,IF(A69='Données projet'!$A$166,'Données projet'!$B$166,DO68+DN69-DW68)))</f>
        <v>214.79999999999995</v>
      </c>
      <c r="DP69" s="17">
        <f>DO69*VLOOKUP('Données projet'!$B$14,Paramètres!$A$1:$I$89,3,0)*VLOOKUP('Données projet'!$B$14,Paramètres!$A$1:$I$89,5,0)</f>
        <v>207.75455999999994</v>
      </c>
      <c r="DQ69" s="13">
        <f t="shared" ref="DQ69:DQ132" si="97">EXP(-1.0587+0.8836*LN(DP69)+0.284)</f>
        <v>51.444593984782131</v>
      </c>
      <c r="DR69" s="20">
        <f t="shared" si="70"/>
        <v>451.43852652349545</v>
      </c>
      <c r="DS69" s="59">
        <f t="shared" si="71"/>
        <v>736.97418581846932</v>
      </c>
      <c r="DT69" s="59">
        <f ca="1">AVERAGE(OFFSET($DS$3,0,0,'Données projet'!$E$14+1,1))-AVERAGE(OFFSET($H$3,0,0,'Données projet'!$E$14+1,1))</f>
        <v>405.29179902613089</v>
      </c>
      <c r="DU69" s="59">
        <f t="shared" ref="DU69:DU132" si="98">$DU$3</f>
        <v>249.61049717638238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14.08280556132107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14.08280556132107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67.873361625901964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>
        <f>VLOOKUP(A69,'Données projet'!$A$191:$I$211,2,0)</f>
        <v>630.36</v>
      </c>
      <c r="EH69" s="12">
        <f>VLOOKUP(A69,'Données projet'!$A$191:$I$211,9,0)</f>
        <v>15.515714285714287</v>
      </c>
      <c r="EI69" s="12">
        <f t="array" ref="EI69">INDEX(EH:EH,MIN(IF(ISNUMBER(EH69:EH265),ROW(EH69:EH265),"")))</f>
        <v>15.515714285714287</v>
      </c>
      <c r="EJ69" s="12">
        <f>IF('Données projet'!$A$192&gt;35,EJ68+EI69-ER68,IF(A69&lt;'Données projet'!$A$192,$EG$205^A69,IF(A69='Données projet'!$A$192,'Données projet'!$B$192,EJ68+EI69-ER68)))</f>
        <v>630.35999999999979</v>
      </c>
      <c r="EK69" s="17">
        <f>EJ69*VLOOKUP('Données projet'!$B$15,Paramètres!$A$1:$I$89,3,0)*VLOOKUP('Données projet'!$B$15,Paramètres!$A$1:$I$89,5,0)</f>
        <v>376.95527999999996</v>
      </c>
      <c r="EL69" s="13">
        <f t="shared" ref="EL69:EL132" si="99">EXP(-1.0587+0.8836*LN(EK69)+0.284)</f>
        <v>87.088690303924849</v>
      </c>
      <c r="EM69" s="20">
        <f t="shared" si="73"/>
        <v>808.20991494600241</v>
      </c>
      <c r="EN69" s="59">
        <f t="shared" si="74"/>
        <v>1093.7455742409763</v>
      </c>
      <c r="EO69" s="59">
        <f ca="1">AVERAGE(OFFSET($EN$3,0,0,'Données projet'!$E$15+1,1))-AVERAGE(OFFSET($H$3,0,0,'Données projet'!$E$15+1,1))</f>
        <v>444.77624981561257</v>
      </c>
      <c r="EP69" s="59">
        <f t="shared" ref="EP69:EP132" si="100">$EP$3</f>
        <v>382.10319641527587</v>
      </c>
      <c r="EQ69" s="15">
        <f>IF(ISNA(VLOOKUP(A69,'Données projet'!$A$191:$I$211,3,0)),0,VLOOKUP(A69,'Données projet'!$A$191:$I$211,3,0))</f>
        <v>13</v>
      </c>
      <c r="ER69" s="15">
        <f>IF(ISNA(VLOOKUP(A69,'Données projet'!$A$191:$I$211,4,0)),0,VLOOKUP(A69,'Données projet'!$A$191:$I$211,4,0))</f>
        <v>87</v>
      </c>
      <c r="ES69" s="16">
        <f>IF(ISNA(VLOOKUP(A69,'Données projet'!$A$191:$I$211,5,0)),0%,VLOOKUP(A69,'Données projet'!$A$191:$I$211,5,0)*VLOOKUP('Données projet'!$B$15,Paramètres!$A$1:$I$89,7,0))</f>
        <v>0.36000000000000004</v>
      </c>
      <c r="ET69" s="16">
        <f>IF(ISNA(VLOOKUP(A69,'Données projet'!$A$191:$I$211,6,0)),0%,VLOOKUP(A69,'Données projet'!$A$191:$I$211,6,0)*VLOOKUP('Données projet'!$B$15,Paramètres!$A$1:$I$89,7,0))</f>
        <v>4.9500000000000002E-2</v>
      </c>
      <c r="EU69" s="16">
        <f>IF(ISNA(VLOOKUP(A69,'Données projet'!$A$191:$I$211,7,0)),0%,VLOOKUP(A69,'Données projet'!$A$191:$I$211,7,0))</f>
        <v>0.09</v>
      </c>
      <c r="EV69" s="21">
        <f>EXP(-LN(2)/35)*EV68+(1-EXP(-LN(2)/35))/(LN(2)/35)*ER69*ES69*VLOOKUP('Données projet'!$B$15,Paramètres!$A$1:$I$89,3,0)*0.475*44/12</f>
        <v>54.568788498213493</v>
      </c>
      <c r="EW69" s="21">
        <f>EXP(-LN(2)/25)*EW68+(1-EXP(-LN(2)/25))/(LN(2)/25)*Calculateur!ER69*Calculateur!ET69*VLOOKUP('Données projet'!$B$15,Paramètres!$A$1:$I$89,3,0)*0.475*44/12</f>
        <v>26.574036563805947</v>
      </c>
      <c r="EX69" s="21">
        <f>EXP(-LN(2)/2)*EX68+(1-EXP(-LN(2)/2))/(LN(2)/2)*ER69*EU69*VLOOKUP('Données projet'!$B$15,Paramètres!$A$1:$I$89,3,0)*0.475*44/12</f>
        <v>5.611371689693553</v>
      </c>
      <c r="EY69" s="22">
        <f t="shared" si="75"/>
        <v>86.754196751712996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67.873361625901964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14.6</v>
      </c>
      <c r="FE69" s="12">
        <f>IF('Données projet'!$A$218&gt;35,FE68+FD69-FM68,IF(A69&lt;'Données projet'!$A$218,$FB$205^A69,IF(A69='Données projet'!$A$218,'Données projet'!$B$218,FE68+FD69-FM68)))</f>
        <v>852.60000000000025</v>
      </c>
      <c r="FF69" s="17">
        <f>FE69*VLOOKUP('Données projet'!$B$16,Paramètres!$A$1:$I$89,3,0)*VLOOKUP('Données projet'!$B$16,Paramètres!$A$1:$I$89,5,0)</f>
        <v>376.84920000000017</v>
      </c>
      <c r="FG69" s="13">
        <f t="shared" ref="FG69:FG132" si="101">EXP(-1.0587+0.8836*LN(FF69)+0.284)</f>
        <v>87.067034801683633</v>
      </c>
      <c r="FH69" s="20">
        <f t="shared" si="76"/>
        <v>807.98744227959924</v>
      </c>
      <c r="FI69" s="59">
        <f t="shared" si="77"/>
        <v>1093.523101574573</v>
      </c>
      <c r="FJ69" s="59">
        <f ca="1">AVERAGE(OFFSET($FI$3,0,0,'Données projet'!$E$16+1,1))-AVERAGE(OFFSET($H$3,0,0,'Données projet'!$E$16+1,1))</f>
        <v>508.71179785154317</v>
      </c>
      <c r="FK69" s="59">
        <f t="shared" ref="FK69:FK132" si="102">$FK$3</f>
        <v>422.73937290731442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26.978801342735984</v>
      </c>
      <c r="FR69" s="21">
        <f>EXP(-LN(2)/25)*FR68+(1-EXP(-LN(2)/25))/(LN(2)/25)*Calculateur!FM69*Calculateur!FO69*VLOOKUP('Données projet'!$B$16,Paramètres!$A$1:$I$89,3,0)*0.475*44/12</f>
        <v>48.498807130057855</v>
      </c>
      <c r="FS69" s="21">
        <f>EXP(-LN(2)/2)*FS68+(1-EXP(-LN(2)/2))/(LN(2)/2)*FM69*FP69*VLOOKUP('Données projet'!$B$16,Paramètres!$A$1:$I$89,3,0)*0.475*44/12</f>
        <v>3.4773901999745052</v>
      </c>
      <c r="FT69" s="22">
        <f t="shared" si="78"/>
        <v>78.95499867276834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67.873361625901964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67.873361625901964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1.35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4.95</v>
      </c>
      <c r="H70" s="67">
        <f t="shared" si="56"/>
        <v>236.86666666666665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67.910254047241423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8.1999999999999993</v>
      </c>
      <c r="N70" s="13">
        <f>IF('Données projet'!$A$36&gt;35,N69+M70-V69,IF(A70&lt;'Données projet'!$A$36,$K$205^A70,IF(A70='Données projet'!$A$36,'Données projet'!$B$36,N69+M70-V69)))</f>
        <v>277.39999999999992</v>
      </c>
      <c r="O70" s="13">
        <f>N70*VLOOKUP('Données projet'!$B$9,Paramètres!$A$1:$I$89,3,0)*VLOOKUP('Données projet'!$B$9,Paramètres!$A$1:$I$89,5,0)</f>
        <v>250.99151999999992</v>
      </c>
      <c r="P70" s="13">
        <f t="shared" si="87"/>
        <v>60.798211000769349</v>
      </c>
      <c r="Q70" s="20">
        <f t="shared" si="54"/>
        <v>543.03378149300647</v>
      </c>
      <c r="R70" s="59">
        <f t="shared" si="55"/>
        <v>828.7047129995583</v>
      </c>
      <c r="S70" s="59">
        <f ca="1">AVERAGE(OFFSET($R$3,0,0,'Données projet'!$E$9+1,1))-AVERAGE(OFFSET($H$3,0,0,'Données projet'!$E$9+1,1))</f>
        <v>466.90449882701591</v>
      </c>
      <c r="T70" s="59">
        <f t="shared" si="88"/>
        <v>283.37641704892053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17.221198265973207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17.221198265973207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67.910254047241423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6.8</v>
      </c>
      <c r="AI70" s="13">
        <f>IF('Données projet'!$A$62&gt;35,AI69+AH70-AQ69,IF(A70&lt;'Données projet'!$A$62,$AF$205^A70,IF(A70='Données projet'!$A$62,'Données projet'!$B$62,AI69+AH70-AQ69)))</f>
        <v>221.59999999999997</v>
      </c>
      <c r="AJ70" s="13">
        <f>AI70*VLOOKUP('Données projet'!$B$10,Paramètres!$A$1:$I$89,3,0)*VLOOKUP('Données projet'!$B$10,Paramètres!$A$1:$I$89,5,0)</f>
        <v>210.87455999999997</v>
      </c>
      <c r="AK70" s="13">
        <f t="shared" si="89"/>
        <v>52.12665281185464</v>
      </c>
      <c r="AL70" s="20">
        <f t="shared" si="58"/>
        <v>458.06044564731337</v>
      </c>
      <c r="AM70" s="59">
        <f t="shared" si="59"/>
        <v>743.7313771538652</v>
      </c>
      <c r="AN70" s="59">
        <f ca="1">AVERAGE(OFFSET($AM$3,0,0,'Données projet'!$E$10+1,1))-AVERAGE(OFFSET($H$3,0,0,'Données projet'!$E$10+1,1))</f>
        <v>399.5572791581468</v>
      </c>
      <c r="AO70" s="59">
        <f t="shared" si="90"/>
        <v>246.34185986079777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13.583962425315073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13.583962425315073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67.910254047241423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8.6666666666666661</v>
      </c>
      <c r="BD70" s="12">
        <f>IF('Données projet'!$A$88&gt;35,BD69+BC70-BL69,IF(A70&lt;'Données projet'!$A$88,$BA$205^A70,IF(A70='Données projet'!$A$88,'Données projet'!$B$88,BD69+BC70-BL69)))</f>
        <v>310.66666666666669</v>
      </c>
      <c r="BE70" s="13">
        <f>BD70*VLOOKUP('Données projet'!$B$11,Paramètres!$A$1:$I$89,3,0)*VLOOKUP('Données projet'!$B$11,Paramètres!$A$1:$I$89,5,0)</f>
        <v>242.32000000000002</v>
      </c>
      <c r="BF70" s="13">
        <f t="shared" si="91"/>
        <v>58.938409961900859</v>
      </c>
      <c r="BG70" s="20">
        <f t="shared" si="61"/>
        <v>524.69173068364398</v>
      </c>
      <c r="BH70" s="59">
        <f t="shared" si="62"/>
        <v>810.36266219019581</v>
      </c>
      <c r="BI70" s="59">
        <f ca="1">AVERAGE(OFFSET($BH$3,0,0,'Données projet'!$E$11+1,1))-AVERAGE(OFFSET($H$3,0,0,'Données projet'!$E$11+1,1))</f>
        <v>294.23449029791681</v>
      </c>
      <c r="BJ70" s="59">
        <f t="shared" si="92"/>
        <v>288.64639202306159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21.96367692841558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21.96367692841558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67.910254047241423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6.8</v>
      </c>
      <c r="BY70" s="12">
        <f>IF('Données projet'!$A$114&gt;35,BY69+BX70-CG69,IF(A70&lt;'Données projet'!$A$114,$BV$205^A70,IF(A70='Données projet'!$A$114,'Données projet'!$B$114,BY69+BX70-CG69)))</f>
        <v>221.59999999999997</v>
      </c>
      <c r="BZ70" s="13">
        <f>BY70*VLOOKUP('Données projet'!$B$12,Paramètres!$A$1:$I$89,3,0)*VLOOKUP('Données projet'!$B$12,Paramètres!$A$1:$I$89,5,0)</f>
        <v>238.53023999999996</v>
      </c>
      <c r="CA70" s="13">
        <f t="shared" si="93"/>
        <v>58.123191492478547</v>
      </c>
      <c r="CB70" s="20">
        <f t="shared" si="64"/>
        <v>516.67139318273337</v>
      </c>
      <c r="CC70" s="59">
        <f t="shared" si="65"/>
        <v>802.34232468928531</v>
      </c>
      <c r="CD70" s="59">
        <f ca="1">AVERAGE(OFFSET($CC$3,0,0,'Données projet'!$E$12+1,1))-AVERAGE(OFFSET($H$3,0,0,'Données projet'!$E$12+1,1))</f>
        <v>445.38112098358147</v>
      </c>
      <c r="CE70" s="59">
        <f t="shared" si="94"/>
        <v>272.45883568548516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15.365465694208853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15.365465694208853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67.910254047241423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6.8</v>
      </c>
      <c r="CT70" s="12">
        <f>IF('Données projet'!$A$140&gt;35,CT69+CS70-DB69,IF(A70&lt;'Données projet'!$A$140,$CQ$205^A70,IF(A70='Données projet'!$A$140,'Données projet'!$B$140,CT69+CS70-DB69)))</f>
        <v>221.59999999999997</v>
      </c>
      <c r="CU70" s="17">
        <f>CT70*VLOOKUP('Données projet'!$B$13,Paramètres!$A$1:$I$89,3,0)*VLOOKUP('Données projet'!$B$13,Paramètres!$A$1:$I$89,5,0)</f>
        <v>238.53023999999996</v>
      </c>
      <c r="CV70" s="13">
        <f t="shared" si="95"/>
        <v>58.123191492478547</v>
      </c>
      <c r="CW70" s="20">
        <f t="shared" si="67"/>
        <v>516.67139318273337</v>
      </c>
      <c r="CX70" s="59">
        <f t="shared" si="68"/>
        <v>802.34232468928531</v>
      </c>
      <c r="CY70" s="59">
        <f ca="1">AVERAGE(OFFSET($CX$3,0,0,'Données projet'!$E$13+1,1))-AVERAGE(OFFSET($H$3,0,0,'Données projet'!$E$13+1,1))</f>
        <v>445.38112098358147</v>
      </c>
      <c r="CZ70" s="59">
        <f t="shared" si="96"/>
        <v>272.45883568548516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15.365465694208853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15.365465694208853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67.910254047241423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6.8</v>
      </c>
      <c r="DO70" s="12">
        <f>IF('Données projet'!$A$166&gt;35,DO69+DN70-DW69,IF(A70&lt;'Données projet'!$A$166,$DL$205^A70,IF(A70='Données projet'!$A$166,'Données projet'!$B$166,DO69+DN70-DW69)))</f>
        <v>221.59999999999997</v>
      </c>
      <c r="DP70" s="17">
        <f>DO70*VLOOKUP('Données projet'!$B$14,Paramètres!$A$1:$I$89,3,0)*VLOOKUP('Données projet'!$B$14,Paramètres!$A$1:$I$89,5,0)</f>
        <v>214.33151999999995</v>
      </c>
      <c r="DQ70" s="13">
        <f t="shared" si="97"/>
        <v>52.881004144461244</v>
      </c>
      <c r="DR70" s="20">
        <f t="shared" si="70"/>
        <v>465.39514621826993</v>
      </c>
      <c r="DS70" s="59">
        <f t="shared" si="71"/>
        <v>751.06607772482175</v>
      </c>
      <c r="DT70" s="59">
        <f ca="1">AVERAGE(OFFSET($DS$3,0,0,'Données projet'!$E$14+1,1))-AVERAGE(OFFSET($H$3,0,0,'Données projet'!$E$14+1,1))</f>
        <v>405.29179902613089</v>
      </c>
      <c r="DU70" s="59">
        <f t="shared" si="98"/>
        <v>249.61049717638238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13.806650333926797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13.806650333926797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67.910254047241423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12.550000000000011</v>
      </c>
      <c r="EJ70" s="12">
        <f>IF('Données projet'!$A$192&gt;35,EJ69+EI70-ER69,IF(A70&lt;'Données projet'!$A$192,$EG$205^A70,IF(A70='Données projet'!$A$192,'Données projet'!$B$192,EJ69+EI70-ER69)))</f>
        <v>555.90999999999985</v>
      </c>
      <c r="EK70" s="17">
        <f>EJ70*VLOOKUP('Données projet'!$B$15,Paramètres!$A$1:$I$89,3,0)*VLOOKUP('Données projet'!$B$15,Paramètres!$A$1:$I$89,5,0)</f>
        <v>332.43417999999997</v>
      </c>
      <c r="EL70" s="13">
        <f t="shared" si="99"/>
        <v>77.934758728161157</v>
      </c>
      <c r="EM70" s="20">
        <f t="shared" si="73"/>
        <v>714.72590161821392</v>
      </c>
      <c r="EN70" s="59">
        <f t="shared" si="74"/>
        <v>1000.3968331247659</v>
      </c>
      <c r="EO70" s="59">
        <f ca="1">AVERAGE(OFFSET($EN$3,0,0,'Données projet'!$E$15+1,1))-AVERAGE(OFFSET($H$3,0,0,'Données projet'!$E$15+1,1))</f>
        <v>444.77624981561257</v>
      </c>
      <c r="EP70" s="59">
        <f t="shared" si="100"/>
        <v>382.10319641527587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53.498727839438018</v>
      </c>
      <c r="EW70" s="21">
        <f>EXP(-LN(2)/25)*EW69+(1-EXP(-LN(2)/25))/(LN(2)/25)*Calculateur!ER70*Calculateur!ET70*VLOOKUP('Données projet'!$B$15,Paramètres!$A$1:$I$89,3,0)*0.475*44/12</f>
        <v>25.847368136500826</v>
      </c>
      <c r="EX70" s="21">
        <f>EXP(-LN(2)/2)*EX69+(1-EXP(-LN(2)/2))/(LN(2)/2)*ER70*EU70*VLOOKUP('Données projet'!$B$15,Paramètres!$A$1:$I$89,3,0)*0.475*44/12</f>
        <v>3.9678389735405268</v>
      </c>
      <c r="EY70" s="22">
        <f t="shared" si="75"/>
        <v>83.313934949479375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67.910254047241423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14.6</v>
      </c>
      <c r="FE70" s="12">
        <f>IF('Données projet'!$A$218&gt;35,FE69+FD70-FM69,IF(A70&lt;'Données projet'!$A$218,$FB$205^A70,IF(A70='Données projet'!$A$218,'Données projet'!$B$218,FE69+FD70-FM69)))</f>
        <v>867.20000000000027</v>
      </c>
      <c r="FF70" s="17">
        <f>FE70*VLOOKUP('Données projet'!$B$16,Paramètres!$A$1:$I$89,3,0)*VLOOKUP('Données projet'!$B$16,Paramètres!$A$1:$I$89,5,0)</f>
        <v>383.3024000000002</v>
      </c>
      <c r="FG70" s="13">
        <f t="shared" si="101"/>
        <v>88.383128112227695</v>
      </c>
      <c r="FH70" s="20">
        <f t="shared" si="76"/>
        <v>821.51896146213005</v>
      </c>
      <c r="FI70" s="59">
        <f t="shared" si="77"/>
        <v>1107.189892968682</v>
      </c>
      <c r="FJ70" s="59">
        <f ca="1">AVERAGE(OFFSET($FI$3,0,0,'Données projet'!$E$16+1,1))-AVERAGE(OFFSET($H$3,0,0,'Données projet'!$E$16+1,1))</f>
        <v>508.71179785154317</v>
      </c>
      <c r="FK70" s="59">
        <f t="shared" si="102"/>
        <v>422.73937290731442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26.44976350384891</v>
      </c>
      <c r="FR70" s="21">
        <f>EXP(-LN(2)/25)*FR69+(1-EXP(-LN(2)/25))/(LN(2)/25)*Calculateur!FM70*Calculateur!FO70*VLOOKUP('Données projet'!$B$16,Paramètres!$A$1:$I$89,3,0)*0.475*44/12</f>
        <v>47.172604698645003</v>
      </c>
      <c r="FS70" s="21">
        <f>EXP(-LN(2)/2)*FS69+(1-EXP(-LN(2)/2))/(LN(2)/2)*FM70*FP70*VLOOKUP('Données projet'!$B$16,Paramètres!$A$1:$I$89,3,0)*0.475*44/12</f>
        <v>2.4588861912336175</v>
      </c>
      <c r="FT70" s="22">
        <f t="shared" si="78"/>
        <v>76.081254393727534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67.910254047241423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67.910254047241423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1.35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4.95</v>
      </c>
      <c r="H71" s="67">
        <f t="shared" si="56"/>
        <v>236.86666666666665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67.946506467549753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8.1999999999999993</v>
      </c>
      <c r="N71" s="13">
        <f>IF('Données projet'!$A$36&gt;35,N70+M71-V70,IF(A71&lt;'Données projet'!$A$36,$K$205^A71,IF(A71='Données projet'!$A$36,'Données projet'!$B$36,N70+M71-V70)))</f>
        <v>285.59999999999991</v>
      </c>
      <c r="O71" s="13">
        <f>N71*VLOOKUP('Données projet'!$B$9,Paramètres!$A$1:$I$89,3,0)*VLOOKUP('Données projet'!$B$9,Paramètres!$A$1:$I$89,5,0)</f>
        <v>258.41087999999991</v>
      </c>
      <c r="P71" s="13">
        <f t="shared" si="87"/>
        <v>62.383521020316756</v>
      </c>
      <c r="Q71" s="20">
        <f t="shared" si="54"/>
        <v>558.71691511038478</v>
      </c>
      <c r="R71" s="59">
        <f t="shared" si="55"/>
        <v>844.52077215806719</v>
      </c>
      <c r="S71" s="59">
        <f ca="1">AVERAGE(OFFSET($R$3,0,0,'Données projet'!$E$9+1,1))-AVERAGE(OFFSET($H$3,0,0,'Données projet'!$E$9+1,1))</f>
        <v>466.90449882701591</v>
      </c>
      <c r="T71" s="59">
        <f t="shared" si="88"/>
        <v>283.37641704892053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16.88350107187124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16.88350107187124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67.946506467549753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6.8</v>
      </c>
      <c r="AI71" s="13">
        <f>IF('Données projet'!$A$62&gt;35,AI70+AH71-AQ70,IF(A71&lt;'Données projet'!$A$62,$AF$205^A71,IF(A71='Données projet'!$A$62,'Données projet'!$B$62,AI70+AH71-AQ70)))</f>
        <v>228.39999999999998</v>
      </c>
      <c r="AJ71" s="13">
        <f>AI71*VLOOKUP('Données projet'!$B$10,Paramètres!$A$1:$I$89,3,0)*VLOOKUP('Données projet'!$B$10,Paramètres!$A$1:$I$89,5,0)</f>
        <v>217.34544</v>
      </c>
      <c r="AK71" s="13">
        <f t="shared" si="89"/>
        <v>53.537523221233521</v>
      </c>
      <c r="AL71" s="20">
        <f t="shared" si="58"/>
        <v>471.78782761031499</v>
      </c>
      <c r="AM71" s="59">
        <f t="shared" si="59"/>
        <v>757.59168465799735</v>
      </c>
      <c r="AN71" s="59">
        <f ca="1">AVERAGE(OFFSET($AM$3,0,0,'Données projet'!$E$10+1,1))-AVERAGE(OFFSET($H$3,0,0,'Données projet'!$E$10+1,1))</f>
        <v>399.5572791581468</v>
      </c>
      <c r="AO71" s="59">
        <f t="shared" si="90"/>
        <v>246.34185986079777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13.31758920755361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13.31758920755361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67.946506467549753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8.6666666666666661</v>
      </c>
      <c r="BD71" s="12">
        <f>IF('Données projet'!$A$88&gt;35,BD70+BC71-BL70,IF(A71&lt;'Données projet'!$A$88,$BA$205^A71,IF(A71='Données projet'!$A$88,'Données projet'!$B$88,BD70+BC71-BL70)))</f>
        <v>319.33333333333337</v>
      </c>
      <c r="BE71" s="13">
        <f>BD71*VLOOKUP('Données projet'!$B$11,Paramètres!$A$1:$I$89,3,0)*VLOOKUP('Données projet'!$B$11,Paramètres!$A$1:$I$89,5,0)</f>
        <v>249.08000000000004</v>
      </c>
      <c r="BF71" s="13">
        <f t="shared" si="91"/>
        <v>60.388894447487807</v>
      </c>
      <c r="BG71" s="20">
        <f t="shared" si="61"/>
        <v>538.99165782937473</v>
      </c>
      <c r="BH71" s="59">
        <f t="shared" si="62"/>
        <v>824.79551487705714</v>
      </c>
      <c r="BI71" s="59">
        <f ca="1">AVERAGE(OFFSET($BH$3,0,0,'Données projet'!$E$11+1,1))-AVERAGE(OFFSET($H$3,0,0,'Données projet'!$E$11+1,1))</f>
        <v>294.23449029791681</v>
      </c>
      <c r="BJ71" s="59">
        <f t="shared" si="92"/>
        <v>288.64639202306159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21.532982620369481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21.532982620369481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67.946506467549753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6.8</v>
      </c>
      <c r="BY71" s="12">
        <f>IF('Données projet'!$A$114&gt;35,BY70+BX71-CG70,IF(A71&lt;'Données projet'!$A$114,$BV$205^A71,IF(A71='Données projet'!$A$114,'Données projet'!$B$114,BY70+BX71-CG70)))</f>
        <v>228.39999999999998</v>
      </c>
      <c r="BZ71" s="13">
        <f>BY71*VLOOKUP('Données projet'!$B$12,Paramètres!$A$1:$I$89,3,0)*VLOOKUP('Données projet'!$B$12,Paramètres!$A$1:$I$89,5,0)</f>
        <v>245.84975999999997</v>
      </c>
      <c r="CA71" s="13">
        <f t="shared" si="93"/>
        <v>59.696365416984804</v>
      </c>
      <c r="CB71" s="20">
        <f t="shared" si="64"/>
        <v>532.15950176791512</v>
      </c>
      <c r="CC71" s="59">
        <f t="shared" si="65"/>
        <v>817.96335881559753</v>
      </c>
      <c r="CD71" s="59">
        <f ca="1">AVERAGE(OFFSET($CC$3,0,0,'Données projet'!$E$12+1,1))-AVERAGE(OFFSET($H$3,0,0,'Données projet'!$E$12+1,1))</f>
        <v>445.38112098358147</v>
      </c>
      <c r="CE71" s="59">
        <f t="shared" si="94"/>
        <v>272.45883568548516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15.064158283954081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15.064158283954081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67.946506467549753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6.8</v>
      </c>
      <c r="CT71" s="12">
        <f>IF('Données projet'!$A$140&gt;35,CT70+CS71-DB70,IF(A71&lt;'Données projet'!$A$140,$CQ$205^A71,IF(A71='Données projet'!$A$140,'Données projet'!$B$140,CT70+CS71-DB70)))</f>
        <v>228.39999999999998</v>
      </c>
      <c r="CU71" s="17">
        <f>CT71*VLOOKUP('Données projet'!$B$13,Paramètres!$A$1:$I$89,3,0)*VLOOKUP('Données projet'!$B$13,Paramètres!$A$1:$I$89,5,0)</f>
        <v>245.84975999999997</v>
      </c>
      <c r="CV71" s="13">
        <f t="shared" si="95"/>
        <v>59.696365416984804</v>
      </c>
      <c r="CW71" s="20">
        <f t="shared" si="67"/>
        <v>532.15950176791512</v>
      </c>
      <c r="CX71" s="59">
        <f t="shared" si="68"/>
        <v>817.96335881559753</v>
      </c>
      <c r="CY71" s="59">
        <f ca="1">AVERAGE(OFFSET($CX$3,0,0,'Données projet'!$E$13+1,1))-AVERAGE(OFFSET($H$3,0,0,'Données projet'!$E$13+1,1))</f>
        <v>445.38112098358147</v>
      </c>
      <c r="CZ71" s="59">
        <f t="shared" si="96"/>
        <v>272.45883568548516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15.064158283954081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15.064158283954081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67.946506467549753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6.8</v>
      </c>
      <c r="DO71" s="12">
        <f>IF('Données projet'!$A$166&gt;35,DO70+DN71-DW70,IF(A71&lt;'Données projet'!$A$166,$DL$205^A71,IF(A71='Données projet'!$A$166,'Données projet'!$B$166,DO70+DN71-DW70)))</f>
        <v>228.39999999999998</v>
      </c>
      <c r="DP71" s="17">
        <f>DO71*VLOOKUP('Données projet'!$B$14,Paramètres!$A$1:$I$89,3,0)*VLOOKUP('Données projet'!$B$14,Paramètres!$A$1:$I$89,5,0)</f>
        <v>220.90847999999997</v>
      </c>
      <c r="DQ71" s="13">
        <f t="shared" si="97"/>
        <v>54.312291977864817</v>
      </c>
      <c r="DR71" s="20">
        <f t="shared" si="70"/>
        <v>479.34284452811448</v>
      </c>
      <c r="DS71" s="59">
        <f t="shared" si="71"/>
        <v>765.1467015757969</v>
      </c>
      <c r="DT71" s="59">
        <f ca="1">AVERAGE(OFFSET($DS$3,0,0,'Données projet'!$E$14+1,1))-AVERAGE(OFFSET($H$3,0,0,'Données projet'!$E$14+1,1))</f>
        <v>405.29179902613089</v>
      </c>
      <c r="DU71" s="59">
        <f t="shared" si="98"/>
        <v>249.61049717638238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13.535910342103669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13.535910342103669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67.946506467549753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>
        <f>VLOOKUP(A71,'Données projet'!$A$191:$I$211,2,0)</f>
        <v>568.46</v>
      </c>
      <c r="EH71" s="12">
        <f>VLOOKUP(A71,'Données projet'!$A$191:$I$211,9,0)</f>
        <v>12.550000000000011</v>
      </c>
      <c r="EI71" s="12">
        <f t="array" ref="EI71">INDEX(EH:EH,MIN(IF(ISNUMBER(EH71:EH267),ROW(EH71:EH267),"")))</f>
        <v>12.550000000000011</v>
      </c>
      <c r="EJ71" s="12">
        <f>IF('Données projet'!$A$192&gt;35,EJ70+EI71-ER70,IF(A71&lt;'Données projet'!$A$192,$EG$205^A71,IF(A71='Données projet'!$A$192,'Données projet'!$B$192,EJ70+EI71-ER70)))</f>
        <v>568.45999999999981</v>
      </c>
      <c r="EK71" s="17">
        <f>EJ71*VLOOKUP('Données projet'!$B$15,Paramètres!$A$1:$I$89,3,0)*VLOOKUP('Données projet'!$B$15,Paramètres!$A$1:$I$89,5,0)</f>
        <v>339.93907999999993</v>
      </c>
      <c r="EL71" s="13">
        <f t="shared" si="99"/>
        <v>79.487359832828432</v>
      </c>
      <c r="EM71" s="20">
        <f t="shared" si="73"/>
        <v>730.5010493755093</v>
      </c>
      <c r="EN71" s="59">
        <f t="shared" si="74"/>
        <v>1016.3049064231917</v>
      </c>
      <c r="EO71" s="59">
        <f ca="1">AVERAGE(OFFSET($EN$3,0,0,'Données projet'!$E$15+1,1))-AVERAGE(OFFSET($H$3,0,0,'Données projet'!$E$15+1,1))</f>
        <v>444.77624981561257</v>
      </c>
      <c r="EP71" s="59">
        <f t="shared" si="100"/>
        <v>382.10319641527587</v>
      </c>
      <c r="EQ71" s="15">
        <f>IF(ISNA(VLOOKUP(A71,'Données projet'!$A$191:$I$211,3,0)),0,VLOOKUP(A71,'Données projet'!$A$191:$I$211,3,0))</f>
        <v>14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52.449650417508579</v>
      </c>
      <c r="EW71" s="21">
        <f>EXP(-LN(2)/25)*EW70+(1-EXP(-LN(2)/25))/(LN(2)/25)*Calculateur!ER71*Calculateur!ET71*VLOOKUP('Données projet'!$B$15,Paramètres!$A$1:$I$89,3,0)*0.475*44/12</f>
        <v>25.140570495554197</v>
      </c>
      <c r="EX71" s="21">
        <f>EXP(-LN(2)/2)*EX70+(1-EXP(-LN(2)/2))/(LN(2)/2)*ER71*EU71*VLOOKUP('Données projet'!$B$15,Paramètres!$A$1:$I$89,3,0)*0.475*44/12</f>
        <v>2.805685844846777</v>
      </c>
      <c r="EY71" s="22">
        <f t="shared" si="75"/>
        <v>80.395906757909557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67.946506467549753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14.6</v>
      </c>
      <c r="FE71" s="12">
        <f>IF('Données projet'!$A$218&gt;35,FE70+FD71-FM70,IF(A71&lt;'Données projet'!$A$218,$FB$205^A71,IF(A71='Données projet'!$A$218,'Données projet'!$B$218,FE70+FD71-FM70)))</f>
        <v>881.8000000000003</v>
      </c>
      <c r="FF71" s="17">
        <f>FE71*VLOOKUP('Données projet'!$B$16,Paramètres!$A$1:$I$89,3,0)*VLOOKUP('Données projet'!$B$16,Paramètres!$A$1:$I$89,5,0)</f>
        <v>389.75560000000019</v>
      </c>
      <c r="FG71" s="13">
        <f t="shared" si="101"/>
        <v>89.696644689479157</v>
      </c>
      <c r="FH71" s="20">
        <f t="shared" si="76"/>
        <v>835.04599283417645</v>
      </c>
      <c r="FI71" s="59">
        <f t="shared" si="77"/>
        <v>1120.849849881859</v>
      </c>
      <c r="FJ71" s="59">
        <f ca="1">AVERAGE(OFFSET($FI$3,0,0,'Données projet'!$E$16+1,1))-AVERAGE(OFFSET($H$3,0,0,'Données projet'!$E$16+1,1))</f>
        <v>508.71179785154317</v>
      </c>
      <c r="FK71" s="59">
        <f t="shared" si="102"/>
        <v>422.73937290731442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25.931099774301192</v>
      </c>
      <c r="FR71" s="21">
        <f>EXP(-LN(2)/25)*FR70+(1-EXP(-LN(2)/25))/(LN(2)/25)*Calculateur!FM71*Calculateur!FO71*VLOOKUP('Données projet'!$B$16,Paramètres!$A$1:$I$89,3,0)*0.475*44/12</f>
        <v>45.88266734246109</v>
      </c>
      <c r="FS71" s="21">
        <f>EXP(-LN(2)/2)*FS70+(1-EXP(-LN(2)/2))/(LN(2)/2)*FM71*FP71*VLOOKUP('Données projet'!$B$16,Paramètres!$A$1:$I$89,3,0)*0.475*44/12</f>
        <v>1.738695099987253</v>
      </c>
      <c r="FT71" s="22">
        <f t="shared" si="78"/>
        <v>73.552462216749532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67.946506467549753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67.946506467549753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1.35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4.95</v>
      </c>
      <c r="H72" s="67">
        <f t="shared" si="56"/>
        <v>236.86666666666665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67.982129989413991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8.1999999999999993</v>
      </c>
      <c r="N72" s="13">
        <f>IF('Données projet'!$A$36&gt;35,N71+M72-V71,IF(A72&lt;'Données projet'!$A$36,$K$205^A72,IF(A72='Données projet'!$A$36,'Données projet'!$B$36,N71+M72-V71)))</f>
        <v>293.7999999999999</v>
      </c>
      <c r="O72" s="13">
        <f>N72*VLOOKUP('Données projet'!$B$9,Paramètres!$A$1:$I$89,3,0)*VLOOKUP('Données projet'!$B$9,Paramètres!$A$1:$I$89,5,0)</f>
        <v>265.83023999999989</v>
      </c>
      <c r="P72" s="13">
        <f t="shared" si="87"/>
        <v>63.963540982526439</v>
      </c>
      <c r="Q72" s="20">
        <f t="shared" si="54"/>
        <v>574.39083521123325</v>
      </c>
      <c r="R72" s="59">
        <f t="shared" si="55"/>
        <v>860.32531183908463</v>
      </c>
      <c r="S72" s="59">
        <f ca="1">AVERAGE(OFFSET($R$3,0,0,'Données projet'!$E$9+1,1))-AVERAGE(OFFSET($H$3,0,0,'Données projet'!$E$9+1,1))</f>
        <v>466.90449882701591</v>
      </c>
      <c r="T72" s="59">
        <f t="shared" si="88"/>
        <v>283.37641704892053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16.552425913770666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16.552425913770666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67.982129989413991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6.8</v>
      </c>
      <c r="AI72" s="13">
        <f>IF('Données projet'!$A$62&gt;35,AI71+AH72-AQ71,IF(A72&lt;'Données projet'!$A$62,$AF$205^A72,IF(A72='Données projet'!$A$62,'Données projet'!$B$62,AI71+AH72-AQ71)))</f>
        <v>235.2</v>
      </c>
      <c r="AJ72" s="13">
        <f>AI72*VLOOKUP('Données projet'!$B$10,Paramètres!$A$1:$I$89,3,0)*VLOOKUP('Données projet'!$B$10,Paramètres!$A$1:$I$89,5,0)</f>
        <v>223.81631999999999</v>
      </c>
      <c r="AK72" s="13">
        <f t="shared" si="89"/>
        <v>54.94351196072666</v>
      </c>
      <c r="AL72" s="20">
        <f t="shared" si="58"/>
        <v>485.50670733159899</v>
      </c>
      <c r="AM72" s="59">
        <f t="shared" si="59"/>
        <v>771.44118395945031</v>
      </c>
      <c r="AN72" s="59">
        <f ca="1">AVERAGE(OFFSET($AM$3,0,0,'Données projet'!$E$10+1,1))-AVERAGE(OFFSET($H$3,0,0,'Données projet'!$E$10+1,1))</f>
        <v>399.5572791581468</v>
      </c>
      <c r="AO72" s="59">
        <f t="shared" si="90"/>
        <v>246.34185986079777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13.056439406120827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13.056439406120827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67.982129989413991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>
        <f>VLOOKUP(A72,'Données projet'!$A$87:$I$107,2,0)</f>
        <v>328</v>
      </c>
      <c r="BB72" s="12">
        <f>VLOOKUP(A72,'Données projet'!$A$87:$I$107,9,0)</f>
        <v>8.6666666666666661</v>
      </c>
      <c r="BC72" s="12">
        <f t="array" ref="BC72">INDEX(BB:BB,MIN(IF(ISNUMBER(BB72:BB268),ROW(BB72:BB268),"")))</f>
        <v>8.6666666666666661</v>
      </c>
      <c r="BD72" s="12">
        <f>IF('Données projet'!$A$88&gt;35,BD71+BC72-BL71,IF(A72&lt;'Données projet'!$A$88,$BA$205^A72,IF(A72='Données projet'!$A$88,'Données projet'!$B$88,BD71+BC72-BL71)))</f>
        <v>328.00000000000006</v>
      </c>
      <c r="BE72" s="13">
        <f>BD72*VLOOKUP('Données projet'!$B$11,Paramètres!$A$1:$I$89,3,0)*VLOOKUP('Données projet'!$B$11,Paramètres!$A$1:$I$89,5,0)</f>
        <v>255.84000000000006</v>
      </c>
      <c r="BF72" s="13">
        <f t="shared" si="91"/>
        <v>61.834803371075836</v>
      </c>
      <c r="BG72" s="20">
        <f t="shared" si="61"/>
        <v>553.28361587129041</v>
      </c>
      <c r="BH72" s="59">
        <f t="shared" si="62"/>
        <v>839.21809249914168</v>
      </c>
      <c r="BI72" s="59">
        <f ca="1">AVERAGE(OFFSET($BH$3,0,0,'Données projet'!$E$11+1,1))-AVERAGE(OFFSET($H$3,0,0,'Données projet'!$E$11+1,1))</f>
        <v>294.23449029791681</v>
      </c>
      <c r="BJ72" s="59">
        <f t="shared" si="92"/>
        <v>288.64639202306159</v>
      </c>
      <c r="BK72" s="15">
        <f>IF(ISNA(VLOOKUP(A72,'Données projet'!$A$87:$I$107,3,0)),0,VLOOKUP(A72,'Données projet'!$A$87:$I$107,3,0))</f>
        <v>9</v>
      </c>
      <c r="BL72" s="15">
        <f>IF(ISNA(VLOOKUP(A72,'Données projet'!$A$87:$I$107,4,0)),0,VLOOKUP(A72,'Données projet'!$A$87:$I$107,4,0))</f>
        <v>328</v>
      </c>
      <c r="BM72" s="16">
        <f>IF(ISNA(VLOOKUP(A72,'Données projet'!$A$87:$I$107,5,0)),0%,VLOOKUP(A72,'Données projet'!$A$87:$I$107,5,0)*VLOOKUP('Données projet'!$B$11,Paramètres!$A$1:$I$89,7,0))</f>
        <v>0.25800000000000001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94.079207775131749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94.079207775131749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67.982129989413991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6.8</v>
      </c>
      <c r="BY72" s="12">
        <f>IF('Données projet'!$A$114&gt;35,BY71+BX72-CG71,IF(A72&lt;'Données projet'!$A$114,$BV$205^A72,IF(A72='Données projet'!$A$114,'Données projet'!$B$114,BY71+BX72-CG71)))</f>
        <v>235.2</v>
      </c>
      <c r="BZ72" s="13">
        <f>BY72*VLOOKUP('Données projet'!$B$12,Paramètres!$A$1:$I$89,3,0)*VLOOKUP('Données projet'!$B$12,Paramètres!$A$1:$I$89,5,0)</f>
        <v>253.16927999999999</v>
      </c>
      <c r="CA72" s="13">
        <f t="shared" si="93"/>
        <v>61.264096094739848</v>
      </c>
      <c r="CB72" s="20">
        <f t="shared" si="64"/>
        <v>547.63813003167184</v>
      </c>
      <c r="CC72" s="59">
        <f t="shared" si="65"/>
        <v>833.57260665952322</v>
      </c>
      <c r="CD72" s="59">
        <f ca="1">AVERAGE(OFFSET($CC$3,0,0,'Données projet'!$E$12+1,1))-AVERAGE(OFFSET($H$3,0,0,'Données projet'!$E$12+1,1))</f>
        <v>445.38112098358147</v>
      </c>
      <c r="CE72" s="59">
        <f t="shared" si="94"/>
        <v>272.45883568548516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14.768759328235031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14.768759328235031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67.982129989413991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6.8</v>
      </c>
      <c r="CT72" s="12">
        <f>IF('Données projet'!$A$140&gt;35,CT71+CS72-DB71,IF(A72&lt;'Données projet'!$A$140,$CQ$205^A72,IF(A72='Données projet'!$A$140,'Données projet'!$B$140,CT71+CS72-DB71)))</f>
        <v>235.2</v>
      </c>
      <c r="CU72" s="17">
        <f>CT72*VLOOKUP('Données projet'!$B$13,Paramètres!$A$1:$I$89,3,0)*VLOOKUP('Données projet'!$B$13,Paramètres!$A$1:$I$89,5,0)</f>
        <v>253.16927999999999</v>
      </c>
      <c r="CV72" s="13">
        <f t="shared" si="95"/>
        <v>61.264096094739848</v>
      </c>
      <c r="CW72" s="20">
        <f t="shared" si="67"/>
        <v>547.63813003167184</v>
      </c>
      <c r="CX72" s="59">
        <f t="shared" si="68"/>
        <v>833.57260665952322</v>
      </c>
      <c r="CY72" s="59">
        <f ca="1">AVERAGE(OFFSET($CX$3,0,0,'Données projet'!$E$13+1,1))-AVERAGE(OFFSET($H$3,0,0,'Données projet'!$E$13+1,1))</f>
        <v>445.38112098358147</v>
      </c>
      <c r="CZ72" s="59">
        <f t="shared" si="96"/>
        <v>272.45883568548516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14.768759328235031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14.768759328235031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67.982129989413991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6.8</v>
      </c>
      <c r="DO72" s="12">
        <f>IF('Données projet'!$A$166&gt;35,DO71+DN72-DW71,IF(A72&lt;'Données projet'!$A$166,$DL$205^A72,IF(A72='Données projet'!$A$166,'Données projet'!$B$166,DO71+DN72-DW71)))</f>
        <v>235.2</v>
      </c>
      <c r="DP72" s="17">
        <f>DO72*VLOOKUP('Données projet'!$B$14,Paramètres!$A$1:$I$89,3,0)*VLOOKUP('Données projet'!$B$14,Paramètres!$A$1:$I$89,5,0)</f>
        <v>227.48543999999998</v>
      </c>
      <c r="DQ72" s="13">
        <f t="shared" si="97"/>
        <v>55.738627496252377</v>
      </c>
      <c r="DR72" s="20">
        <f t="shared" si="70"/>
        <v>493.28191755597277</v>
      </c>
      <c r="DS72" s="59">
        <f t="shared" si="71"/>
        <v>779.21639418382415</v>
      </c>
      <c r="DT72" s="59">
        <f ca="1">AVERAGE(OFFSET($DS$3,0,0,'Données projet'!$E$14+1,1))-AVERAGE(OFFSET($H$3,0,0,'Données projet'!$E$14+1,1))</f>
        <v>405.29179902613089</v>
      </c>
      <c r="DU72" s="59">
        <f t="shared" si="98"/>
        <v>249.61049717638238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13.270479396385104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13.270479396385104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67.982129989413991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12.888750000000002</v>
      </c>
      <c r="EJ72" s="12">
        <f>IF('Données projet'!$A$192&gt;35,EJ71+EI72-ER71,IF(A72&lt;'Données projet'!$A$192,$EG$205^A72,IF(A72='Données projet'!$A$192,'Données projet'!$B$192,EJ71+EI72-ER71)))</f>
        <v>581.34874999999977</v>
      </c>
      <c r="EK72" s="17">
        <f>EJ72*VLOOKUP('Données projet'!$B$15,Paramètres!$A$1:$I$89,3,0)*VLOOKUP('Données projet'!$B$15,Paramètres!$A$1:$I$89,5,0)</f>
        <v>347.64655249999987</v>
      </c>
      <c r="EL72" s="13">
        <f t="shared" si="99"/>
        <v>81.077721834442457</v>
      </c>
      <c r="EM72" s="20">
        <f t="shared" si="73"/>
        <v>746.69477779915371</v>
      </c>
      <c r="EN72" s="59">
        <f t="shared" si="74"/>
        <v>1032.629254427005</v>
      </c>
      <c r="EO72" s="59">
        <f ca="1">AVERAGE(OFFSET($EN$3,0,0,'Données projet'!$E$15+1,1))-AVERAGE(OFFSET($H$3,0,0,'Données projet'!$E$15+1,1))</f>
        <v>444.77624981561257</v>
      </c>
      <c r="EP72" s="59">
        <f t="shared" si="100"/>
        <v>382.10319641527587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51.42114476394913</v>
      </c>
      <c r="EW72" s="21">
        <f>EXP(-LN(2)/25)*EW71+(1-EXP(-LN(2)/25))/(LN(2)/25)*Calculateur!ER72*Calculateur!ET72*VLOOKUP('Données projet'!$B$15,Paramètres!$A$1:$I$89,3,0)*0.475*44/12</f>
        <v>24.453100273268124</v>
      </c>
      <c r="EX72" s="21">
        <f>EXP(-LN(2)/2)*EX71+(1-EXP(-LN(2)/2))/(LN(2)/2)*ER72*EU72*VLOOKUP('Données projet'!$B$15,Paramètres!$A$1:$I$89,3,0)*0.475*44/12</f>
        <v>1.9839194867702639</v>
      </c>
      <c r="EY72" s="22">
        <f t="shared" si="75"/>
        <v>77.858164523987512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67.982129989413991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14.6</v>
      </c>
      <c r="FE72" s="12">
        <f>IF('Données projet'!$A$218&gt;35,FE71+FD72-FM71,IF(A72&lt;'Données projet'!$A$218,$FB$205^A72,IF(A72='Données projet'!$A$218,'Données projet'!$B$218,FE71+FD72-FM71)))</f>
        <v>896.40000000000032</v>
      </c>
      <c r="FF72" s="17">
        <f>FE72*VLOOKUP('Données projet'!$B$16,Paramètres!$A$1:$I$89,3,0)*VLOOKUP('Données projet'!$B$16,Paramètres!$A$1:$I$89,5,0)</f>
        <v>396.20880000000017</v>
      </c>
      <c r="FG72" s="13">
        <f t="shared" si="101"/>
        <v>91.007632121017451</v>
      </c>
      <c r="FH72" s="20">
        <f t="shared" si="76"/>
        <v>848.5686192774391</v>
      </c>
      <c r="FI72" s="59">
        <f t="shared" si="77"/>
        <v>1134.5030959052904</v>
      </c>
      <c r="FJ72" s="59">
        <f ca="1">AVERAGE(OFFSET($FI$3,0,0,'Données projet'!$E$16+1,1))-AVERAGE(OFFSET($H$3,0,0,'Données projet'!$E$16+1,1))</f>
        <v>508.71179785154317</v>
      </c>
      <c r="FK72" s="59">
        <f t="shared" si="102"/>
        <v>422.73937290731442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25.422606724136266</v>
      </c>
      <c r="FR72" s="21">
        <f>EXP(-LN(2)/25)*FR71+(1-EXP(-LN(2)/25))/(LN(2)/25)*Calculateur!FM72*Calculateur!FO72*VLOOKUP('Données projet'!$B$16,Paramètres!$A$1:$I$89,3,0)*0.475*44/12</f>
        <v>44.628003391116884</v>
      </c>
      <c r="FS72" s="21">
        <f>EXP(-LN(2)/2)*FS71+(1-EXP(-LN(2)/2))/(LN(2)/2)*FM72*FP72*VLOOKUP('Données projet'!$B$16,Paramètres!$A$1:$I$89,3,0)*0.475*44/12</f>
        <v>1.229443095616809</v>
      </c>
      <c r="FT72" s="22">
        <f t="shared" si="78"/>
        <v>71.280053210869966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67.982129989413991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67.982129989413991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1.35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4.95</v>
      </c>
      <c r="H73" s="67">
        <f t="shared" si="56"/>
        <v>236.86666666666665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68.017135522816162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302</v>
      </c>
      <c r="L73" s="12">
        <f>VLOOKUP(A73,'Données projet'!$A$35:$I$55,9,0)</f>
        <v>8.1999999999999993</v>
      </c>
      <c r="M73" s="12">
        <f t="array" ref="M73">INDEX(L:L,MIN(IF(ISNUMBER(L73:L269),ROW(L73:L269),"")))</f>
        <v>8.1999999999999993</v>
      </c>
      <c r="N73" s="13">
        <f>IF('Données projet'!$A$36&gt;35,N72+M73-V72,IF(A73&lt;'Données projet'!$A$36,$K$205^A73,IF(A73='Données projet'!$A$36,'Données projet'!$B$36,N72+M73-V72)))</f>
        <v>301.99999999999989</v>
      </c>
      <c r="O73" s="13">
        <f>N73*VLOOKUP('Données projet'!$B$9,Paramètres!$A$1:$I$89,3,0)*VLOOKUP('Données projet'!$B$9,Paramètres!$A$1:$I$89,5,0)</f>
        <v>273.24959999999987</v>
      </c>
      <c r="P73" s="13">
        <f t="shared" si="87"/>
        <v>65.538435495514321</v>
      </c>
      <c r="Q73" s="20">
        <f t="shared" si="54"/>
        <v>590.05582848802044</v>
      </c>
      <c r="R73" s="59">
        <f t="shared" si="55"/>
        <v>876.11865873834631</v>
      </c>
      <c r="S73" s="59">
        <f ca="1">AVERAGE(OFFSET($R$3,0,0,'Données projet'!$E$9+1,1))-AVERAGE(OFFSET($H$3,0,0,'Données projet'!$E$9+1,1))</f>
        <v>466.90449882701591</v>
      </c>
      <c r="T73" s="59">
        <f t="shared" si="88"/>
        <v>283.37641704892053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28</v>
      </c>
      <c r="W73" s="16">
        <f>IF(ISNA(VLOOKUP(A73,'Données projet'!$A$35:$I$55,5,0)),0%,VLOOKUP(A73,'Données projet'!$A$35:$I$55,5,0)*VLOOKUP('Données projet'!$B$9,Paramètres!$A$1:$I$89,7,0))</f>
        <v>0.215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22.249225125981042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22.249225125981042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68.017135522816162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242</v>
      </c>
      <c r="AG73" s="12">
        <f>VLOOKUP(A73,'Données projet'!$A$61:$I$81,9,0)</f>
        <v>6.8</v>
      </c>
      <c r="AH73" s="12">
        <f t="array" ref="AH73">INDEX(AG:AG,MIN(IF(ISNUMBER(AG73:AG269),ROW(AG73:AG269),"")))</f>
        <v>6.8</v>
      </c>
      <c r="AI73" s="13">
        <f>IF('Données projet'!$A$62&gt;35,AI72+AH73-AQ72,IF(A73&lt;'Données projet'!$A$62,$AF$205^A73,IF(A73='Données projet'!$A$62,'Données projet'!$B$62,AI72+AH73-AQ72)))</f>
        <v>242</v>
      </c>
      <c r="AJ73" s="13">
        <f>AI73*VLOOKUP('Données projet'!$B$10,Paramètres!$A$1:$I$89,3,0)*VLOOKUP('Données projet'!$B$10,Paramètres!$A$1:$I$89,5,0)</f>
        <v>230.28720000000001</v>
      </c>
      <c r="AK73" s="13">
        <f t="shared" si="89"/>
        <v>56.344776374959956</v>
      </c>
      <c r="AL73" s="20">
        <f t="shared" si="58"/>
        <v>499.2173588530552</v>
      </c>
      <c r="AM73" s="59">
        <f t="shared" si="59"/>
        <v>785.28018910338119</v>
      </c>
      <c r="AN73" s="59">
        <f ca="1">AVERAGE(OFFSET($AM$3,0,0,'Données projet'!$E$10+1,1))-AVERAGE(OFFSET($H$3,0,0,'Données projet'!$E$10+1,1))</f>
        <v>399.5572791581468</v>
      </c>
      <c r="AO73" s="59">
        <f t="shared" si="90"/>
        <v>246.34185986079777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21</v>
      </c>
      <c r="AR73" s="16">
        <f>IF(ISNA(VLOOKUP(A73,'Données projet'!$A$61:$I$81,5,0)),0%,VLOOKUP(A73,'Données projet'!$A$61:$I$81,5,0)*VLOOKUP('Données projet'!$B$10,Paramètres!$A$1:$I$89,7,0))</f>
        <v>0.215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17.550035336441944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17.550035336441944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68.017135522816162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5.6843418860808015E-14</v>
      </c>
      <c r="BE73" s="13">
        <f>BD73*VLOOKUP('Données projet'!$B$11,Paramètres!$A$1:$I$89,3,0)*VLOOKUP('Données projet'!$B$11,Paramètres!$A$1:$I$89,5,0)</f>
        <v>4.4337866711430253E-14</v>
      </c>
      <c r="BF73" s="13">
        <f t="shared" si="91"/>
        <v>7.3222115536967035E-13</v>
      </c>
      <c r="BG73" s="20">
        <f t="shared" si="61"/>
        <v>1.3525069634579169E-12</v>
      </c>
      <c r="BH73" s="59">
        <f t="shared" si="62"/>
        <v>286.06283025032729</v>
      </c>
      <c r="BI73" s="59">
        <f ca="1">AVERAGE(OFFSET($BH$3,0,0,'Données projet'!$E$11+1,1))-AVERAGE(OFFSET($H$3,0,0,'Données projet'!$E$11+1,1))</f>
        <v>294.23449029791681</v>
      </c>
      <c r="BJ73" s="59">
        <f t="shared" si="92"/>
        <v>288.64639202306159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92.234371893312087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92.234371893312087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68.017135522816162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242</v>
      </c>
      <c r="BW73" s="12">
        <f>VLOOKUP(A73,'Données projet'!$A$113:$I$133,9,0)</f>
        <v>6.8</v>
      </c>
      <c r="BX73" s="12">
        <f t="array" ref="BX73">INDEX(BW:BW,MIN(IF(ISNUMBER(BW73:BW269),ROW(BW73:BW269),"")))</f>
        <v>6.8</v>
      </c>
      <c r="BY73" s="12">
        <f>IF('Données projet'!$A$114&gt;35,BY72+BX73-CG72,IF(A73&lt;'Données projet'!$A$114,$BV$205^A73,IF(A73='Données projet'!$A$114,'Données projet'!$B$114,BY72+BX73-CG72)))</f>
        <v>242</v>
      </c>
      <c r="BZ73" s="13">
        <f>BY73*VLOOKUP('Données projet'!$B$12,Paramètres!$A$1:$I$89,3,0)*VLOOKUP('Données projet'!$B$12,Paramètres!$A$1:$I$89,5,0)</f>
        <v>260.48879999999997</v>
      </c>
      <c r="CA73" s="13">
        <f t="shared" si="93"/>
        <v>62.826558970958821</v>
      </c>
      <c r="CB73" s="20">
        <f t="shared" si="64"/>
        <v>563.10758354108657</v>
      </c>
      <c r="CC73" s="59">
        <f t="shared" si="65"/>
        <v>849.17041379141256</v>
      </c>
      <c r="CD73" s="59">
        <f ca="1">AVERAGE(OFFSET($CC$3,0,0,'Données projet'!$E$12+1,1))-AVERAGE(OFFSET($H$3,0,0,'Données projet'!$E$12+1,1))</f>
        <v>445.38112098358147</v>
      </c>
      <c r="CE73" s="59">
        <f t="shared" si="94"/>
        <v>272.45883568548516</v>
      </c>
      <c r="CF73" s="15">
        <f>IF(ISNA(VLOOKUP(A73,'Données projet'!$A$113:$I$133,3,0)),0,VLOOKUP(A73,'Données projet'!$A$113:$I$133,3,0))</f>
        <v>11</v>
      </c>
      <c r="CG73" s="15">
        <f>IF(ISNA(VLOOKUP(A73,'Données projet'!$A$113:$I$133,4,0)),0,VLOOKUP(A73,'Données projet'!$A$113:$I$133,4,0))</f>
        <v>21</v>
      </c>
      <c r="CH73" s="16">
        <f>IF(ISNA(VLOOKUP(A73,'Données projet'!$A$113:$I$133,5,0)),0%,VLOOKUP(A73,'Données projet'!$A$113:$I$133,5,0)*VLOOKUP('Données projet'!$B$12,Paramètres!$A$1:$I$89,7,0))</f>
        <v>0.215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19.851679314991706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19.851679314991706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68.017135522816162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242</v>
      </c>
      <c r="CR73" s="12">
        <f>VLOOKUP(A73,'Données projet'!$A$139:$I$159,9,0)</f>
        <v>6.8</v>
      </c>
      <c r="CS73" s="12">
        <f t="array" ref="CS73">INDEX(CR:CR,MIN(IF(ISNUMBER(CR73:CR269),ROW(CR73:CR269),"")))</f>
        <v>6.8</v>
      </c>
      <c r="CT73" s="12">
        <f>IF('Données projet'!$A$140&gt;35,CT72+CS73-DB72,IF(A73&lt;'Données projet'!$A$140,$CQ$205^A73,IF(A73='Données projet'!$A$140,'Données projet'!$B$140,CT72+CS73-DB72)))</f>
        <v>242</v>
      </c>
      <c r="CU73" s="17">
        <f>CT73*VLOOKUP('Données projet'!$B$13,Paramètres!$A$1:$I$89,3,0)*VLOOKUP('Données projet'!$B$13,Paramètres!$A$1:$I$89,5,0)</f>
        <v>260.48879999999997</v>
      </c>
      <c r="CV73" s="13">
        <f t="shared" si="95"/>
        <v>62.826558970958821</v>
      </c>
      <c r="CW73" s="20">
        <f t="shared" si="67"/>
        <v>563.10758354108657</v>
      </c>
      <c r="CX73" s="59">
        <f t="shared" si="68"/>
        <v>849.17041379141256</v>
      </c>
      <c r="CY73" s="59">
        <f ca="1">AVERAGE(OFFSET($CX$3,0,0,'Données projet'!$E$13+1,1))-AVERAGE(OFFSET($H$3,0,0,'Données projet'!$E$13+1,1))</f>
        <v>445.38112098358147</v>
      </c>
      <c r="CZ73" s="59">
        <f t="shared" si="96"/>
        <v>272.45883568548516</v>
      </c>
      <c r="DA73" s="15">
        <f>IF(ISNA(VLOOKUP(A73,'Données projet'!$A$139:$I$159,3,0)),0,VLOOKUP(A73,'Données projet'!$A$139:$I$159,3,0))</f>
        <v>11</v>
      </c>
      <c r="DB73" s="15">
        <f>IF(ISNA(VLOOKUP(A73,'Données projet'!$A$139:$I$159,4,0)),0,VLOOKUP(A73,'Données projet'!$A$139:$I$159,4,0))</f>
        <v>21</v>
      </c>
      <c r="DC73" s="16">
        <f>IF(ISNA(VLOOKUP(A73,'Données projet'!$A$139:$I$159,5,0)),0%,VLOOKUP(A73,'Données projet'!$A$139:$I$159,5,0)*VLOOKUP('Données projet'!$B$13,Paramètres!$A$1:$I$89,7,0))</f>
        <v>0.215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19.851679314991706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19.851679314991706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68.017135522816162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242</v>
      </c>
      <c r="DM73" s="12">
        <f>VLOOKUP(A73,'Données projet'!$A$165:$I$185,9,0)</f>
        <v>6.8</v>
      </c>
      <c r="DN73" s="12">
        <f t="array" ref="DN73">INDEX(DM:DM,MIN(IF(ISNUMBER(DM73:DM269),ROW(DM73:DM269),"")))</f>
        <v>6.8</v>
      </c>
      <c r="DO73" s="12">
        <f>IF('Données projet'!$A$166&gt;35,DO72+DN73-DW72,IF(A73&lt;'Données projet'!$A$166,$DL$205^A73,IF(A73='Données projet'!$A$166,'Données projet'!$B$166,DO72+DN73-DW72)))</f>
        <v>242</v>
      </c>
      <c r="DP73" s="17">
        <f>DO73*VLOOKUP('Données projet'!$B$14,Paramètres!$A$1:$I$89,3,0)*VLOOKUP('Données projet'!$B$14,Paramètres!$A$1:$I$89,5,0)</f>
        <v>234.0624</v>
      </c>
      <c r="DQ73" s="13">
        <f t="shared" si="97"/>
        <v>57.16017032126387</v>
      </c>
      <c r="DR73" s="20">
        <f t="shared" si="70"/>
        <v>507.21264330953454</v>
      </c>
      <c r="DS73" s="59">
        <f t="shared" si="71"/>
        <v>793.27547355986053</v>
      </c>
      <c r="DT73" s="59">
        <f ca="1">AVERAGE(OFFSET($DS$3,0,0,'Données projet'!$E$14+1,1))-AVERAGE(OFFSET($H$3,0,0,'Données projet'!$E$14+1,1))</f>
        <v>405.29179902613089</v>
      </c>
      <c r="DU73" s="59">
        <f t="shared" si="98"/>
        <v>249.61049717638238</v>
      </c>
      <c r="DV73" s="15">
        <f>IF(ISNA(VLOOKUP(A73,'Données projet'!$A$165:$I$185,3,0)),0,VLOOKUP(A73,'Données projet'!$A$165:$I$185,3,0))</f>
        <v>11</v>
      </c>
      <c r="DW73" s="15">
        <f>IF(ISNA(VLOOKUP(A73,'Données projet'!$A$165:$I$185,4,0)),0,VLOOKUP(A73,'Données projet'!$A$165:$I$185,4,0))</f>
        <v>21</v>
      </c>
      <c r="DX73" s="16">
        <f>IF(ISNA(VLOOKUP(A73,'Données projet'!$A$165:$I$185,5,0)),0%,VLOOKUP(A73,'Données projet'!$A$165:$I$185,5,0)*VLOOKUP('Données projet'!$B$14,Paramètres!$A$1:$I$89,7,0))</f>
        <v>0.215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17.837740833760666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17.837740833760666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68.017135522816162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12.888750000000002</v>
      </c>
      <c r="EJ73" s="12">
        <f>IF('Données projet'!$A$192&gt;35,EJ72+EI73-ER72,IF(A73&lt;'Données projet'!$A$192,$EG$205^A73,IF(A73='Données projet'!$A$192,'Données projet'!$B$192,EJ72+EI73-ER72)))</f>
        <v>594.23749999999973</v>
      </c>
      <c r="EK73" s="17">
        <f>EJ73*VLOOKUP('Données projet'!$B$15,Paramètres!$A$1:$I$89,3,0)*VLOOKUP('Données projet'!$B$15,Paramètres!$A$1:$I$89,5,0)</f>
        <v>355.35402499999987</v>
      </c>
      <c r="EL73" s="13">
        <f t="shared" si="99"/>
        <v>82.66398462408759</v>
      </c>
      <c r="EM73" s="20">
        <f t="shared" si="73"/>
        <v>762.88136676195211</v>
      </c>
      <c r="EN73" s="59">
        <f t="shared" si="74"/>
        <v>1048.944197012278</v>
      </c>
      <c r="EO73" s="59">
        <f ca="1">AVERAGE(OFFSET($EN$3,0,0,'Données projet'!$E$15+1,1))-AVERAGE(OFFSET($H$3,0,0,'Données projet'!$E$15+1,1))</f>
        <v>444.77624981561257</v>
      </c>
      <c r="EP73" s="59">
        <f t="shared" si="100"/>
        <v>382.10319641527587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50.412807478929473</v>
      </c>
      <c r="EW73" s="21">
        <f>EXP(-LN(2)/25)*EW72+(1-EXP(-LN(2)/25))/(LN(2)/25)*Calculateur!ER73*Calculateur!ET73*VLOOKUP('Données projet'!$B$15,Paramètres!$A$1:$I$89,3,0)*0.475*44/12</f>
        <v>23.784428960362952</v>
      </c>
      <c r="EX73" s="21">
        <f>EXP(-LN(2)/2)*EX72+(1-EXP(-LN(2)/2))/(LN(2)/2)*ER73*EU73*VLOOKUP('Données projet'!$B$15,Paramètres!$A$1:$I$89,3,0)*0.475*44/12</f>
        <v>1.4028429224233887</v>
      </c>
      <c r="EY73" s="22">
        <f t="shared" si="75"/>
        <v>75.600079361715814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68.017135522816162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911</v>
      </c>
      <c r="FC73" s="12">
        <f>VLOOKUP(A73,'Données projet'!$A$217:$I$237,9,0)</f>
        <v>14.6</v>
      </c>
      <c r="FD73" s="12">
        <f t="array" ref="FD73">INDEX(FC:FC,MIN(IF(ISNUMBER(FC73:FC269),ROW(FC73:FC269),"")))</f>
        <v>14.6</v>
      </c>
      <c r="FE73" s="12">
        <f>IF('Données projet'!$A$218&gt;35,FE72+FD73-FM72,IF(A73&lt;'Données projet'!$A$218,$FB$205^A73,IF(A73='Données projet'!$A$218,'Données projet'!$B$218,FE72+FD73-FM72)))</f>
        <v>911.00000000000034</v>
      </c>
      <c r="FF73" s="17">
        <f>FE73*VLOOKUP('Données projet'!$B$16,Paramètres!$A$1:$I$89,3,0)*VLOOKUP('Données projet'!$B$16,Paramètres!$A$1:$I$89,5,0)</f>
        <v>402.66200000000015</v>
      </c>
      <c r="FG73" s="13">
        <f t="shared" si="101"/>
        <v>92.316136355387528</v>
      </c>
      <c r="FH73" s="20">
        <f t="shared" si="76"/>
        <v>862.08692081896686</v>
      </c>
      <c r="FI73" s="59">
        <f t="shared" si="77"/>
        <v>1148.1497510692927</v>
      </c>
      <c r="FJ73" s="59">
        <f ca="1">AVERAGE(OFFSET($FI$3,0,0,'Données projet'!$E$16+1,1))-AVERAGE(OFFSET($H$3,0,0,'Données projet'!$E$16+1,1))</f>
        <v>508.71179785154317</v>
      </c>
      <c r="FK73" s="59">
        <f t="shared" si="102"/>
        <v>422.73937290731442</v>
      </c>
      <c r="FL73" s="15">
        <f>IF(ISNA(VLOOKUP(A73,'Données projet'!$A$217:$I$237,3,0)),0,VLOOKUP(A73,'Données projet'!$A$217:$I$237,3,0))</f>
        <v>12</v>
      </c>
      <c r="FM73" s="15">
        <f>IF(ISNA(VLOOKUP(A73,'Données projet'!$A$217:$I$237,4,0)),0,VLOOKUP(A73,'Données projet'!$A$217:$I$237,4,0))</f>
        <v>35</v>
      </c>
      <c r="FN73" s="16">
        <f>IF(ISNA(VLOOKUP(A73,'Données projet'!$A$217:$I$237,5,0)),0%,VLOOKUP(A73,'Données projet'!$A$217:$I$237,5,0)*VLOOKUP('Données projet'!$B$16,Paramètres!$A$1:$I$89,7,0))</f>
        <v>0.44000000000000006</v>
      </c>
      <c r="FO73" s="16">
        <f>IF(ISNA(VLOOKUP(A73,'Données projet'!$A$217:$I$237,6,0)),0%,VLOOKUP(A73,'Données projet'!$A$217:$I$237,6,0)*VLOOKUP('Données projet'!$B$16,Paramètres!$A$1:$I$89,7,0))</f>
        <v>6.0500000000000005E-2</v>
      </c>
      <c r="FP73" s="16">
        <f>IF(ISNA(VLOOKUP(A73,'Données projet'!$A$217:$I$237,7,0)),0%,VLOOKUP(A73,'Données projet'!$A$217:$I$237,7,0))</f>
        <v>0.09</v>
      </c>
      <c r="FQ73" s="21">
        <f>EXP(-LN(2)/35)*FQ72+(1-EXP(-LN(2)/35))/(LN(2)/35)*FM73*FN73*VLOOKUP('Données projet'!$B$16,Paramètres!$A$1:$I$89,3,0)*0.475*44/12</f>
        <v>33.953743847820803</v>
      </c>
      <c r="FR73" s="21">
        <f>EXP(-LN(2)/25)*FR72+(1-EXP(-LN(2)/25))/(LN(2)/25)*Calculateur!FM73*Calculateur!FO73*VLOOKUP('Données projet'!$B$16,Paramètres!$A$1:$I$89,3,0)*0.475*44/12</f>
        <v>44.64433782903167</v>
      </c>
      <c r="FS73" s="21">
        <f>EXP(-LN(2)/2)*FS72+(1-EXP(-LN(2)/2))/(LN(2)/2)*FM73*FP73*VLOOKUP('Données projet'!$B$16,Paramètres!$A$1:$I$89,3,0)*0.475*44/12</f>
        <v>2.4457545778397249</v>
      </c>
      <c r="FT73" s="22">
        <f t="shared" si="78"/>
        <v>81.043836254692195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68.017135522816162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68.017135522816162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1.35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4.95</v>
      </c>
      <c r="H74" s="67">
        <f t="shared" si="56"/>
        <v>236.86666666666665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68.051533788474444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7.6</v>
      </c>
      <c r="N74" s="13">
        <f>IF('Données projet'!$A$36&gt;35,N73+M74-V73,IF(A74&lt;'Données projet'!$A$36,$K$205^A74,IF(A74='Données projet'!$A$36,'Données projet'!$B$36,N73+M74-V73)))</f>
        <v>281.59999999999991</v>
      </c>
      <c r="O74" s="13">
        <f>N74*VLOOKUP('Données projet'!$B$9,Paramètres!$A$1:$I$89,3,0)*VLOOKUP('Données projet'!$B$9,Paramètres!$A$1:$I$89,5,0)</f>
        <v>254.79167999999993</v>
      </c>
      <c r="P74" s="13">
        <f t="shared" si="87"/>
        <v>61.610870508448471</v>
      </c>
      <c r="Q74" s="20">
        <f t="shared" si="54"/>
        <v>551.06777546888088</v>
      </c>
      <c r="R74" s="59">
        <f t="shared" si="55"/>
        <v>837.25673269328718</v>
      </c>
      <c r="S74" s="59">
        <f ca="1">AVERAGE(OFFSET($R$3,0,0,'Données projet'!$E$9+1,1))-AVERAGE(OFFSET($H$3,0,0,'Données projet'!$E$9+1,1))</f>
        <v>466.90449882701591</v>
      </c>
      <c r="T74" s="59">
        <f t="shared" si="88"/>
        <v>283.37641704892053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21.812931391947885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21.812931391947885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68.051533788474444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6.2</v>
      </c>
      <c r="AI74" s="13">
        <f>IF('Données projet'!$A$62&gt;35,AI73+AH74-AQ73,IF(A74&lt;'Données projet'!$A$62,$AF$205^A74,IF(A74='Données projet'!$A$62,'Données projet'!$B$62,AI73+AH74-AQ73)))</f>
        <v>227.2</v>
      </c>
      <c r="AJ74" s="13">
        <f>AI74*VLOOKUP('Données projet'!$B$10,Paramètres!$A$1:$I$89,3,0)*VLOOKUP('Données projet'!$B$10,Paramètres!$A$1:$I$89,5,0)</f>
        <v>216.20351999999997</v>
      </c>
      <c r="AK74" s="13">
        <f t="shared" si="89"/>
        <v>53.288905450648613</v>
      </c>
      <c r="AL74" s="20">
        <f t="shared" si="58"/>
        <v>469.36597432654622</v>
      </c>
      <c r="AM74" s="59">
        <f t="shared" si="59"/>
        <v>755.55493155095246</v>
      </c>
      <c r="AN74" s="59">
        <f ca="1">AVERAGE(OFFSET($AM$3,0,0,'Données projet'!$E$10+1,1))-AVERAGE(OFFSET($H$3,0,0,'Données projet'!$E$10+1,1))</f>
        <v>399.5572791581468</v>
      </c>
      <c r="AO74" s="59">
        <f t="shared" si="90"/>
        <v>246.34185986079777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17.205889847958893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17.205889847958893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68.051533788474444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5.6843418860808015E-14</v>
      </c>
      <c r="BE74" s="13">
        <f>BD74*VLOOKUP('Données projet'!$B$11,Paramètres!$A$1:$I$89,3,0)*VLOOKUP('Données projet'!$B$11,Paramètres!$A$1:$I$89,5,0)</f>
        <v>4.4337866711430253E-14</v>
      </c>
      <c r="BF74" s="13">
        <f t="shared" si="91"/>
        <v>7.3222115536967035E-13</v>
      </c>
      <c r="BG74" s="20">
        <f t="shared" si="61"/>
        <v>1.3525069634579169E-12</v>
      </c>
      <c r="BH74" s="59">
        <f t="shared" si="62"/>
        <v>286.18895722440766</v>
      </c>
      <c r="BI74" s="59">
        <f ca="1">AVERAGE(OFFSET($BH$3,0,0,'Données projet'!$E$11+1,1))-AVERAGE(OFFSET($H$3,0,0,'Données projet'!$E$11+1,1))</f>
        <v>294.23449029791681</v>
      </c>
      <c r="BJ74" s="59">
        <f t="shared" si="92"/>
        <v>288.64639202306159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90.42571211789614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90.42571211789614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68.051533788474444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6.2</v>
      </c>
      <c r="BY74" s="12">
        <f>IF('Données projet'!$A$114&gt;35,BY73+BX74-CG73,IF(A74&lt;'Données projet'!$A$114,$BV$205^A74,IF(A74='Données projet'!$A$114,'Données projet'!$B$114,BY73+BX74-CG73)))</f>
        <v>227.2</v>
      </c>
      <c r="BZ74" s="13">
        <f>BY74*VLOOKUP('Données projet'!$B$12,Paramètres!$A$1:$I$89,3,0)*VLOOKUP('Données projet'!$B$12,Paramètres!$A$1:$I$89,5,0)</f>
        <v>244.55807999999996</v>
      </c>
      <c r="CA74" s="13">
        <f t="shared" si="93"/>
        <v>59.419147189674156</v>
      </c>
      <c r="CB74" s="20">
        <f t="shared" si="64"/>
        <v>529.42700402201569</v>
      </c>
      <c r="CC74" s="59">
        <f t="shared" si="65"/>
        <v>815.61596124642199</v>
      </c>
      <c r="CD74" s="59">
        <f ca="1">AVERAGE(OFFSET($CC$3,0,0,'Données projet'!$E$12+1,1))-AVERAGE(OFFSET($H$3,0,0,'Données projet'!$E$12+1,1))</f>
        <v>445.38112098358147</v>
      </c>
      <c r="CE74" s="59">
        <f t="shared" si="94"/>
        <v>272.45883568548516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19.462399991953504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19.462399991953504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68.051533788474444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6.2</v>
      </c>
      <c r="CT74" s="12">
        <f>IF('Données projet'!$A$140&gt;35,CT73+CS74-DB73,IF(A74&lt;'Données projet'!$A$140,$CQ$205^A74,IF(A74='Données projet'!$A$140,'Données projet'!$B$140,CT73+CS74-DB73)))</f>
        <v>227.2</v>
      </c>
      <c r="CU74" s="17">
        <f>CT74*VLOOKUP('Données projet'!$B$13,Paramètres!$A$1:$I$89,3,0)*VLOOKUP('Données projet'!$B$13,Paramètres!$A$1:$I$89,5,0)</f>
        <v>244.55807999999996</v>
      </c>
      <c r="CV74" s="13">
        <f t="shared" si="95"/>
        <v>59.419147189674156</v>
      </c>
      <c r="CW74" s="20">
        <f t="shared" si="67"/>
        <v>529.42700402201569</v>
      </c>
      <c r="CX74" s="59">
        <f t="shared" si="68"/>
        <v>815.61596124642199</v>
      </c>
      <c r="CY74" s="59">
        <f ca="1">AVERAGE(OFFSET($CX$3,0,0,'Données projet'!$E$13+1,1))-AVERAGE(OFFSET($H$3,0,0,'Données projet'!$E$13+1,1))</f>
        <v>445.38112098358147</v>
      </c>
      <c r="CZ74" s="59">
        <f t="shared" si="96"/>
        <v>272.45883568548516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19.462399991953504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19.462399991953504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68.051533788474444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6.2</v>
      </c>
      <c r="DO74" s="12">
        <f>IF('Données projet'!$A$166&gt;35,DO73+DN74-DW73,IF(A74&lt;'Données projet'!$A$166,$DL$205^A74,IF(A74='Données projet'!$A$166,'Données projet'!$B$166,DO73+DN74-DW73)))</f>
        <v>227.2</v>
      </c>
      <c r="DP74" s="17">
        <f>DO74*VLOOKUP('Données projet'!$B$14,Paramètres!$A$1:$I$89,3,0)*VLOOKUP('Données projet'!$B$14,Paramètres!$A$1:$I$89,5,0)</f>
        <v>219.74784000000002</v>
      </c>
      <c r="DQ74" s="13">
        <f t="shared" si="97"/>
        <v>54.060076332940611</v>
      </c>
      <c r="DR74" s="20">
        <f t="shared" si="70"/>
        <v>476.88212094653824</v>
      </c>
      <c r="DS74" s="59">
        <f t="shared" si="71"/>
        <v>763.07107817094447</v>
      </c>
      <c r="DT74" s="59">
        <f ca="1">AVERAGE(OFFSET($DS$3,0,0,'Données projet'!$E$14+1,1))-AVERAGE(OFFSET($H$3,0,0,'Données projet'!$E$14+1,1))</f>
        <v>405.29179902613089</v>
      </c>
      <c r="DU74" s="59">
        <f t="shared" si="98"/>
        <v>249.61049717638238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17.487953615958222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17.487953615958222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68.051533788474444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12.888750000000002</v>
      </c>
      <c r="EJ74" s="12">
        <f>IF('Données projet'!$A$192&gt;35,EJ73+EI74-ER73,IF(A74&lt;'Données projet'!$A$192,$EG$205^A74,IF(A74='Données projet'!$A$192,'Données projet'!$B$192,EJ73+EI74-ER73)))</f>
        <v>607.12624999999969</v>
      </c>
      <c r="EK74" s="17">
        <f>EJ74*VLOOKUP('Données projet'!$B$15,Paramètres!$A$1:$I$89,3,0)*VLOOKUP('Données projet'!$B$15,Paramètres!$A$1:$I$89,5,0)</f>
        <v>363.06149749999986</v>
      </c>
      <c r="EL74" s="13">
        <f t="shared" si="99"/>
        <v>84.246247351514029</v>
      </c>
      <c r="EM74" s="20">
        <f t="shared" si="73"/>
        <v>779.06098894972001</v>
      </c>
      <c r="EN74" s="59">
        <f t="shared" si="74"/>
        <v>1065.2499461741263</v>
      </c>
      <c r="EO74" s="59">
        <f ca="1">AVERAGE(OFFSET($EN$3,0,0,'Données projet'!$E$15+1,1))-AVERAGE(OFFSET($H$3,0,0,'Données projet'!$E$15+1,1))</f>
        <v>444.77624981561257</v>
      </c>
      <c r="EP74" s="59">
        <f t="shared" si="100"/>
        <v>382.10319641527587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49.424243073044039</v>
      </c>
      <c r="EW74" s="21">
        <f>EXP(-LN(2)/25)*EW73+(1-EXP(-LN(2)/25))/(LN(2)/25)*Calculateur!ER74*Calculateur!ET74*VLOOKUP('Données projet'!$B$15,Paramètres!$A$1:$I$89,3,0)*0.475*44/12</f>
        <v>23.134042499673068</v>
      </c>
      <c r="EX74" s="21">
        <f>EXP(-LN(2)/2)*EX73+(1-EXP(-LN(2)/2))/(LN(2)/2)*ER74*EU74*VLOOKUP('Données projet'!$B$15,Paramètres!$A$1:$I$89,3,0)*0.475*44/12</f>
        <v>0.99195974338513204</v>
      </c>
      <c r="EY74" s="22">
        <f t="shared" si="75"/>
        <v>73.550245316102249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68.051533788474444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12</v>
      </c>
      <c r="FE74" s="12">
        <f>IF('Données projet'!$A$218&gt;35,FE73+FD74-FM73,IF(A74&lt;'Données projet'!$A$218,$FB$205^A74,IF(A74='Données projet'!$A$218,'Données projet'!$B$218,FE73+FD74-FM73)))</f>
        <v>888.00000000000034</v>
      </c>
      <c r="FF74" s="17">
        <f>FE74*VLOOKUP('Données projet'!$B$16,Paramètres!$A$1:$I$89,3,0)*VLOOKUP('Données projet'!$B$16,Paramètres!$A$1:$I$89,5,0)</f>
        <v>392.49600000000021</v>
      </c>
      <c r="FG74" s="13">
        <f t="shared" si="101"/>
        <v>90.253671642343946</v>
      </c>
      <c r="FH74" s="20">
        <f t="shared" si="76"/>
        <v>840.78901144374925</v>
      </c>
      <c r="FI74" s="59">
        <f t="shared" si="77"/>
        <v>1126.9779686681554</v>
      </c>
      <c r="FJ74" s="59">
        <f ca="1">AVERAGE(OFFSET($FI$3,0,0,'Données projet'!$E$16+1,1))-AVERAGE(OFFSET($H$3,0,0,'Données projet'!$E$16+1,1))</f>
        <v>508.71179785154317</v>
      </c>
      <c r="FK74" s="59">
        <f t="shared" si="102"/>
        <v>422.73937290731442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33.287931640703867</v>
      </c>
      <c r="FR74" s="21">
        <f>EXP(-LN(2)/25)*FR73+(1-EXP(-LN(2)/25))/(LN(2)/25)*Calculateur!FM74*Calculateur!FO74*VLOOKUP('Données projet'!$B$16,Paramètres!$A$1:$I$89,3,0)*0.475*44/12</f>
        <v>43.423536063353112</v>
      </c>
      <c r="FS74" s="21">
        <f>EXP(-LN(2)/2)*FS73+(1-EXP(-LN(2)/2))/(LN(2)/2)*FM74*FP74*VLOOKUP('Données projet'!$B$16,Paramètres!$A$1:$I$89,3,0)*0.475*44/12</f>
        <v>1.7294096471085114</v>
      </c>
      <c r="FT74" s="22">
        <f t="shared" si="78"/>
        <v>78.440877351165497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68.051533788474444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68.051533788474444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1.35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4.95</v>
      </c>
      <c r="H75" s="67">
        <f t="shared" si="56"/>
        <v>236.86666666666665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68.08533532112655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7.6</v>
      </c>
      <c r="N75" s="13">
        <f>IF('Données projet'!$A$36&gt;35,N74+M75-V74,IF(A75&lt;'Données projet'!$A$36,$K$205^A75,IF(A75='Données projet'!$A$36,'Données projet'!$B$36,N74+M75-V74)))</f>
        <v>289.19999999999993</v>
      </c>
      <c r="O75" s="13">
        <f>N75*VLOOKUP('Données projet'!$B$9,Paramètres!$A$1:$I$89,3,0)*VLOOKUP('Données projet'!$B$9,Paramètres!$A$1:$I$89,5,0)</f>
        <v>261.66815999999994</v>
      </c>
      <c r="P75" s="13">
        <f t="shared" si="87"/>
        <v>63.077829793082856</v>
      </c>
      <c r="Q75" s="20">
        <f t="shared" si="54"/>
        <v>565.59926555628579</v>
      </c>
      <c r="R75" s="59">
        <f t="shared" si="55"/>
        <v>851.91216173374983</v>
      </c>
      <c r="S75" s="59">
        <f ca="1">AVERAGE(OFFSET($R$3,0,0,'Données projet'!$E$9+1,1))-AVERAGE(OFFSET($H$3,0,0,'Données projet'!$E$9+1,1))</f>
        <v>466.90449882701591</v>
      </c>
      <c r="T75" s="59">
        <f t="shared" si="88"/>
        <v>283.37641704892053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21.385193111926217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21.385193111926217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68.08533532112655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6.2</v>
      </c>
      <c r="AI75" s="13">
        <f>IF('Données projet'!$A$62&gt;35,AI74+AH75-AQ74,IF(A75&lt;'Données projet'!$A$62,$AF$205^A75,IF(A75='Données projet'!$A$62,'Données projet'!$B$62,AI74+AH75-AQ74)))</f>
        <v>233.39999999999998</v>
      </c>
      <c r="AJ75" s="13">
        <f>AI75*VLOOKUP('Données projet'!$B$10,Paramètres!$A$1:$I$89,3,0)*VLOOKUP('Données projet'!$B$10,Paramètres!$A$1:$I$89,5,0)</f>
        <v>222.10344000000001</v>
      </c>
      <c r="AK75" s="13">
        <f t="shared" si="89"/>
        <v>54.571804516465022</v>
      </c>
      <c r="AL75" s="20">
        <f t="shared" si="58"/>
        <v>481.87605086617651</v>
      </c>
      <c r="AM75" s="59">
        <f t="shared" si="59"/>
        <v>768.1889470436405</v>
      </c>
      <c r="AN75" s="59">
        <f ca="1">AVERAGE(OFFSET($AM$3,0,0,'Données projet'!$E$10+1,1))-AVERAGE(OFFSET($H$3,0,0,'Données projet'!$E$10+1,1))</f>
        <v>399.5572791581468</v>
      </c>
      <c r="AO75" s="59">
        <f t="shared" si="90"/>
        <v>246.34185986079777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16.868492842596975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16.868492842596975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68.08533532112655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5.6843418860808015E-14</v>
      </c>
      <c r="BE75" s="13">
        <f>BD75*VLOOKUP('Données projet'!$B$11,Paramètres!$A$1:$I$89,3,0)*VLOOKUP('Données projet'!$B$11,Paramètres!$A$1:$I$89,5,0)</f>
        <v>4.4337866711430253E-14</v>
      </c>
      <c r="BF75" s="13">
        <f t="shared" si="91"/>
        <v>7.3222115536967035E-13</v>
      </c>
      <c r="BG75" s="20">
        <f t="shared" si="61"/>
        <v>1.3525069634579169E-12</v>
      </c>
      <c r="BH75" s="59">
        <f t="shared" si="62"/>
        <v>286.31289617746535</v>
      </c>
      <c r="BI75" s="59">
        <f ca="1">AVERAGE(OFFSET($BH$3,0,0,'Données projet'!$E$11+1,1))-AVERAGE(OFFSET($H$3,0,0,'Données projet'!$E$11+1,1))</f>
        <v>294.23449029791681</v>
      </c>
      <c r="BJ75" s="59">
        <f t="shared" si="92"/>
        <v>288.64639202306159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88.652519057502559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88.652519057502559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68.08533532112655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6.2</v>
      </c>
      <c r="BY75" s="12">
        <f>IF('Données projet'!$A$114&gt;35,BY74+BX75-CG74,IF(A75&lt;'Données projet'!$A$114,$BV$205^A75,IF(A75='Données projet'!$A$114,'Données projet'!$B$114,BY74+BX75-CG74)))</f>
        <v>233.39999999999998</v>
      </c>
      <c r="BZ75" s="13">
        <f>BY75*VLOOKUP('Données projet'!$B$12,Paramètres!$A$1:$I$89,3,0)*VLOOKUP('Données projet'!$B$12,Paramètres!$A$1:$I$89,5,0)</f>
        <v>251.23175999999995</v>
      </c>
      <c r="CA75" s="13">
        <f t="shared" si="93"/>
        <v>60.849628220886935</v>
      </c>
      <c r="CB75" s="20">
        <f t="shared" si="64"/>
        <v>543.54175115137798</v>
      </c>
      <c r="CC75" s="59">
        <f t="shared" si="65"/>
        <v>829.85464732884202</v>
      </c>
      <c r="CD75" s="59">
        <f ca="1">AVERAGE(OFFSET($CC$3,0,0,'Données projet'!$E$12+1,1))-AVERAGE(OFFSET($H$3,0,0,'Données projet'!$E$12+1,1))</f>
        <v>445.38112098358147</v>
      </c>
      <c r="CE75" s="59">
        <f t="shared" si="94"/>
        <v>272.45883568548516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19.080754199003138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19.080754199003138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68.08533532112655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6.2</v>
      </c>
      <c r="CT75" s="12">
        <f>IF('Données projet'!$A$140&gt;35,CT74+CS75-DB74,IF(A75&lt;'Données projet'!$A$140,$CQ$205^A75,IF(A75='Données projet'!$A$140,'Données projet'!$B$140,CT74+CS75-DB74)))</f>
        <v>233.39999999999998</v>
      </c>
      <c r="CU75" s="17">
        <f>CT75*VLOOKUP('Données projet'!$B$13,Paramètres!$A$1:$I$89,3,0)*VLOOKUP('Données projet'!$B$13,Paramètres!$A$1:$I$89,5,0)</f>
        <v>251.23175999999995</v>
      </c>
      <c r="CV75" s="13">
        <f t="shared" si="95"/>
        <v>60.849628220886935</v>
      </c>
      <c r="CW75" s="20">
        <f t="shared" si="67"/>
        <v>543.54175115137798</v>
      </c>
      <c r="CX75" s="59">
        <f t="shared" si="68"/>
        <v>829.85464732884202</v>
      </c>
      <c r="CY75" s="59">
        <f ca="1">AVERAGE(OFFSET($CX$3,0,0,'Données projet'!$E$13+1,1))-AVERAGE(OFFSET($H$3,0,0,'Données projet'!$E$13+1,1))</f>
        <v>445.38112098358147</v>
      </c>
      <c r="CZ75" s="59">
        <f t="shared" si="96"/>
        <v>272.45883568548516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19.080754199003138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19.080754199003138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68.08533532112655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6.2</v>
      </c>
      <c r="DO75" s="12">
        <f>IF('Données projet'!$A$166&gt;35,DO74+DN75-DW74,IF(A75&lt;'Données projet'!$A$166,$DL$205^A75,IF(A75='Données projet'!$A$166,'Données projet'!$B$166,DO74+DN75-DW74)))</f>
        <v>233.39999999999998</v>
      </c>
      <c r="DP75" s="17">
        <f>DO75*VLOOKUP('Données projet'!$B$14,Paramètres!$A$1:$I$89,3,0)*VLOOKUP('Données projet'!$B$14,Paramètres!$A$1:$I$89,5,0)</f>
        <v>225.74448000000001</v>
      </c>
      <c r="DQ75" s="13">
        <f t="shared" si="97"/>
        <v>55.36154088431374</v>
      </c>
      <c r="DR75" s="20">
        <f t="shared" si="70"/>
        <v>489.59298637351304</v>
      </c>
      <c r="DS75" s="59">
        <f t="shared" si="71"/>
        <v>775.90588255097703</v>
      </c>
      <c r="DT75" s="59">
        <f ca="1">AVERAGE(OFFSET($DS$3,0,0,'Données projet'!$E$14+1,1))-AVERAGE(OFFSET($H$3,0,0,'Données projet'!$E$14+1,1))</f>
        <v>405.29179902613089</v>
      </c>
      <c r="DU75" s="59">
        <f t="shared" si="98"/>
        <v>249.61049717638238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17.145025512147747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17.145025512147747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68.08533532112655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12.888750000000002</v>
      </c>
      <c r="EJ75" s="12">
        <f>IF('Données projet'!$A$192&gt;35,EJ74+EI75-ER74,IF(A75&lt;'Données projet'!$A$192,$EG$205^A75,IF(A75='Données projet'!$A$192,'Données projet'!$B$192,EJ74+EI75-ER74)))</f>
        <v>620.01499999999965</v>
      </c>
      <c r="EK75" s="17">
        <f>EJ75*VLOOKUP('Données projet'!$B$15,Paramètres!$A$1:$I$89,3,0)*VLOOKUP('Données projet'!$B$15,Paramètres!$A$1:$I$89,5,0)</f>
        <v>370.7689699999998</v>
      </c>
      <c r="EL75" s="13">
        <f t="shared" si="99"/>
        <v>85.824604716239875</v>
      </c>
      <c r="EM75" s="20">
        <f t="shared" si="73"/>
        <v>795.23380929745065</v>
      </c>
      <c r="EN75" s="59">
        <f t="shared" si="74"/>
        <v>1081.5467054749147</v>
      </c>
      <c r="EO75" s="59">
        <f ca="1">AVERAGE(OFFSET($EN$3,0,0,'Données projet'!$E$15+1,1))-AVERAGE(OFFSET($H$3,0,0,'Données projet'!$E$15+1,1))</f>
        <v>444.77624981561257</v>
      </c>
      <c r="EP75" s="59">
        <f t="shared" si="100"/>
        <v>382.10319641527587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48.455063812193266</v>
      </c>
      <c r="EW75" s="21">
        <f>EXP(-LN(2)/25)*EW74+(1-EXP(-LN(2)/25))/(LN(2)/25)*Calculateur!ER75*Calculateur!ET75*VLOOKUP('Données projet'!$B$15,Paramètres!$A$1:$I$89,3,0)*0.475*44/12</f>
        <v>22.501440890953088</v>
      </c>
      <c r="EX75" s="21">
        <f>EXP(-LN(2)/2)*EX74+(1-EXP(-LN(2)/2))/(LN(2)/2)*ER75*EU75*VLOOKUP('Données projet'!$B$15,Paramètres!$A$1:$I$89,3,0)*0.475*44/12</f>
        <v>0.70142146121169446</v>
      </c>
      <c r="EY75" s="22">
        <f t="shared" si="75"/>
        <v>71.657926164358045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68.08533532112655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12</v>
      </c>
      <c r="FE75" s="12">
        <f>IF('Données projet'!$A$218&gt;35,FE74+FD75-FM74,IF(A75&lt;'Données projet'!$A$218,$FB$205^A75,IF(A75='Données projet'!$A$218,'Données projet'!$B$218,FE74+FD75-FM74)))</f>
        <v>900.00000000000034</v>
      </c>
      <c r="FF75" s="17">
        <f>FE75*VLOOKUP('Données projet'!$B$16,Paramètres!$A$1:$I$89,3,0)*VLOOKUP('Données projet'!$B$16,Paramètres!$A$1:$I$89,5,0)</f>
        <v>397.80000000000018</v>
      </c>
      <c r="FG75" s="13">
        <f t="shared" si="101"/>
        <v>91.330505920740748</v>
      </c>
      <c r="FH75" s="20">
        <f t="shared" si="76"/>
        <v>851.90229781195706</v>
      </c>
      <c r="FI75" s="59">
        <f t="shared" si="77"/>
        <v>1138.2151939894211</v>
      </c>
      <c r="FJ75" s="59">
        <f ca="1">AVERAGE(OFFSET($FI$3,0,0,'Données projet'!$E$16+1,1))-AVERAGE(OFFSET($H$3,0,0,'Données projet'!$E$16+1,1))</f>
        <v>508.71179785154317</v>
      </c>
      <c r="FK75" s="59">
        <f t="shared" si="102"/>
        <v>422.73937290731442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32.63517560486315</v>
      </c>
      <c r="FR75" s="21">
        <f>EXP(-LN(2)/25)*FR74+(1-EXP(-LN(2)/25))/(LN(2)/25)*Calculateur!FM75*Calculateur!FO75*VLOOKUP('Données projet'!$B$16,Paramètres!$A$1:$I$89,3,0)*0.475*44/12</f>
        <v>42.236117186156207</v>
      </c>
      <c r="FS75" s="21">
        <f>EXP(-LN(2)/2)*FS74+(1-EXP(-LN(2)/2))/(LN(2)/2)*FM75*FP75*VLOOKUP('Données projet'!$B$16,Paramètres!$A$1:$I$89,3,0)*0.475*44/12</f>
        <v>1.2228772889198627</v>
      </c>
      <c r="FT75" s="22">
        <f t="shared" si="78"/>
        <v>76.094170079939218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68.08533532112655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68.08533532112655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1.35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4.95</v>
      </c>
      <c r="H76" s="67">
        <f t="shared" si="56"/>
        <v>236.86666666666665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68.118550472756056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7.6</v>
      </c>
      <c r="N76" s="13">
        <f>IF('Données projet'!$A$36&gt;35,N75+M76-V75,IF(A76&lt;'Données projet'!$A$36,$K$205^A76,IF(A76='Données projet'!$A$36,'Données projet'!$B$36,N75+M76-V75)))</f>
        <v>296.79999999999995</v>
      </c>
      <c r="O76" s="13">
        <f>N76*VLOOKUP('Données projet'!$B$9,Paramètres!$A$1:$I$89,3,0)*VLOOKUP('Données projet'!$B$9,Paramètres!$A$1:$I$89,5,0)</f>
        <v>268.5446399999999</v>
      </c>
      <c r="P76" s="13">
        <f t="shared" si="87"/>
        <v>64.54030807605065</v>
      </c>
      <c r="Q76" s="20">
        <f t="shared" si="54"/>
        <v>580.12295123245474</v>
      </c>
      <c r="R76" s="59">
        <f t="shared" si="55"/>
        <v>866.55763629922694</v>
      </c>
      <c r="S76" s="59">
        <f ca="1">AVERAGE(OFFSET($R$3,0,0,'Données projet'!$E$9+1,1))-AVERAGE(OFFSET($H$3,0,0,'Données projet'!$E$9+1,1))</f>
        <v>466.90449882701591</v>
      </c>
      <c r="T76" s="59">
        <f t="shared" si="88"/>
        <v>283.37641704892053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20.965842518681185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20.965842518681185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68.118550472756056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6.2</v>
      </c>
      <c r="AI76" s="13">
        <f>IF('Données projet'!$A$62&gt;35,AI75+AH76-AQ75,IF(A76&lt;'Données projet'!$A$62,$AF$205^A76,IF(A76='Données projet'!$A$62,'Données projet'!$B$62,AI75+AH76-AQ75)))</f>
        <v>239.59999999999997</v>
      </c>
      <c r="AJ76" s="13">
        <f>AI76*VLOOKUP('Données projet'!$B$10,Paramètres!$A$1:$I$89,3,0)*VLOOKUP('Données projet'!$B$10,Paramètres!$A$1:$I$89,5,0)</f>
        <v>228.00335999999999</v>
      </c>
      <c r="AK76" s="13">
        <f t="shared" si="89"/>
        <v>55.850742452867522</v>
      </c>
      <c r="AL76" s="20">
        <f t="shared" si="58"/>
        <v>494.37922843874429</v>
      </c>
      <c r="AM76" s="59">
        <f t="shared" si="59"/>
        <v>780.81391350551644</v>
      </c>
      <c r="AN76" s="59">
        <f ca="1">AVERAGE(OFFSET($AM$3,0,0,'Données projet'!$E$10+1,1))-AVERAGE(OFFSET($H$3,0,0,'Données projet'!$E$10+1,1))</f>
        <v>399.5572791581468</v>
      </c>
      <c r="AO76" s="59">
        <f t="shared" si="90"/>
        <v>246.34185986079777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16.53771198671835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16.53771198671835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68.118550472756056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5.6843418860808015E-14</v>
      </c>
      <c r="BE76" s="13">
        <f>BD76*VLOOKUP('Données projet'!$B$11,Paramètres!$A$1:$I$89,3,0)*VLOOKUP('Données projet'!$B$11,Paramètres!$A$1:$I$89,5,0)</f>
        <v>4.4337866711430253E-14</v>
      </c>
      <c r="BF76" s="13">
        <f t="shared" si="91"/>
        <v>7.3222115536967035E-13</v>
      </c>
      <c r="BG76" s="20">
        <f t="shared" si="61"/>
        <v>1.3525069634579169E-12</v>
      </c>
      <c r="BH76" s="59">
        <f t="shared" si="62"/>
        <v>286.43468506677357</v>
      </c>
      <c r="BI76" s="59">
        <f ca="1">AVERAGE(OFFSET($BH$3,0,0,'Données projet'!$E$11+1,1))-AVERAGE(OFFSET($H$3,0,0,'Données projet'!$E$11+1,1))</f>
        <v>294.23449029791681</v>
      </c>
      <c r="BJ76" s="59">
        <f t="shared" si="92"/>
        <v>288.64639202306159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86.91409723148233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86.91409723148233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68.118550472756056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6.2</v>
      </c>
      <c r="BY76" s="12">
        <f>IF('Données projet'!$A$114&gt;35,BY75+BX76-CG75,IF(A76&lt;'Données projet'!$A$114,$BV$205^A76,IF(A76='Données projet'!$A$114,'Données projet'!$B$114,BY75+BX76-CG75)))</f>
        <v>239.59999999999997</v>
      </c>
      <c r="BZ76" s="13">
        <f>BY76*VLOOKUP('Données projet'!$B$12,Paramètres!$A$1:$I$89,3,0)*VLOOKUP('Données projet'!$B$12,Paramètres!$A$1:$I$89,5,0)</f>
        <v>257.90543999999994</v>
      </c>
      <c r="CA76" s="13">
        <f t="shared" si="93"/>
        <v>62.275692442827719</v>
      </c>
      <c r="CB76" s="20">
        <f t="shared" si="64"/>
        <v>557.64880567125817</v>
      </c>
      <c r="CC76" s="59">
        <f t="shared" si="65"/>
        <v>844.08349073803038</v>
      </c>
      <c r="CD76" s="59">
        <f ca="1">AVERAGE(OFFSET($CC$3,0,0,'Données projet'!$E$12+1,1))-AVERAGE(OFFSET($H$3,0,0,'Données projet'!$E$12+1,1))</f>
        <v>445.38112098358147</v>
      </c>
      <c r="CE76" s="59">
        <f t="shared" si="94"/>
        <v>272.45883568548516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18.70659224727158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18.70659224727158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68.118550472756056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6.2</v>
      </c>
      <c r="CT76" s="12">
        <f>IF('Données projet'!$A$140&gt;35,CT75+CS76-DB75,IF(A76&lt;'Données projet'!$A$140,$CQ$205^A76,IF(A76='Données projet'!$A$140,'Données projet'!$B$140,CT75+CS76-DB75)))</f>
        <v>239.59999999999997</v>
      </c>
      <c r="CU76" s="17">
        <f>CT76*VLOOKUP('Données projet'!$B$13,Paramètres!$A$1:$I$89,3,0)*VLOOKUP('Données projet'!$B$13,Paramètres!$A$1:$I$89,5,0)</f>
        <v>257.90543999999994</v>
      </c>
      <c r="CV76" s="13">
        <f t="shared" si="95"/>
        <v>62.275692442827719</v>
      </c>
      <c r="CW76" s="20">
        <f t="shared" si="67"/>
        <v>557.64880567125817</v>
      </c>
      <c r="CX76" s="59">
        <f t="shared" si="68"/>
        <v>844.08349073803038</v>
      </c>
      <c r="CY76" s="59">
        <f ca="1">AVERAGE(OFFSET($CX$3,0,0,'Données projet'!$E$13+1,1))-AVERAGE(OFFSET($H$3,0,0,'Données projet'!$E$13+1,1))</f>
        <v>445.38112098358147</v>
      </c>
      <c r="CZ76" s="59">
        <f t="shared" si="96"/>
        <v>272.45883568548516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18.70659224727158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18.70659224727158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68.118550472756056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6.2</v>
      </c>
      <c r="DO76" s="12">
        <f>IF('Données projet'!$A$166&gt;35,DO75+DN76-DW75,IF(A76&lt;'Données projet'!$A$166,$DL$205^A76,IF(A76='Données projet'!$A$166,'Données projet'!$B$166,DO75+DN76-DW75)))</f>
        <v>239.59999999999997</v>
      </c>
      <c r="DP76" s="17">
        <f>DO76*VLOOKUP('Données projet'!$B$14,Paramètres!$A$1:$I$89,3,0)*VLOOKUP('Données projet'!$B$14,Paramètres!$A$1:$I$89,5,0)</f>
        <v>231.74111999999994</v>
      </c>
      <c r="DQ76" s="13">
        <f t="shared" si="97"/>
        <v>56.658986982752438</v>
      </c>
      <c r="DR76" s="20">
        <f t="shared" si="70"/>
        <v>502.29685299496037</v>
      </c>
      <c r="DS76" s="59">
        <f t="shared" si="71"/>
        <v>788.73153806173264</v>
      </c>
      <c r="DT76" s="59">
        <f ca="1">AVERAGE(OFFSET($DS$3,0,0,'Données projet'!$E$14+1,1))-AVERAGE(OFFSET($H$3,0,0,'Données projet'!$E$14+1,1))</f>
        <v>405.29179902613089</v>
      </c>
      <c r="DU76" s="59">
        <f t="shared" si="98"/>
        <v>249.61049717638238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16.808822019287508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16.808822019287508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68.118550472756056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12.888750000000002</v>
      </c>
      <c r="EJ76" s="12">
        <f>IF('Données projet'!$A$192&gt;35,EJ75+EI76-ER75,IF(A76&lt;'Données projet'!$A$192,$EG$205^A76,IF(A76='Données projet'!$A$192,'Données projet'!$B$192,EJ75+EI76-ER75)))</f>
        <v>632.9037499999996</v>
      </c>
      <c r="EK76" s="17">
        <f>EJ76*VLOOKUP('Données projet'!$B$15,Paramètres!$A$1:$I$89,3,0)*VLOOKUP('Données projet'!$B$15,Paramètres!$A$1:$I$89,5,0)</f>
        <v>378.47644249999979</v>
      </c>
      <c r="EL76" s="13">
        <f t="shared" si="99"/>
        <v>87.399147255585461</v>
      </c>
      <c r="EM76" s="20">
        <f t="shared" si="73"/>
        <v>811.39998549097754</v>
      </c>
      <c r="EN76" s="59">
        <f t="shared" si="74"/>
        <v>1097.8346705577496</v>
      </c>
      <c r="EO76" s="59">
        <f ca="1">AVERAGE(OFFSET($EN$3,0,0,'Données projet'!$E$15+1,1))-AVERAGE(OFFSET($H$3,0,0,'Données projet'!$E$15+1,1))</f>
        <v>444.77624981561257</v>
      </c>
      <c r="EP76" s="59">
        <f t="shared" si="100"/>
        <v>382.10319641527587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47.504889565506801</v>
      </c>
      <c r="EW76" s="21">
        <f>EXP(-LN(2)/25)*EW75+(1-EXP(-LN(2)/25))/(LN(2)/25)*Calculateur!ER76*Calculateur!ET76*VLOOKUP('Données projet'!$B$15,Paramètres!$A$1:$I$89,3,0)*0.475*44/12</f>
        <v>21.886137806490627</v>
      </c>
      <c r="EX76" s="21">
        <f>EXP(-LN(2)/2)*EX75+(1-EXP(-LN(2)/2))/(LN(2)/2)*ER76*EU76*VLOOKUP('Données projet'!$B$15,Paramètres!$A$1:$I$89,3,0)*0.475*44/12</f>
        <v>0.49597987169256608</v>
      </c>
      <c r="EY76" s="22">
        <f t="shared" si="75"/>
        <v>69.887007243689993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68.118550472756056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12</v>
      </c>
      <c r="FE76" s="12">
        <f>IF('Données projet'!$A$218&gt;35,FE75+FD76-FM75,IF(A76&lt;'Données projet'!$A$218,$FB$205^A76,IF(A76='Données projet'!$A$218,'Données projet'!$B$218,FE75+FD76-FM75)))</f>
        <v>912.00000000000034</v>
      </c>
      <c r="FF76" s="17">
        <f>FE76*VLOOKUP('Données projet'!$B$16,Paramètres!$A$1:$I$89,3,0)*VLOOKUP('Données projet'!$B$16,Paramètres!$A$1:$I$89,5,0)</f>
        <v>403.10400000000021</v>
      </c>
      <c r="FG76" s="13">
        <f t="shared" si="101"/>
        <v>92.405670196231384</v>
      </c>
      <c r="FH76" s="20">
        <f t="shared" si="76"/>
        <v>863.01267559176995</v>
      </c>
      <c r="FI76" s="59">
        <f t="shared" si="77"/>
        <v>1149.447360658542</v>
      </c>
      <c r="FJ76" s="59">
        <f ca="1">AVERAGE(OFFSET($FI$3,0,0,'Données projet'!$E$16+1,1))-AVERAGE(OFFSET($H$3,0,0,'Données projet'!$E$16+1,1))</f>
        <v>508.71179785154317</v>
      </c>
      <c r="FK76" s="59">
        <f t="shared" si="102"/>
        <v>422.73937290731442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31.995219716743399</v>
      </c>
      <c r="FR76" s="21">
        <f>EXP(-LN(2)/25)*FR75+(1-EXP(-LN(2)/25))/(LN(2)/25)*Calculateur!FM76*Calculateur!FO76*VLOOKUP('Données projet'!$B$16,Paramètres!$A$1:$I$89,3,0)*0.475*44/12</f>
        <v>41.081168340599895</v>
      </c>
      <c r="FS76" s="21">
        <f>EXP(-LN(2)/2)*FS75+(1-EXP(-LN(2)/2))/(LN(2)/2)*FM76*FP76*VLOOKUP('Données projet'!$B$16,Paramètres!$A$1:$I$89,3,0)*0.475*44/12</f>
        <v>0.86470482355425582</v>
      </c>
      <c r="FT76" s="22">
        <f t="shared" si="78"/>
        <v>73.941092880897557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68.118550472756056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68.118550472756056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1.35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4.95</v>
      </c>
      <c r="H77" s="67">
        <f t="shared" si="56"/>
        <v>236.86666666666665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68.151189415762744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7.6</v>
      </c>
      <c r="N77" s="13">
        <f>IF('Données projet'!$A$36&gt;35,N76+M77-V76,IF(A77&lt;'Données projet'!$A$36,$K$205^A77,IF(A77='Données projet'!$A$36,'Données projet'!$B$36,N76+M77-V76)))</f>
        <v>304.39999999999998</v>
      </c>
      <c r="O77" s="13">
        <f>N77*VLOOKUP('Données projet'!$B$9,Paramètres!$A$1:$I$89,3,0)*VLOOKUP('Données projet'!$B$9,Paramètres!$A$1:$I$89,5,0)</f>
        <v>275.42111999999997</v>
      </c>
      <c r="P77" s="13">
        <f t="shared" si="87"/>
        <v>65.998433293601067</v>
      </c>
      <c r="Q77" s="20">
        <f t="shared" si="54"/>
        <v>594.63905531968851</v>
      </c>
      <c r="R77" s="59">
        <f t="shared" si="55"/>
        <v>881.19341651081857</v>
      </c>
      <c r="S77" s="59">
        <f ca="1">AVERAGE(OFFSET($R$3,0,0,'Données projet'!$E$9+1,1))-AVERAGE(OFFSET($H$3,0,0,'Données projet'!$E$9+1,1))</f>
        <v>466.90449882701591</v>
      </c>
      <c r="T77" s="59">
        <f t="shared" si="88"/>
        <v>283.37641704892053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20.554715134791085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20.554715134791085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68.151189415762744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6.2</v>
      </c>
      <c r="AI77" s="13">
        <f>IF('Données projet'!$A$62&gt;35,AI76+AH77-AQ76,IF(A77&lt;'Données projet'!$A$62,$AF$205^A77,IF(A77='Données projet'!$A$62,'Données projet'!$B$62,AI76+AH77-AQ76)))</f>
        <v>245.79999999999995</v>
      </c>
      <c r="AJ77" s="13">
        <f>AI77*VLOOKUP('Données projet'!$B$10,Paramètres!$A$1:$I$89,3,0)*VLOOKUP('Données projet'!$B$10,Paramètres!$A$1:$I$89,5,0)</f>
        <v>233.90327999999994</v>
      </c>
      <c r="AK77" s="13">
        <f t="shared" si="89"/>
        <v>57.125833544518095</v>
      </c>
      <c r="AL77" s="20">
        <f t="shared" si="58"/>
        <v>506.87570609003552</v>
      </c>
      <c r="AM77" s="59">
        <f t="shared" si="59"/>
        <v>793.43006728116552</v>
      </c>
      <c r="AN77" s="59">
        <f ca="1">AVERAGE(OFFSET($AM$3,0,0,'Données projet'!$E$10+1,1))-AVERAGE(OFFSET($H$3,0,0,'Données projet'!$E$10+1,1))</f>
        <v>399.5572791581468</v>
      </c>
      <c r="AO77" s="59">
        <f t="shared" si="90"/>
        <v>246.34185986079777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16.213417541667106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16.213417541667106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68.151189415762744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5.6843418860808015E-14</v>
      </c>
      <c r="BE77" s="13">
        <f>BD77*VLOOKUP('Données projet'!$B$11,Paramètres!$A$1:$I$89,3,0)*VLOOKUP('Données projet'!$B$11,Paramètres!$A$1:$I$89,5,0)</f>
        <v>4.4337866711430253E-14</v>
      </c>
      <c r="BF77" s="13">
        <f t="shared" si="91"/>
        <v>7.3222115536967035E-13</v>
      </c>
      <c r="BG77" s="20">
        <f t="shared" si="61"/>
        <v>1.3525069634579169E-12</v>
      </c>
      <c r="BH77" s="59">
        <f t="shared" si="62"/>
        <v>286.55436119113142</v>
      </c>
      <c r="BI77" s="59">
        <f ca="1">AVERAGE(OFFSET($BH$3,0,0,'Données projet'!$E$11+1,1))-AVERAGE(OFFSET($H$3,0,0,'Données projet'!$E$11+1,1))</f>
        <v>294.23449029791681</v>
      </c>
      <c r="BJ77" s="59">
        <f t="shared" si="92"/>
        <v>288.64639202306159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85.209764797137737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85.209764797137737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68.151189415762744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6.2</v>
      </c>
      <c r="BY77" s="12">
        <f>IF('Données projet'!$A$114&gt;35,BY76+BX77-CG76,IF(A77&lt;'Données projet'!$A$114,$BV$205^A77,IF(A77='Données projet'!$A$114,'Données projet'!$B$114,BY76+BX77-CG76)))</f>
        <v>245.79999999999995</v>
      </c>
      <c r="BZ77" s="13">
        <f>BY77*VLOOKUP('Données projet'!$B$12,Paramètres!$A$1:$I$89,3,0)*VLOOKUP('Données projet'!$B$12,Paramètres!$A$1:$I$89,5,0)</f>
        <v>264.57911999999993</v>
      </c>
      <c r="CA77" s="13">
        <f t="shared" si="93"/>
        <v>63.697467287221869</v>
      </c>
      <c r="CB77" s="20">
        <f t="shared" si="64"/>
        <v>571.74838952524453</v>
      </c>
      <c r="CC77" s="59">
        <f t="shared" si="65"/>
        <v>858.30275071637459</v>
      </c>
      <c r="CD77" s="59">
        <f ca="1">AVERAGE(OFFSET($CC$3,0,0,'Données projet'!$E$12+1,1))-AVERAGE(OFFSET($H$3,0,0,'Données projet'!$E$12+1,1))</f>
        <v>445.38112098358147</v>
      </c>
      <c r="CE77" s="59">
        <f t="shared" si="94"/>
        <v>272.45883568548516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18.33976738319722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18.33976738319722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68.151189415762744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6.2</v>
      </c>
      <c r="CT77" s="12">
        <f>IF('Données projet'!$A$140&gt;35,CT76+CS77-DB76,IF(A77&lt;'Données projet'!$A$140,$CQ$205^A77,IF(A77='Données projet'!$A$140,'Données projet'!$B$140,CT76+CS77-DB76)))</f>
        <v>245.79999999999995</v>
      </c>
      <c r="CU77" s="17">
        <f>CT77*VLOOKUP('Données projet'!$B$13,Paramètres!$A$1:$I$89,3,0)*VLOOKUP('Données projet'!$B$13,Paramètres!$A$1:$I$89,5,0)</f>
        <v>264.57911999999993</v>
      </c>
      <c r="CV77" s="13">
        <f t="shared" si="95"/>
        <v>63.697467287221869</v>
      </c>
      <c r="CW77" s="20">
        <f t="shared" si="67"/>
        <v>571.74838952524453</v>
      </c>
      <c r="CX77" s="59">
        <f t="shared" si="68"/>
        <v>858.30275071637459</v>
      </c>
      <c r="CY77" s="59">
        <f ca="1">AVERAGE(OFFSET($CX$3,0,0,'Données projet'!$E$13+1,1))-AVERAGE(OFFSET($H$3,0,0,'Données projet'!$E$13+1,1))</f>
        <v>445.38112098358147</v>
      </c>
      <c r="CZ77" s="59">
        <f t="shared" si="96"/>
        <v>272.45883568548516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18.33976738319722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18.33976738319722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68.151189415762744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6.2</v>
      </c>
      <c r="DO77" s="12">
        <f>IF('Données projet'!$A$166&gt;35,DO76+DN77-DW76,IF(A77&lt;'Données projet'!$A$166,$DL$205^A77,IF(A77='Données projet'!$A$166,'Données projet'!$B$166,DO76+DN77-DW76)))</f>
        <v>245.79999999999995</v>
      </c>
      <c r="DP77" s="17">
        <f>DO77*VLOOKUP('Données projet'!$B$14,Paramètres!$A$1:$I$89,3,0)*VLOOKUP('Données projet'!$B$14,Paramètres!$A$1:$I$89,5,0)</f>
        <v>237.73775999999995</v>
      </c>
      <c r="DQ77" s="13">
        <f t="shared" si="97"/>
        <v>57.952530566790166</v>
      </c>
      <c r="DR77" s="20">
        <f t="shared" si="70"/>
        <v>514.99392273715944</v>
      </c>
      <c r="DS77" s="59">
        <f t="shared" si="71"/>
        <v>801.54828392828949</v>
      </c>
      <c r="DT77" s="59">
        <f ca="1">AVERAGE(OFFSET($DS$3,0,0,'Données projet'!$E$14+1,1))-AVERAGE(OFFSET($H$3,0,0,'Données projet'!$E$14+1,1))</f>
        <v>405.29179902613089</v>
      </c>
      <c r="DU77" s="59">
        <f t="shared" si="98"/>
        <v>249.61049717638238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16.479211271858375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16.479211271858375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68.151189415762744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12.888750000000002</v>
      </c>
      <c r="EJ77" s="12">
        <f>IF('Données projet'!$A$192&gt;35,EJ76+EI77-ER76,IF(A77&lt;'Données projet'!$A$192,$EG$205^A77,IF(A77='Données projet'!$A$192,'Données projet'!$B$192,EJ76+EI77-ER76)))</f>
        <v>645.79249999999956</v>
      </c>
      <c r="EK77" s="17">
        <f>EJ77*VLOOKUP('Données projet'!$B$15,Paramètres!$A$1:$I$89,3,0)*VLOOKUP('Données projet'!$B$15,Paramètres!$A$1:$I$89,5,0)</f>
        <v>386.18391499999979</v>
      </c>
      <c r="EL77" s="13">
        <f t="shared" si="99"/>
        <v>88.969961608582523</v>
      </c>
      <c r="EM77" s="20">
        <f t="shared" si="73"/>
        <v>827.55966842661417</v>
      </c>
      <c r="EN77" s="59">
        <f t="shared" si="74"/>
        <v>1114.1140296177441</v>
      </c>
      <c r="EO77" s="59">
        <f ca="1">AVERAGE(OFFSET($EN$3,0,0,'Données projet'!$E$15+1,1))-AVERAGE(OFFSET($H$3,0,0,'Données projet'!$E$15+1,1))</f>
        <v>444.77624981561257</v>
      </c>
      <c r="EP77" s="59">
        <f t="shared" si="100"/>
        <v>382.10319641527587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46.573347656248792</v>
      </c>
      <c r="EW77" s="21">
        <f>EXP(-LN(2)/25)*EW76+(1-EXP(-LN(2)/25))/(LN(2)/25)*Calculateur!ER77*Calculateur!ET77*VLOOKUP('Données projet'!$B$15,Paramètres!$A$1:$I$89,3,0)*0.475*44/12</f>
        <v>21.287660217230176</v>
      </c>
      <c r="EX77" s="21">
        <f>EXP(-LN(2)/2)*EX76+(1-EXP(-LN(2)/2))/(LN(2)/2)*ER77*EU77*VLOOKUP('Données projet'!$B$15,Paramètres!$A$1:$I$89,3,0)*0.475*44/12</f>
        <v>0.35071073060584729</v>
      </c>
      <c r="EY77" s="22">
        <f t="shared" si="75"/>
        <v>68.211718604084822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68.151189415762744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12</v>
      </c>
      <c r="FE77" s="12">
        <f>IF('Données projet'!$A$218&gt;35,FE76+FD77-FM76,IF(A77&lt;'Données projet'!$A$218,$FB$205^A77,IF(A77='Données projet'!$A$218,'Données projet'!$B$218,FE76+FD77-FM76)))</f>
        <v>924.00000000000034</v>
      </c>
      <c r="FF77" s="17">
        <f>FE77*VLOOKUP('Données projet'!$B$16,Paramètres!$A$1:$I$89,3,0)*VLOOKUP('Données projet'!$B$16,Paramètres!$A$1:$I$89,5,0)</f>
        <v>408.40800000000019</v>
      </c>
      <c r="FG77" s="13">
        <f t="shared" si="101"/>
        <v>93.479188982926331</v>
      </c>
      <c r="FH77" s="20">
        <f t="shared" si="76"/>
        <v>874.12018747859702</v>
      </c>
      <c r="FI77" s="59">
        <f t="shared" si="77"/>
        <v>1160.6745486697271</v>
      </c>
      <c r="FJ77" s="59">
        <f ca="1">AVERAGE(OFFSET($FI$3,0,0,'Données projet'!$E$16+1,1))-AVERAGE(OFFSET($H$3,0,0,'Données projet'!$E$16+1,1))</f>
        <v>508.71179785154317</v>
      </c>
      <c r="FK77" s="59">
        <f t="shared" si="102"/>
        <v>422.73937290731442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31.367812973255127</v>
      </c>
      <c r="FR77" s="21">
        <f>EXP(-LN(2)/25)*FR76+(1-EXP(-LN(2)/25))/(LN(2)/25)*Calculateur!FM77*Calculateur!FO77*VLOOKUP('Données projet'!$B$16,Paramètres!$A$1:$I$89,3,0)*0.475*44/12</f>
        <v>39.957801631961438</v>
      </c>
      <c r="FS77" s="21">
        <f>EXP(-LN(2)/2)*FS76+(1-EXP(-LN(2)/2))/(LN(2)/2)*FM77*FP77*VLOOKUP('Données projet'!$B$16,Paramètres!$A$1:$I$89,3,0)*0.475*44/12</f>
        <v>0.61143864445993135</v>
      </c>
      <c r="FT77" s="22">
        <f t="shared" si="78"/>
        <v>71.937053249676509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68.151189415762744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68.151189415762744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1.35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4.95</v>
      </c>
      <c r="H78" s="67">
        <f t="shared" si="56"/>
        <v>236.86666666666665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68.183262146078008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312</v>
      </c>
      <c r="L78" s="12">
        <f>VLOOKUP(A78,'Données projet'!$A$35:$I$55,9,0)</f>
        <v>7.6</v>
      </c>
      <c r="M78" s="12">
        <f t="array" ref="M78">INDEX(L:L,MIN(IF(ISNUMBER(L78:L274),ROW(L78:L274),"")))</f>
        <v>7.6</v>
      </c>
      <c r="N78" s="13">
        <f>IF('Données projet'!$A$36&gt;35,N77+M78-V77,IF(A78&lt;'Données projet'!$A$36,$K$205^A78,IF(A78='Données projet'!$A$36,'Données projet'!$B$36,N77+M78-V77)))</f>
        <v>312</v>
      </c>
      <c r="O78" s="13">
        <f>N78*VLOOKUP('Données projet'!$B$9,Paramètres!$A$1:$I$89,3,0)*VLOOKUP('Données projet'!$B$9,Paramètres!$A$1:$I$89,5,0)</f>
        <v>282.29759999999999</v>
      </c>
      <c r="P78" s="13">
        <f t="shared" si="87"/>
        <v>67.452326629470178</v>
      </c>
      <c r="Q78" s="20">
        <f t="shared" si="54"/>
        <v>609.14778887966042</v>
      </c>
      <c r="R78" s="59">
        <f t="shared" si="55"/>
        <v>895.81975008194649</v>
      </c>
      <c r="S78" s="59">
        <f ca="1">AVERAGE(OFFSET($R$3,0,0,'Données projet'!$E$9+1,1))-AVERAGE(OFFSET($H$3,0,0,'Données projet'!$E$9+1,1))</f>
        <v>466.90449882701591</v>
      </c>
      <c r="T78" s="59">
        <f t="shared" si="88"/>
        <v>283.37641704892053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28</v>
      </c>
      <c r="W78" s="16">
        <f>IF(ISNA(VLOOKUP(A78,'Données projet'!$A$35:$I$55,5,0)),0%,VLOOKUP(A78,'Données projet'!$A$35:$I$55,5,0)*VLOOKUP('Données projet'!$B$9,Paramètres!$A$1:$I$89,7,0))</f>
        <v>0.215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26.173031896532631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26.173031896532631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68.183262146078008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252</v>
      </c>
      <c r="AG78" s="12">
        <f>VLOOKUP(A78,'Données projet'!$A$61:$I$81,9,0)</f>
        <v>6.2</v>
      </c>
      <c r="AH78" s="12">
        <f t="array" ref="AH78">INDEX(AG:AG,MIN(IF(ISNUMBER(AG78:AG274),ROW(AG78:AG274),"")))</f>
        <v>6.2</v>
      </c>
      <c r="AI78" s="13">
        <f>IF('Données projet'!$A$62&gt;35,AI77+AH78-AQ77,IF(A78&lt;'Données projet'!$A$62,$AF$205^A78,IF(A78='Données projet'!$A$62,'Données projet'!$B$62,AI77+AH78-AQ77)))</f>
        <v>251.99999999999994</v>
      </c>
      <c r="AJ78" s="13">
        <f>AI78*VLOOKUP('Données projet'!$B$10,Paramètres!$A$1:$I$89,3,0)*VLOOKUP('Données projet'!$B$10,Paramètres!$A$1:$I$89,5,0)</f>
        <v>239.80319999999998</v>
      </c>
      <c r="AK78" s="13">
        <f t="shared" si="89"/>
        <v>58.397185982155214</v>
      </c>
      <c r="AL78" s="20">
        <f t="shared" si="58"/>
        <v>519.3656722522536</v>
      </c>
      <c r="AM78" s="59">
        <f t="shared" si="59"/>
        <v>806.03763345453967</v>
      </c>
      <c r="AN78" s="59">
        <f ca="1">AVERAGE(OFFSET($AM$3,0,0,'Données projet'!$E$10+1,1))-AVERAGE(OFFSET($H$3,0,0,'Données projet'!$E$10+1,1))</f>
        <v>399.5572791581468</v>
      </c>
      <c r="AO78" s="59">
        <f t="shared" si="90"/>
        <v>246.34185986079777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21</v>
      </c>
      <c r="AR78" s="16">
        <f>IF(ISNA(VLOOKUP(A78,'Données projet'!$A$61:$I$81,5,0)),0%,VLOOKUP(A78,'Données projet'!$A$61:$I$81,5,0)*VLOOKUP('Données projet'!$B$10,Paramètres!$A$1:$I$89,7,0))</f>
        <v>0.215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20.645107056316686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20.645107056316686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68.183262146078008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5.6843418860808015E-14</v>
      </c>
      <c r="BE78" s="13">
        <f>BD78*VLOOKUP('Données projet'!$B$11,Paramètres!$A$1:$I$89,3,0)*VLOOKUP('Données projet'!$B$11,Paramètres!$A$1:$I$89,5,0)</f>
        <v>4.4337866711430253E-14</v>
      </c>
      <c r="BF78" s="13">
        <f t="shared" si="91"/>
        <v>7.3222115536967035E-13</v>
      </c>
      <c r="BG78" s="20">
        <f t="shared" si="61"/>
        <v>1.3525069634579169E-12</v>
      </c>
      <c r="BH78" s="59">
        <f t="shared" si="62"/>
        <v>286.67196120228738</v>
      </c>
      <c r="BI78" s="59">
        <f ca="1">AVERAGE(OFFSET($BH$3,0,0,'Données projet'!$E$11+1,1))-AVERAGE(OFFSET($H$3,0,0,'Données projet'!$E$11+1,1))</f>
        <v>294.23449029791681</v>
      </c>
      <c r="BJ78" s="59">
        <f t="shared" si="92"/>
        <v>288.64639202306159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83.538853282290503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83.538853282290503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68.183262146078008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252</v>
      </c>
      <c r="BW78" s="12">
        <f>VLOOKUP(A78,'Données projet'!$A$113:$I$133,9,0)</f>
        <v>6.2</v>
      </c>
      <c r="BX78" s="12">
        <f t="array" ref="BX78">INDEX(BW:BW,MIN(IF(ISNUMBER(BW78:BW274),ROW(BW78:BW274),"")))</f>
        <v>6.2</v>
      </c>
      <c r="BY78" s="12">
        <f>IF('Données projet'!$A$114&gt;35,BY77+BX78-CG77,IF(A78&lt;'Données projet'!$A$114,$BV$205^A78,IF(A78='Données projet'!$A$114,'Données projet'!$B$114,BY77+BX78-CG77)))</f>
        <v>251.99999999999994</v>
      </c>
      <c r="BZ78" s="13">
        <f>BY78*VLOOKUP('Données projet'!$B$12,Paramètres!$A$1:$I$89,3,0)*VLOOKUP('Données projet'!$B$12,Paramètres!$A$1:$I$89,5,0)</f>
        <v>271.25279999999992</v>
      </c>
      <c r="CA78" s="13">
        <f t="shared" si="93"/>
        <v>65.115073390838859</v>
      </c>
      <c r="CB78" s="20">
        <f t="shared" si="64"/>
        <v>585.84071282237755</v>
      </c>
      <c r="CC78" s="59">
        <f t="shared" si="65"/>
        <v>872.51267402466351</v>
      </c>
      <c r="CD78" s="59">
        <f ca="1">AVERAGE(OFFSET($CC$3,0,0,'Données projet'!$E$12+1,1))-AVERAGE(OFFSET($H$3,0,0,'Données projet'!$E$12+1,1))</f>
        <v>445.38112098358147</v>
      </c>
      <c r="CE78" s="59">
        <f t="shared" si="94"/>
        <v>272.45883568548516</v>
      </c>
      <c r="CF78" s="15">
        <f>IF(ISNA(VLOOKUP(A78,'Données projet'!$A$113:$I$133,3,0)),0,VLOOKUP(A78,'Données projet'!$A$113:$I$133,3,0))</f>
        <v>12</v>
      </c>
      <c r="CG78" s="15">
        <f>IF(ISNA(VLOOKUP(A78,'Données projet'!$A$113:$I$133,4,0)),0,VLOOKUP(A78,'Données projet'!$A$113:$I$133,4,0))</f>
        <v>21</v>
      </c>
      <c r="CH78" s="16">
        <f>IF(ISNA(VLOOKUP(A78,'Données projet'!$A$113:$I$133,5,0)),0%,VLOOKUP(A78,'Données projet'!$A$113:$I$133,5,0)*VLOOKUP('Données projet'!$B$12,Paramètres!$A$1:$I$89,7,0))</f>
        <v>0.215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23.352662080095929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23.352662080095929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68.183262146078008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252</v>
      </c>
      <c r="CR78" s="12">
        <f>VLOOKUP(A78,'Données projet'!$A$139:$I$159,9,0)</f>
        <v>6.2</v>
      </c>
      <c r="CS78" s="12">
        <f t="array" ref="CS78">INDEX(CR:CR,MIN(IF(ISNUMBER(CR78:CR274),ROW(CR78:CR274),"")))</f>
        <v>6.2</v>
      </c>
      <c r="CT78" s="12">
        <f>IF('Données projet'!$A$140&gt;35,CT77+CS78-DB77,IF(A78&lt;'Données projet'!$A$140,$CQ$205^A78,IF(A78='Données projet'!$A$140,'Données projet'!$B$140,CT77+CS78-DB77)))</f>
        <v>251.99999999999994</v>
      </c>
      <c r="CU78" s="17">
        <f>CT78*VLOOKUP('Données projet'!$B$13,Paramètres!$A$1:$I$89,3,0)*VLOOKUP('Données projet'!$B$13,Paramètres!$A$1:$I$89,5,0)</f>
        <v>271.25279999999992</v>
      </c>
      <c r="CV78" s="13">
        <f t="shared" si="95"/>
        <v>65.115073390838859</v>
      </c>
      <c r="CW78" s="20">
        <f t="shared" si="67"/>
        <v>585.84071282237755</v>
      </c>
      <c r="CX78" s="59">
        <f t="shared" si="68"/>
        <v>872.51267402466351</v>
      </c>
      <c r="CY78" s="59">
        <f ca="1">AVERAGE(OFFSET($CX$3,0,0,'Données projet'!$E$13+1,1))-AVERAGE(OFFSET($H$3,0,0,'Données projet'!$E$13+1,1))</f>
        <v>445.38112098358147</v>
      </c>
      <c r="CZ78" s="59">
        <f t="shared" si="96"/>
        <v>272.45883568548516</v>
      </c>
      <c r="DA78" s="15">
        <f>IF(ISNA(VLOOKUP(A78,'Données projet'!$A$139:$I$159,3,0)),0,VLOOKUP(A78,'Données projet'!$A$139:$I$159,3,0))</f>
        <v>12</v>
      </c>
      <c r="DB78" s="15">
        <f>IF(ISNA(VLOOKUP(A78,'Données projet'!$A$139:$I$159,4,0)),0,VLOOKUP(A78,'Données projet'!$A$139:$I$159,4,0))</f>
        <v>21</v>
      </c>
      <c r="DC78" s="16">
        <f>IF(ISNA(VLOOKUP(A78,'Données projet'!$A$139:$I$159,5,0)),0%,VLOOKUP(A78,'Données projet'!$A$139:$I$159,5,0)*VLOOKUP('Données projet'!$B$13,Paramètres!$A$1:$I$89,7,0))</f>
        <v>0.215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23.352662080095929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23.352662080095929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68.183262146078008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252</v>
      </c>
      <c r="DM78" s="12">
        <f>VLOOKUP(A78,'Données projet'!$A$165:$I$185,9,0)</f>
        <v>6.2</v>
      </c>
      <c r="DN78" s="12">
        <f t="array" ref="DN78">INDEX(DM:DM,MIN(IF(ISNUMBER(DM78:DM274),ROW(DM78:DM274),"")))</f>
        <v>6.2</v>
      </c>
      <c r="DO78" s="12">
        <f>IF('Données projet'!$A$166&gt;35,DO77+DN78-DW77,IF(A78&lt;'Données projet'!$A$166,$DL$205^A78,IF(A78='Données projet'!$A$166,'Données projet'!$B$166,DO77+DN78-DW77)))</f>
        <v>251.99999999999994</v>
      </c>
      <c r="DP78" s="17">
        <f>DO78*VLOOKUP('Données projet'!$B$14,Paramètres!$A$1:$I$89,3,0)*VLOOKUP('Données projet'!$B$14,Paramètres!$A$1:$I$89,5,0)</f>
        <v>243.73439999999994</v>
      </c>
      <c r="DQ78" s="13">
        <f t="shared" si="97"/>
        <v>59.242281392848767</v>
      </c>
      <c r="DR78" s="20">
        <f t="shared" si="70"/>
        <v>527.68438675921141</v>
      </c>
      <c r="DS78" s="59">
        <f t="shared" si="71"/>
        <v>814.35634796149748</v>
      </c>
      <c r="DT78" s="59">
        <f ca="1">AVERAGE(OFFSET($DS$3,0,0,'Données projet'!$E$14+1,1))-AVERAGE(OFFSET($H$3,0,0,'Données projet'!$E$14+1,1))</f>
        <v>405.29179902613089</v>
      </c>
      <c r="DU78" s="59">
        <f t="shared" si="98"/>
        <v>249.61049717638238</v>
      </c>
      <c r="DV78" s="15">
        <f>IF(ISNA(VLOOKUP(A78,'Données projet'!$A$165:$I$185,3,0)),0,VLOOKUP(A78,'Données projet'!$A$165:$I$185,3,0))</f>
        <v>12</v>
      </c>
      <c r="DW78" s="15">
        <f>IF(ISNA(VLOOKUP(A78,'Données projet'!$A$165:$I$185,4,0)),0,VLOOKUP(A78,'Données projet'!$A$165:$I$185,4,0))</f>
        <v>21</v>
      </c>
      <c r="DX78" s="16">
        <f>IF(ISNA(VLOOKUP(A78,'Données projet'!$A$165:$I$185,5,0)),0%,VLOOKUP(A78,'Données projet'!$A$165:$I$185,5,0)*VLOOKUP('Données projet'!$B$14,Paramètres!$A$1:$I$89,7,0))</f>
        <v>0.215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20.983551434289097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20.983551434289097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68.183262146078008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12.888750000000002</v>
      </c>
      <c r="EJ78" s="12">
        <f>IF('Données projet'!$A$192&gt;35,EJ77+EI78-ER77,IF(A78&lt;'Données projet'!$A$192,$EG$205^A78,IF(A78='Données projet'!$A$192,'Données projet'!$B$192,EJ77+EI78-ER77)))</f>
        <v>658.68124999999952</v>
      </c>
      <c r="EK78" s="17">
        <f>EJ78*VLOOKUP('Données projet'!$B$15,Paramètres!$A$1:$I$89,3,0)*VLOOKUP('Données projet'!$B$15,Paramètres!$A$1:$I$89,5,0)</f>
        <v>393.89138749999972</v>
      </c>
      <c r="EL78" s="13">
        <f t="shared" si="99"/>
        <v>90.537130758220258</v>
      </c>
      <c r="EM78" s="20">
        <f t="shared" si="73"/>
        <v>843.71300263306648</v>
      </c>
      <c r="EN78" s="59">
        <f t="shared" si="74"/>
        <v>1130.3849638353524</v>
      </c>
      <c r="EO78" s="59">
        <f ca="1">AVERAGE(OFFSET($EN$3,0,0,'Données projet'!$E$15+1,1))-AVERAGE(OFFSET($H$3,0,0,'Données projet'!$E$15+1,1))</f>
        <v>444.77624981561257</v>
      </c>
      <c r="EP78" s="59">
        <f t="shared" si="100"/>
        <v>382.10319641527587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45.660072715646869</v>
      </c>
      <c r="EW78" s="21">
        <f>EXP(-LN(2)/25)*EW77+(1-EXP(-LN(2)/25))/(LN(2)/25)*Calculateur!ER78*Calculateur!ET78*VLOOKUP('Données projet'!$B$15,Paramètres!$A$1:$I$89,3,0)*0.475*44/12</f>
        <v>20.705548029120621</v>
      </c>
      <c r="EX78" s="21">
        <f>EXP(-LN(2)/2)*EX77+(1-EXP(-LN(2)/2))/(LN(2)/2)*ER78*EU78*VLOOKUP('Données projet'!$B$15,Paramètres!$A$1:$I$89,3,0)*0.475*44/12</f>
        <v>0.24798993584628309</v>
      </c>
      <c r="EY78" s="22">
        <f t="shared" si="75"/>
        <v>66.61361068061376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68.183262146078008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936</v>
      </c>
      <c r="FC78" s="12">
        <f>VLOOKUP(A78,'Données projet'!$A$217:$I$237,9,0)</f>
        <v>12</v>
      </c>
      <c r="FD78" s="12">
        <f t="array" ref="FD78">INDEX(FC:FC,MIN(IF(ISNUMBER(FC78:FC274),ROW(FC78:FC274),"")))</f>
        <v>12</v>
      </c>
      <c r="FE78" s="12">
        <f>IF('Données projet'!$A$218&gt;35,FE77+FD78-FM77,IF(A78&lt;'Données projet'!$A$218,$FB$205^A78,IF(A78='Données projet'!$A$218,'Données projet'!$B$218,FE77+FD78-FM77)))</f>
        <v>936.00000000000034</v>
      </c>
      <c r="FF78" s="17">
        <f>FE78*VLOOKUP('Données projet'!$B$16,Paramètres!$A$1:$I$89,3,0)*VLOOKUP('Données projet'!$B$16,Paramètres!$A$1:$I$89,5,0)</f>
        <v>413.71200000000016</v>
      </c>
      <c r="FG78" s="13">
        <f t="shared" si="101"/>
        <v>94.55108612160069</v>
      </c>
      <c r="FH78" s="20">
        <f t="shared" si="76"/>
        <v>885.22487499512147</v>
      </c>
      <c r="FI78" s="59">
        <f t="shared" si="77"/>
        <v>1171.8968361974075</v>
      </c>
      <c r="FJ78" s="59">
        <f ca="1">AVERAGE(OFFSET($FI$3,0,0,'Données projet'!$E$16+1,1))-AVERAGE(OFFSET($H$3,0,0,'Données projet'!$E$16+1,1))</f>
        <v>508.71179785154317</v>
      </c>
      <c r="FK78" s="59">
        <f t="shared" si="102"/>
        <v>422.73937290731442</v>
      </c>
      <c r="FL78" s="15">
        <f>IF(ISNA(VLOOKUP(A78,'Données projet'!$A$217:$I$237,3,0)),0,VLOOKUP(A78,'Données projet'!$A$217:$I$237,3,0))</f>
        <v>13</v>
      </c>
      <c r="FM78" s="15">
        <f>IF(ISNA(VLOOKUP(A78,'Données projet'!$A$217:$I$237,4,0)),0,VLOOKUP(A78,'Données projet'!$A$217:$I$237,4,0))</f>
        <v>20</v>
      </c>
      <c r="FN78" s="16">
        <f>IF(ISNA(VLOOKUP(A78,'Données projet'!$A$217:$I$237,5,0)),0%,VLOOKUP(A78,'Données projet'!$A$217:$I$237,5,0)*VLOOKUP('Données projet'!$B$16,Paramètres!$A$1:$I$89,7,0))</f>
        <v>0.44000000000000006</v>
      </c>
      <c r="FO78" s="16">
        <f>IF(ISNA(VLOOKUP(A78,'Données projet'!$A$217:$I$237,6,0)),0%,VLOOKUP(A78,'Données projet'!$A$217:$I$237,6,0)*VLOOKUP('Données projet'!$B$16,Paramètres!$A$1:$I$89,7,0))</f>
        <v>6.0500000000000005E-2</v>
      </c>
      <c r="FP78" s="16">
        <f>IF(ISNA(VLOOKUP(A78,'Données projet'!$A$217:$I$237,7,0)),0%,VLOOKUP(A78,'Données projet'!$A$217:$I$237,7,0))</f>
        <v>0.09</v>
      </c>
      <c r="FQ78" s="21">
        <f>EXP(-LN(2)/35)*FQ77+(1-EXP(-LN(2)/35))/(LN(2)/35)*FM78*FN78*VLOOKUP('Données projet'!$B$16,Paramètres!$A$1:$I$89,3,0)*0.475*44/12</f>
        <v>35.912514399203971</v>
      </c>
      <c r="FR78" s="21">
        <f>EXP(-LN(2)/25)*FR77+(1-EXP(-LN(2)/25))/(LN(2)/25)*Calculateur!FM78*Calculateur!FO78*VLOOKUP('Données projet'!$B$16,Paramètres!$A$1:$I$89,3,0)*0.475*44/12</f>
        <v>39.571833180777176</v>
      </c>
      <c r="FS78" s="21">
        <f>EXP(-LN(2)/2)*FS77+(1-EXP(-LN(2)/2))/(LN(2)/2)*FM78*FP78*VLOOKUP('Données projet'!$B$16,Paramètres!$A$1:$I$89,3,0)*0.475*44/12</f>
        <v>1.3331564276891843</v>
      </c>
      <c r="FT78" s="22">
        <f t="shared" si="78"/>
        <v>76.817504007670337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68.183262146078008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68.183262146078008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1.35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4.95</v>
      </c>
      <c r="H79" s="67">
        <f t="shared" si="56"/>
        <v>236.86666666666665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68.214778486226194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7.2</v>
      </c>
      <c r="N79" s="13">
        <f>IF('Données projet'!$A$36&gt;35,N78+M79-V78,IF(A79&lt;'Données projet'!$A$36,$K$205^A79,IF(A79='Données projet'!$A$36,'Données projet'!$B$36,N78+M79-V78)))</f>
        <v>291.2</v>
      </c>
      <c r="O79" s="13">
        <f>N79*VLOOKUP('Données projet'!$B$9,Paramètres!$A$1:$I$89,3,0)*VLOOKUP('Données projet'!$B$9,Paramètres!$A$1:$I$89,5,0)</f>
        <v>263.47775999999999</v>
      </c>
      <c r="P79" s="13">
        <f t="shared" si="87"/>
        <v>63.46312159763346</v>
      </c>
      <c r="Q79" s="20">
        <f t="shared" si="54"/>
        <v>569.42203544921153</v>
      </c>
      <c r="R79" s="59">
        <f t="shared" si="55"/>
        <v>856.20955656537421</v>
      </c>
      <c r="S79" s="59">
        <f ca="1">AVERAGE(OFFSET($R$3,0,0,'Données projet'!$E$9+1,1))-AVERAGE(OFFSET($H$3,0,0,'Données projet'!$E$9+1,1))</f>
        <v>466.90449882701591</v>
      </c>
      <c r="T79" s="59">
        <f t="shared" si="88"/>
        <v>283.37641704892053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25.659794705014772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25.659794705014772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68.214778486226194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</v>
      </c>
      <c r="AI79" s="13">
        <f>IF('Données projet'!$A$62&gt;35,AI78+AH79-AQ78,IF(A79&lt;'Données projet'!$A$62,$AF$205^A79,IF(A79='Données projet'!$A$62,'Données projet'!$B$62,AI78+AH79-AQ78)))</f>
        <v>236.99999999999994</v>
      </c>
      <c r="AJ79" s="13">
        <f>AI79*VLOOKUP('Données projet'!$B$10,Paramètres!$A$1:$I$89,3,0)*VLOOKUP('Données projet'!$B$10,Paramètres!$A$1:$I$89,5,0)</f>
        <v>225.52919999999995</v>
      </c>
      <c r="AK79" s="13">
        <f t="shared" si="89"/>
        <v>55.314888425951921</v>
      </c>
      <c r="AL79" s="20">
        <f t="shared" si="58"/>
        <v>489.13678734186624</v>
      </c>
      <c r="AM79" s="59">
        <f t="shared" si="59"/>
        <v>775.92430845802892</v>
      </c>
      <c r="AN79" s="59">
        <f ca="1">AVERAGE(OFFSET($AM$3,0,0,'Données projet'!$E$10+1,1))-AVERAGE(OFFSET($H$3,0,0,'Données projet'!$E$10+1,1))</f>
        <v>399.5572791581468</v>
      </c>
      <c r="AO79" s="59">
        <f t="shared" si="90"/>
        <v>246.34185986079777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20.240269099214235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20.240269099214235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68.214778486226194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5.6843418860808015E-14</v>
      </c>
      <c r="BE79" s="13">
        <f>BD79*VLOOKUP('Données projet'!$B$11,Paramètres!$A$1:$I$89,3,0)*VLOOKUP('Données projet'!$B$11,Paramètres!$A$1:$I$89,5,0)</f>
        <v>4.4337866711430253E-14</v>
      </c>
      <c r="BF79" s="13">
        <f t="shared" si="91"/>
        <v>7.3222115536967035E-13</v>
      </c>
      <c r="BG79" s="20">
        <f t="shared" si="61"/>
        <v>1.3525069634579169E-12</v>
      </c>
      <c r="BH79" s="59">
        <f t="shared" si="62"/>
        <v>286.7875211161641</v>
      </c>
      <c r="BI79" s="59">
        <f ca="1">AVERAGE(OFFSET($BH$3,0,0,'Données projet'!$E$11+1,1))-AVERAGE(OFFSET($H$3,0,0,'Données projet'!$E$11+1,1))</f>
        <v>294.23449029791681</v>
      </c>
      <c r="BJ79" s="59">
        <f t="shared" si="92"/>
        <v>288.64639202306159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81.900707323094025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81.900707323094025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68.214778486226194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6</v>
      </c>
      <c r="BY79" s="12">
        <f>IF('Données projet'!$A$114&gt;35,BY78+BX79-CG78,IF(A79&lt;'Données projet'!$A$114,$BV$205^A79,IF(A79='Données projet'!$A$114,'Données projet'!$B$114,BY78+BX79-CG78)))</f>
        <v>236.99999999999994</v>
      </c>
      <c r="BZ79" s="13">
        <f>BY79*VLOOKUP('Données projet'!$B$12,Paramètres!$A$1:$I$89,3,0)*VLOOKUP('Données projet'!$B$12,Paramètres!$A$1:$I$89,5,0)</f>
        <v>255.10679999999994</v>
      </c>
      <c r="CA79" s="13">
        <f t="shared" si="93"/>
        <v>61.678194914435764</v>
      </c>
      <c r="CB79" s="20">
        <f t="shared" si="64"/>
        <v>551.73386614264211</v>
      </c>
      <c r="CC79" s="59">
        <f t="shared" si="65"/>
        <v>838.52138725880491</v>
      </c>
      <c r="CD79" s="59">
        <f ca="1">AVERAGE(OFFSET($CC$3,0,0,'Données projet'!$E$12+1,1))-AVERAGE(OFFSET($H$3,0,0,'Données projet'!$E$12+1,1))</f>
        <v>445.38112098358147</v>
      </c>
      <c r="CE79" s="59">
        <f t="shared" si="94"/>
        <v>272.45883568548516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22.894730620422667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22.894730620422667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68.214778486226194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6</v>
      </c>
      <c r="CT79" s="12">
        <f>IF('Données projet'!$A$140&gt;35,CT78+CS79-DB78,IF(A79&lt;'Données projet'!$A$140,$CQ$205^A79,IF(A79='Données projet'!$A$140,'Données projet'!$B$140,CT78+CS79-DB78)))</f>
        <v>236.99999999999994</v>
      </c>
      <c r="CU79" s="17">
        <f>CT79*VLOOKUP('Données projet'!$B$13,Paramètres!$A$1:$I$89,3,0)*VLOOKUP('Données projet'!$B$13,Paramètres!$A$1:$I$89,5,0)</f>
        <v>255.10679999999994</v>
      </c>
      <c r="CV79" s="13">
        <f t="shared" si="95"/>
        <v>61.678194914435764</v>
      </c>
      <c r="CW79" s="20">
        <f t="shared" si="67"/>
        <v>551.73386614264211</v>
      </c>
      <c r="CX79" s="59">
        <f t="shared" si="68"/>
        <v>838.52138725880491</v>
      </c>
      <c r="CY79" s="59">
        <f ca="1">AVERAGE(OFFSET($CX$3,0,0,'Données projet'!$E$13+1,1))-AVERAGE(OFFSET($H$3,0,0,'Données projet'!$E$13+1,1))</f>
        <v>445.38112098358147</v>
      </c>
      <c r="CZ79" s="59">
        <f t="shared" si="96"/>
        <v>272.45883568548516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22.894730620422667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22.894730620422667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68.214778486226194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6</v>
      </c>
      <c r="DO79" s="12">
        <f>IF('Données projet'!$A$166&gt;35,DO78+DN79-DW78,IF(A79&lt;'Données projet'!$A$166,$DL$205^A79,IF(A79='Données projet'!$A$166,'Données projet'!$B$166,DO78+DN79-DW78)))</f>
        <v>236.99999999999994</v>
      </c>
      <c r="DP79" s="17">
        <f>DO79*VLOOKUP('Données projet'!$B$14,Paramètres!$A$1:$I$89,3,0)*VLOOKUP('Données projet'!$B$14,Paramètres!$A$1:$I$89,5,0)</f>
        <v>229.22639999999996</v>
      </c>
      <c r="DQ79" s="13">
        <f t="shared" si="97"/>
        <v>56.115378339388542</v>
      </c>
      <c r="DR79" s="20">
        <f t="shared" si="70"/>
        <v>496.97026394110162</v>
      </c>
      <c r="DS79" s="59">
        <f t="shared" si="71"/>
        <v>783.7577850572643</v>
      </c>
      <c r="DT79" s="59">
        <f ca="1">AVERAGE(OFFSET($DS$3,0,0,'Données projet'!$E$14+1,1))-AVERAGE(OFFSET($H$3,0,0,'Données projet'!$E$14+1,1))</f>
        <v>405.29179902613089</v>
      </c>
      <c r="DU79" s="59">
        <f t="shared" si="98"/>
        <v>249.61049717638238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20.572076789365298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20.572076789365298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68.214778486226194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>
        <f>VLOOKUP(A79,'Données projet'!$A$191:$I$211,2,0)</f>
        <v>671.57</v>
      </c>
      <c r="EH79" s="12">
        <f>VLOOKUP(A79,'Données projet'!$A$191:$I$211,9,0)</f>
        <v>12.888750000000002</v>
      </c>
      <c r="EI79" s="12">
        <f t="array" ref="EI79">INDEX(EH:EH,MIN(IF(ISNUMBER(EH79:EH275),ROW(EH79:EH275),"")))</f>
        <v>12.888750000000002</v>
      </c>
      <c r="EJ79" s="12">
        <f>IF('Données projet'!$A$192&gt;35,EJ78+EI79-ER78,IF(A79&lt;'Données projet'!$A$192,$EG$205^A79,IF(A79='Données projet'!$A$192,'Données projet'!$B$192,EJ78+EI79-ER78)))</f>
        <v>671.56999999999948</v>
      </c>
      <c r="EK79" s="17">
        <f>EJ79*VLOOKUP('Données projet'!$B$15,Paramètres!$A$1:$I$89,3,0)*VLOOKUP('Données projet'!$B$15,Paramètres!$A$1:$I$89,5,0)</f>
        <v>401.59885999999966</v>
      </c>
      <c r="EL79" s="13">
        <f t="shared" si="99"/>
        <v>92.10073425419408</v>
      </c>
      <c r="EM79" s="20">
        <f t="shared" si="73"/>
        <v>859.86012665938733</v>
      </c>
      <c r="EN79" s="59">
        <f t="shared" si="74"/>
        <v>1146.64764777555</v>
      </c>
      <c r="EO79" s="59">
        <f ca="1">AVERAGE(OFFSET($EN$3,0,0,'Données projet'!$E$15+1,1))-AVERAGE(OFFSET($H$3,0,0,'Données projet'!$E$15+1,1))</f>
        <v>444.77624981561257</v>
      </c>
      <c r="EP79" s="59">
        <f t="shared" si="100"/>
        <v>382.10319641527587</v>
      </c>
      <c r="EQ79" s="15">
        <f>IF(ISNA(VLOOKUP(A79,'Données projet'!$A$191:$I$211,3,0)),0,VLOOKUP(A79,'Données projet'!$A$191:$I$211,3,0))</f>
        <v>15</v>
      </c>
      <c r="ER79" s="15">
        <f>IF(ISNA(VLOOKUP(A79,'Données projet'!$A$191:$I$211,4,0)),0,VLOOKUP(A79,'Données projet'!$A$191:$I$211,4,0))</f>
        <v>671.57</v>
      </c>
      <c r="ES79" s="16">
        <f>IF(ISNA(VLOOKUP(A79,'Données projet'!$A$191:$I$211,5,0)),0%,VLOOKUP(A79,'Données projet'!$A$191:$I$211,5,0)*VLOOKUP('Données projet'!$B$15,Paramètres!$A$1:$I$89,7,0))</f>
        <v>0.36000000000000004</v>
      </c>
      <c r="ET79" s="16">
        <f>IF(ISNA(VLOOKUP(A79,'Données projet'!$A$191:$I$211,6,0)),0%,VLOOKUP(A79,'Données projet'!$A$191:$I$211,6,0)*VLOOKUP('Données projet'!$B$15,Paramètres!$A$1:$I$89,7,0))</f>
        <v>4.9500000000000002E-2</v>
      </c>
      <c r="EU79" s="16">
        <f>IF(ISNA(VLOOKUP(A79,'Données projet'!$A$191:$I$211,7,0)),0%,VLOOKUP(A79,'Données projet'!$A$191:$I$211,7,0))</f>
        <v>0.09</v>
      </c>
      <c r="EV79" s="21">
        <f>EXP(-LN(2)/35)*EV78+(1-EXP(-LN(2)/35))/(LN(2)/35)*ER79*ES79*VLOOKUP('Données projet'!$B$15,Paramètres!$A$1:$I$89,3,0)*0.475*44/12</f>
        <v>236.55354482716191</v>
      </c>
      <c r="EW79" s="21">
        <f>EXP(-LN(2)/25)*EW78+(1-EXP(-LN(2)/25))/(LN(2)/25)*Calculateur!ER79*Calculateur!ET79*VLOOKUP('Données projet'!$B$15,Paramètres!$A$1:$I$89,3,0)*0.475*44/12</f>
        <v>46.406486455576342</v>
      </c>
      <c r="EX79" s="21">
        <f>EXP(-LN(2)/2)*EX78+(1-EXP(-LN(2)/2))/(LN(2)/2)*ER79*EU79*VLOOKUP('Données projet'!$B$15,Paramètres!$A$1:$I$89,3,0)*0.475*44/12</f>
        <v>41.098643360065779</v>
      </c>
      <c r="EY79" s="22">
        <f t="shared" si="75"/>
        <v>324.05867464280402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68.214778486226194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7</v>
      </c>
      <c r="FE79" s="12">
        <f>IF('Données projet'!$A$218&gt;35,FE78+FD79-FM78,IF(A79&lt;'Données projet'!$A$218,$FB$205^A79,IF(A79='Données projet'!$A$218,'Données projet'!$B$218,FE78+FD79-FM78)))</f>
        <v>923.00000000000034</v>
      </c>
      <c r="FF79" s="17">
        <f>FE79*VLOOKUP('Données projet'!$B$16,Paramètres!$A$1:$I$89,3,0)*VLOOKUP('Données projet'!$B$16,Paramètres!$A$1:$I$89,5,0)</f>
        <v>407.96600000000024</v>
      </c>
      <c r="FG79" s="13">
        <f t="shared" si="101"/>
        <v>93.38979134645831</v>
      </c>
      <c r="FH79" s="20">
        <f t="shared" si="76"/>
        <v>873.19466992841524</v>
      </c>
      <c r="FI79" s="59">
        <f t="shared" si="77"/>
        <v>1159.982191044578</v>
      </c>
      <c r="FJ79" s="59">
        <f ca="1">AVERAGE(OFFSET($FI$3,0,0,'Données projet'!$E$16+1,1))-AVERAGE(OFFSET($H$3,0,0,'Données projet'!$E$16+1,1))</f>
        <v>508.71179785154317</v>
      </c>
      <c r="FK79" s="59">
        <f t="shared" si="102"/>
        <v>422.73937290731442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35.208291896306477</v>
      </c>
      <c r="FR79" s="21">
        <f>EXP(-LN(2)/25)*FR78+(1-EXP(-LN(2)/25))/(LN(2)/25)*Calculateur!FM79*Calculateur!FO79*VLOOKUP('Données projet'!$B$16,Paramètres!$A$1:$I$89,3,0)*0.475*44/12</f>
        <v>38.489739321456561</v>
      </c>
      <c r="FS79" s="21">
        <f>EXP(-LN(2)/2)*FS78+(1-EXP(-LN(2)/2))/(LN(2)/2)*FM79*FP79*VLOOKUP('Données projet'!$B$16,Paramètres!$A$1:$I$89,3,0)*0.475*44/12</f>
        <v>0.94268395040145547</v>
      </c>
      <c r="FT79" s="22">
        <f t="shared" si="78"/>
        <v>74.64071516816449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68.214778486226194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68.214778486226194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1.35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4.95</v>
      </c>
      <c r="H80" s="67">
        <f t="shared" si="56"/>
        <v>236.86666666666665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68.245748088332789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7.2</v>
      </c>
      <c r="N80" s="13">
        <f>IF('Données projet'!$A$36&gt;35,N79+M80-V79,IF(A80&lt;'Données projet'!$A$36,$K$205^A80,IF(A80='Données projet'!$A$36,'Données projet'!$B$36,N79+M80-V79)))</f>
        <v>298.39999999999998</v>
      </c>
      <c r="O80" s="13">
        <f>N80*VLOOKUP('Données projet'!$B$9,Paramètres!$A$1:$I$89,3,0)*VLOOKUP('Données projet'!$B$9,Paramètres!$A$1:$I$89,5,0)</f>
        <v>269.99231999999995</v>
      </c>
      <c r="P80" s="13">
        <f t="shared" si="87"/>
        <v>64.847639395310239</v>
      </c>
      <c r="Q80" s="20">
        <f t="shared" si="54"/>
        <v>583.17959594683191</v>
      </c>
      <c r="R80" s="59">
        <f t="shared" si="55"/>
        <v>870.08067227071888</v>
      </c>
      <c r="S80" s="59">
        <f ca="1">AVERAGE(OFFSET($R$3,0,0,'Données projet'!$E$9+1,1))-AVERAGE(OFFSET($H$3,0,0,'Données projet'!$E$9+1,1))</f>
        <v>466.90449882701591</v>
      </c>
      <c r="T80" s="59">
        <f t="shared" si="88"/>
        <v>283.37641704892053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25.156621781778799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25.156621781778799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68.245748088332789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</v>
      </c>
      <c r="AI80" s="13">
        <f>IF('Données projet'!$A$62&gt;35,AI79+AH80-AQ79,IF(A80&lt;'Données projet'!$A$62,$AF$205^A80,IF(A80='Données projet'!$A$62,'Données projet'!$B$62,AI79+AH80-AQ79)))</f>
        <v>242.99999999999994</v>
      </c>
      <c r="AJ80" s="13">
        <f>AI80*VLOOKUP('Données projet'!$B$10,Paramètres!$A$1:$I$89,3,0)*VLOOKUP('Données projet'!$B$10,Paramètres!$A$1:$I$89,5,0)</f>
        <v>231.23879999999994</v>
      </c>
      <c r="AK80" s="13">
        <f t="shared" si="89"/>
        <v>56.55045525673966</v>
      </c>
      <c r="AL80" s="20">
        <f t="shared" si="58"/>
        <v>501.23295290548805</v>
      </c>
      <c r="AM80" s="59">
        <f t="shared" si="59"/>
        <v>788.13402922937496</v>
      </c>
      <c r="AN80" s="59">
        <f ca="1">AVERAGE(OFFSET($AM$3,0,0,'Données projet'!$E$10+1,1))-AVERAGE(OFFSET($H$3,0,0,'Données projet'!$E$10+1,1))</f>
        <v>399.5572791581468</v>
      </c>
      <c r="AO80" s="59">
        <f t="shared" si="90"/>
        <v>246.34185986079777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19.843369767523793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19.843369767523793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68.245748088332789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5.6843418860808015E-14</v>
      </c>
      <c r="BE80" s="13">
        <f>BD80*VLOOKUP('Données projet'!$B$11,Paramètres!$A$1:$I$89,3,0)*VLOOKUP('Données projet'!$B$11,Paramètres!$A$1:$I$89,5,0)</f>
        <v>4.4337866711430253E-14</v>
      </c>
      <c r="BF80" s="13">
        <f t="shared" si="91"/>
        <v>7.3222115536967035E-13</v>
      </c>
      <c r="BG80" s="20">
        <f t="shared" si="61"/>
        <v>1.3525069634579169E-12</v>
      </c>
      <c r="BH80" s="59">
        <f t="shared" si="62"/>
        <v>286.90107632388828</v>
      </c>
      <c r="BI80" s="59">
        <f ca="1">AVERAGE(OFFSET($BH$3,0,0,'Données projet'!$E$11+1,1))-AVERAGE(OFFSET($H$3,0,0,'Données projet'!$E$11+1,1))</f>
        <v>294.23449029791681</v>
      </c>
      <c r="BJ80" s="59">
        <f t="shared" si="92"/>
        <v>288.64639202306159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80.294684406987017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80.294684406987017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68.245748088332789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6</v>
      </c>
      <c r="BY80" s="12">
        <f>IF('Données projet'!$A$114&gt;35,BY79+BX80-CG79,IF(A80&lt;'Données projet'!$A$114,$BV$205^A80,IF(A80='Données projet'!$A$114,'Données projet'!$B$114,BY79+BX80-CG79)))</f>
        <v>242.99999999999994</v>
      </c>
      <c r="BZ80" s="13">
        <f>BY80*VLOOKUP('Données projet'!$B$12,Paramètres!$A$1:$I$89,3,0)*VLOOKUP('Données projet'!$B$12,Paramètres!$A$1:$I$89,5,0)</f>
        <v>261.56519999999995</v>
      </c>
      <c r="CA80" s="13">
        <f t="shared" si="93"/>
        <v>63.055898711509336</v>
      </c>
      <c r="CB80" s="20">
        <f t="shared" si="64"/>
        <v>565.38174692254529</v>
      </c>
      <c r="CC80" s="59">
        <f t="shared" si="65"/>
        <v>852.28282324643214</v>
      </c>
      <c r="CD80" s="59">
        <f ca="1">AVERAGE(OFFSET($CC$3,0,0,'Données projet'!$E$12+1,1))-AVERAGE(OFFSET($H$3,0,0,'Données projet'!$E$12+1,1))</f>
        <v>445.38112098358147</v>
      </c>
      <c r="CE80" s="59">
        <f t="shared" si="94"/>
        <v>272.45883568548516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22.445778917362986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22.445778917362986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68.245748088332789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6</v>
      </c>
      <c r="CT80" s="12">
        <f>IF('Données projet'!$A$140&gt;35,CT79+CS80-DB79,IF(A80&lt;'Données projet'!$A$140,$CQ$205^A80,IF(A80='Données projet'!$A$140,'Données projet'!$B$140,CT79+CS80-DB79)))</f>
        <v>242.99999999999994</v>
      </c>
      <c r="CU80" s="17">
        <f>CT80*VLOOKUP('Données projet'!$B$13,Paramètres!$A$1:$I$89,3,0)*VLOOKUP('Données projet'!$B$13,Paramètres!$A$1:$I$89,5,0)</f>
        <v>261.56519999999995</v>
      </c>
      <c r="CV80" s="13">
        <f t="shared" si="95"/>
        <v>63.055898711509336</v>
      </c>
      <c r="CW80" s="20">
        <f t="shared" si="67"/>
        <v>565.38174692254529</v>
      </c>
      <c r="CX80" s="59">
        <f t="shared" si="68"/>
        <v>852.28282324643214</v>
      </c>
      <c r="CY80" s="59">
        <f ca="1">AVERAGE(OFFSET($CX$3,0,0,'Données projet'!$E$13+1,1))-AVERAGE(OFFSET($H$3,0,0,'Données projet'!$E$13+1,1))</f>
        <v>445.38112098358147</v>
      </c>
      <c r="CZ80" s="59">
        <f t="shared" si="96"/>
        <v>272.45883568548516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22.445778917362986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22.445778917362986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68.245748088332789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6</v>
      </c>
      <c r="DO80" s="12">
        <f>IF('Données projet'!$A$166&gt;35,DO79+DN80-DW79,IF(A80&lt;'Données projet'!$A$166,$DL$205^A80,IF(A80='Données projet'!$A$166,'Données projet'!$B$166,DO79+DN80-DW79)))</f>
        <v>242.99999999999994</v>
      </c>
      <c r="DP80" s="17">
        <f>DO80*VLOOKUP('Données projet'!$B$14,Paramètres!$A$1:$I$89,3,0)*VLOOKUP('Données projet'!$B$14,Paramètres!$A$1:$I$89,5,0)</f>
        <v>235.02959999999996</v>
      </c>
      <c r="DQ80" s="13">
        <f t="shared" si="97"/>
        <v>57.368825686861157</v>
      </c>
      <c r="DR80" s="20">
        <f t="shared" si="70"/>
        <v>509.26059140461638</v>
      </c>
      <c r="DS80" s="59">
        <f t="shared" si="71"/>
        <v>796.16166772850329</v>
      </c>
      <c r="DT80" s="59">
        <f ca="1">AVERAGE(OFFSET($DS$3,0,0,'Données projet'!$E$14+1,1))-AVERAGE(OFFSET($H$3,0,0,'Données projet'!$E$14+1,1))</f>
        <v>405.29179902613089</v>
      </c>
      <c r="DU80" s="59">
        <f t="shared" si="98"/>
        <v>249.61049717638238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20.168670911253699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20.168670911253699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68.245748088332789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-5.6843418860808015E-13</v>
      </c>
      <c r="EK80" s="17">
        <f>EJ80*VLOOKUP('Données projet'!$B$15,Paramètres!$A$1:$I$89,3,0)*VLOOKUP('Données projet'!$B$15,Paramètres!$A$1:$I$89,5,0)</f>
        <v>-3.39923644787632E-13</v>
      </c>
      <c r="EL80" s="13" t="e">
        <f t="shared" si="99"/>
        <v>#NUM!</v>
      </c>
      <c r="EM80" s="20" t="e">
        <f t="shared" si="73"/>
        <v>#NUM!</v>
      </c>
      <c r="EN80" s="59" t="e">
        <f t="shared" si="74"/>
        <v>#NUM!</v>
      </c>
      <c r="EO80" s="59">
        <f ca="1">AVERAGE(OFFSET($EN$3,0,0,'Données projet'!$E$15+1,1))-AVERAGE(OFFSET($H$3,0,0,'Données projet'!$E$15+1,1))</f>
        <v>444.77624981561257</v>
      </c>
      <c r="EP80" s="59">
        <f t="shared" si="100"/>
        <v>382.10319641527587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231.9148740965168</v>
      </c>
      <c r="EW80" s="21">
        <f>EXP(-LN(2)/25)*EW79+(1-EXP(-LN(2)/25))/(LN(2)/25)*Calculateur!ER80*Calculateur!ET80*VLOOKUP('Données projet'!$B$15,Paramètres!$A$1:$I$89,3,0)*0.475*44/12</f>
        <v>45.137498643037546</v>
      </c>
      <c r="EX80" s="21">
        <f>EXP(-LN(2)/2)*EX79+(1-EXP(-LN(2)/2))/(LN(2)/2)*ER80*EU80*VLOOKUP('Données projet'!$B$15,Paramètres!$A$1:$I$89,3,0)*0.475*44/12</f>
        <v>29.061129417469989</v>
      </c>
      <c r="EY80" s="22">
        <f t="shared" si="75"/>
        <v>306.11350215702436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68.245748088332789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7</v>
      </c>
      <c r="FE80" s="12">
        <f>IF('Données projet'!$A$218&gt;35,FE79+FD80-FM79,IF(A80&lt;'Données projet'!$A$218,$FB$205^A80,IF(A80='Données projet'!$A$218,'Données projet'!$B$218,FE79+FD80-FM79)))</f>
        <v>930.00000000000034</v>
      </c>
      <c r="FF80" s="17">
        <f>FE80*VLOOKUP('Données projet'!$B$16,Paramètres!$A$1:$I$89,3,0)*VLOOKUP('Données projet'!$B$16,Paramètres!$A$1:$I$89,5,0)</f>
        <v>411.06000000000023</v>
      </c>
      <c r="FG80" s="13">
        <f t="shared" si="101"/>
        <v>94.015338793774802</v>
      </c>
      <c r="FH80" s="20">
        <f t="shared" si="76"/>
        <v>879.67288173249142</v>
      </c>
      <c r="FI80" s="59">
        <f t="shared" si="77"/>
        <v>1166.5739580563784</v>
      </c>
      <c r="FJ80" s="59">
        <f ca="1">AVERAGE(OFFSET($FI$3,0,0,'Données projet'!$E$16+1,1))-AVERAGE(OFFSET($H$3,0,0,'Données projet'!$E$16+1,1))</f>
        <v>508.71179785154317</v>
      </c>
      <c r="FK80" s="59">
        <f t="shared" si="102"/>
        <v>422.73937290731442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34.517878767157491</v>
      </c>
      <c r="FR80" s="21">
        <f>EXP(-LN(2)/25)*FR79+(1-EXP(-LN(2)/25))/(LN(2)/25)*Calculateur!FM80*Calculateur!FO80*VLOOKUP('Données projet'!$B$16,Paramètres!$A$1:$I$89,3,0)*0.475*44/12</f>
        <v>37.437235375623906</v>
      </c>
      <c r="FS80" s="21">
        <f>EXP(-LN(2)/2)*FS79+(1-EXP(-LN(2)/2))/(LN(2)/2)*FM80*FP80*VLOOKUP('Données projet'!$B$16,Paramètres!$A$1:$I$89,3,0)*0.475*44/12</f>
        <v>0.66657821384459226</v>
      </c>
      <c r="FT80" s="22">
        <f t="shared" si="78"/>
        <v>72.621692356625985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68.245748088332789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68.245748088332789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1.35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4.95</v>
      </c>
      <c r="H81" s="67">
        <f t="shared" si="56"/>
        <v>236.86666666666665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68.276180437080484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7.2</v>
      </c>
      <c r="N81" s="13">
        <f>IF('Données projet'!$A$36&gt;35,N80+M81-V80,IF(A81&lt;'Données projet'!$A$36,$K$205^A81,IF(A81='Données projet'!$A$36,'Données projet'!$B$36,N80+M81-V80)))</f>
        <v>305.59999999999997</v>
      </c>
      <c r="O81" s="13">
        <f>N81*VLOOKUP('Données projet'!$B$9,Paramètres!$A$1:$I$89,3,0)*VLOOKUP('Données projet'!$B$9,Paramètres!$A$1:$I$89,5,0)</f>
        <v>276.50687999999997</v>
      </c>
      <c r="P81" s="13">
        <f t="shared" si="87"/>
        <v>66.228273722513677</v>
      </c>
      <c r="Q81" s="20">
        <f t="shared" si="54"/>
        <v>596.93039273337797</v>
      </c>
      <c r="R81" s="59">
        <f t="shared" si="55"/>
        <v>883.94305433600641</v>
      </c>
      <c r="S81" s="59">
        <f ca="1">AVERAGE(OFFSET($R$3,0,0,'Données projet'!$E$9+1,1))-AVERAGE(OFFSET($H$3,0,0,'Données projet'!$E$9+1,1))</f>
        <v>466.90449882701591</v>
      </c>
      <c r="T81" s="59">
        <f t="shared" si="88"/>
        <v>283.37641704892053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24.663315772662308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24.663315772662308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68.276180437080484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</v>
      </c>
      <c r="AI81" s="13">
        <f>IF('Données projet'!$A$62&gt;35,AI80+AH81-AQ80,IF(A81&lt;'Données projet'!$A$62,$AF$205^A81,IF(A81='Données projet'!$A$62,'Données projet'!$B$62,AI80+AH81-AQ80)))</f>
        <v>248.99999999999994</v>
      </c>
      <c r="AJ81" s="13">
        <f>AI81*VLOOKUP('Données projet'!$B$10,Paramètres!$A$1:$I$89,3,0)*VLOOKUP('Données projet'!$B$10,Paramètres!$A$1:$I$89,5,0)</f>
        <v>236.94839999999994</v>
      </c>
      <c r="AK81" s="13">
        <f t="shared" si="89"/>
        <v>57.782475694292401</v>
      </c>
      <c r="AL81" s="20">
        <f t="shared" si="58"/>
        <v>513.32294183422573</v>
      </c>
      <c r="AM81" s="59">
        <f t="shared" si="59"/>
        <v>800.33560343685417</v>
      </c>
      <c r="AN81" s="59">
        <f ca="1">AVERAGE(OFFSET($AM$3,0,0,'Données projet'!$E$10+1,1))-AVERAGE(OFFSET($H$3,0,0,'Données projet'!$E$10+1,1))</f>
        <v>399.5572791581468</v>
      </c>
      <c r="AO81" s="59">
        <f t="shared" si="90"/>
        <v>246.34185986079777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19.45425338964311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19.45425338964311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68.276180437080484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5.6843418860808015E-14</v>
      </c>
      <c r="BE81" s="13">
        <f>BD81*VLOOKUP('Données projet'!$B$11,Paramètres!$A$1:$I$89,3,0)*VLOOKUP('Données projet'!$B$11,Paramètres!$A$1:$I$89,5,0)</f>
        <v>4.4337866711430253E-14</v>
      </c>
      <c r="BF81" s="13">
        <f t="shared" si="91"/>
        <v>7.3222115536967035E-13</v>
      </c>
      <c r="BG81" s="20">
        <f t="shared" si="61"/>
        <v>1.3525069634579169E-12</v>
      </c>
      <c r="BH81" s="59">
        <f t="shared" si="62"/>
        <v>287.01266160262981</v>
      </c>
      <c r="BI81" s="59">
        <f ca="1">AVERAGE(OFFSET($BH$3,0,0,'Données projet'!$E$11+1,1))-AVERAGE(OFFSET($H$3,0,0,'Données projet'!$E$11+1,1))</f>
        <v>294.23449029791681</v>
      </c>
      <c r="BJ81" s="59">
        <f t="shared" si="92"/>
        <v>288.64639202306159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78.720154620687623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78.720154620687623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68.276180437080484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6</v>
      </c>
      <c r="BY81" s="12">
        <f>IF('Données projet'!$A$114&gt;35,BY80+BX81-CG80,IF(A81&lt;'Données projet'!$A$114,$BV$205^A81,IF(A81='Données projet'!$A$114,'Données projet'!$B$114,BY80+BX81-CG80)))</f>
        <v>248.99999999999994</v>
      </c>
      <c r="BZ81" s="13">
        <f>BY81*VLOOKUP('Données projet'!$B$12,Paramètres!$A$1:$I$89,3,0)*VLOOKUP('Données projet'!$B$12,Paramètres!$A$1:$I$89,5,0)</f>
        <v>268.02359999999993</v>
      </c>
      <c r="CA81" s="13">
        <f t="shared" si="93"/>
        <v>64.429648145853221</v>
      </c>
      <c r="CB81" s="20">
        <f t="shared" si="64"/>
        <v>579.02274052069413</v>
      </c>
      <c r="CC81" s="59">
        <f t="shared" si="65"/>
        <v>866.03540212332257</v>
      </c>
      <c r="CD81" s="59">
        <f ca="1">AVERAGE(OFFSET($CC$3,0,0,'Données projet'!$E$12+1,1))-AVERAGE(OFFSET($H$3,0,0,'Données projet'!$E$12+1,1))</f>
        <v>445.38112098358147</v>
      </c>
      <c r="CE81" s="59">
        <f t="shared" si="94"/>
        <v>272.45883568548516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22.005630883366806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22.005630883366806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68.276180437080484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6</v>
      </c>
      <c r="CT81" s="12">
        <f>IF('Données projet'!$A$140&gt;35,CT80+CS81-DB80,IF(A81&lt;'Données projet'!$A$140,$CQ$205^A81,IF(A81='Données projet'!$A$140,'Données projet'!$B$140,CT80+CS81-DB80)))</f>
        <v>248.99999999999994</v>
      </c>
      <c r="CU81" s="17">
        <f>CT81*VLOOKUP('Données projet'!$B$13,Paramètres!$A$1:$I$89,3,0)*VLOOKUP('Données projet'!$B$13,Paramètres!$A$1:$I$89,5,0)</f>
        <v>268.02359999999993</v>
      </c>
      <c r="CV81" s="13">
        <f t="shared" si="95"/>
        <v>64.429648145853221</v>
      </c>
      <c r="CW81" s="20">
        <f t="shared" si="67"/>
        <v>579.02274052069413</v>
      </c>
      <c r="CX81" s="59">
        <f t="shared" si="68"/>
        <v>866.03540212332257</v>
      </c>
      <c r="CY81" s="59">
        <f ca="1">AVERAGE(OFFSET($CX$3,0,0,'Données projet'!$E$13+1,1))-AVERAGE(OFFSET($H$3,0,0,'Données projet'!$E$13+1,1))</f>
        <v>445.38112098358147</v>
      </c>
      <c r="CZ81" s="59">
        <f t="shared" si="96"/>
        <v>272.45883568548516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22.005630883366806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22.005630883366806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68.276180437080484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6</v>
      </c>
      <c r="DO81" s="12">
        <f>IF('Données projet'!$A$166&gt;35,DO80+DN81-DW80,IF(A81&lt;'Données projet'!$A$166,$DL$205^A81,IF(A81='Données projet'!$A$166,'Données projet'!$B$166,DO80+DN81-DW80)))</f>
        <v>248.99999999999994</v>
      </c>
      <c r="DP81" s="17">
        <f>DO81*VLOOKUP('Données projet'!$B$14,Paramètres!$A$1:$I$89,3,0)*VLOOKUP('Données projet'!$B$14,Paramètres!$A$1:$I$89,5,0)</f>
        <v>240.83279999999996</v>
      </c>
      <c r="DQ81" s="13">
        <f t="shared" si="97"/>
        <v>58.618675319436669</v>
      </c>
      <c r="DR81" s="20">
        <f t="shared" si="70"/>
        <v>521.5446528480187</v>
      </c>
      <c r="DS81" s="59">
        <f t="shared" si="71"/>
        <v>808.55731445064714</v>
      </c>
      <c r="DT81" s="59">
        <f ca="1">AVERAGE(OFFSET($DS$3,0,0,'Données projet'!$E$14+1,1))-AVERAGE(OFFSET($H$3,0,0,'Données projet'!$E$14+1,1))</f>
        <v>405.29179902613089</v>
      </c>
      <c r="DU81" s="59">
        <f t="shared" si="98"/>
        <v>249.61049717638238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19.773175576358579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19.773175576358579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68.276180437080484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-5.6843418860808015E-13</v>
      </c>
      <c r="EK81" s="17">
        <f>EJ81*VLOOKUP('Données projet'!$B$15,Paramètres!$A$1:$I$89,3,0)*VLOOKUP('Données projet'!$B$15,Paramètres!$A$1:$I$89,5,0)</f>
        <v>-3.39923644787632E-13</v>
      </c>
      <c r="EL81" s="13" t="e">
        <f t="shared" si="99"/>
        <v>#NUM!</v>
      </c>
      <c r="EM81" s="20" t="e">
        <f t="shared" si="73"/>
        <v>#NUM!</v>
      </c>
      <c r="EN81" s="59" t="e">
        <f t="shared" si="74"/>
        <v>#NUM!</v>
      </c>
      <c r="EO81" s="59">
        <f ca="1">AVERAGE(OFFSET($EN$3,0,0,'Données projet'!$E$15+1,1))-AVERAGE(OFFSET($H$3,0,0,'Données projet'!$E$15+1,1))</f>
        <v>444.77624981561257</v>
      </c>
      <c r="EP81" s="59">
        <f t="shared" si="100"/>
        <v>382.10319641527587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227.36716486958986</v>
      </c>
      <c r="EW81" s="21">
        <f>EXP(-LN(2)/25)*EW80+(1-EXP(-LN(2)/25))/(LN(2)/25)*Calculateur!ER81*Calculateur!ET81*VLOOKUP('Données projet'!$B$15,Paramètres!$A$1:$I$89,3,0)*0.475*44/12</f>
        <v>43.903211368965792</v>
      </c>
      <c r="EX81" s="21">
        <f>EXP(-LN(2)/2)*EX80+(1-EXP(-LN(2)/2))/(LN(2)/2)*ER81*EU81*VLOOKUP('Données projet'!$B$15,Paramètres!$A$1:$I$89,3,0)*0.475*44/12</f>
        <v>20.549321680032893</v>
      </c>
      <c r="EY81" s="22">
        <f t="shared" si="75"/>
        <v>291.81969791858853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68.276180437080484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7</v>
      </c>
      <c r="FE81" s="12">
        <f>IF('Données projet'!$A$218&gt;35,FE80+FD81-FM80,IF(A81&lt;'Données projet'!$A$218,$FB$205^A81,IF(A81='Données projet'!$A$218,'Données projet'!$B$218,FE80+FD81-FM80)))</f>
        <v>937.00000000000034</v>
      </c>
      <c r="FF81" s="17">
        <f>FE81*VLOOKUP('Données projet'!$B$16,Paramètres!$A$1:$I$89,3,0)*VLOOKUP('Données projet'!$B$16,Paramètres!$A$1:$I$89,5,0)</f>
        <v>414.15400000000022</v>
      </c>
      <c r="FG81" s="13">
        <f t="shared" si="101"/>
        <v>94.640338415355927</v>
      </c>
      <c r="FH81" s="20">
        <f t="shared" si="76"/>
        <v>886.15013940674532</v>
      </c>
      <c r="FI81" s="59">
        <f t="shared" si="77"/>
        <v>1173.1628010093737</v>
      </c>
      <c r="FJ81" s="59">
        <f ca="1">AVERAGE(OFFSET($FI$3,0,0,'Données projet'!$E$16+1,1))-AVERAGE(OFFSET($H$3,0,0,'Données projet'!$E$16+1,1))</f>
        <v>508.71179785154317</v>
      </c>
      <c r="FK81" s="59">
        <f t="shared" si="102"/>
        <v>422.73937290731442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33.841004218360688</v>
      </c>
      <c r="FR81" s="21">
        <f>EXP(-LN(2)/25)*FR80+(1-EXP(-LN(2)/25))/(LN(2)/25)*Calculateur!FM81*Calculateur!FO81*VLOOKUP('Données projet'!$B$16,Paramètres!$A$1:$I$89,3,0)*0.475*44/12</f>
        <v>36.413512205538829</v>
      </c>
      <c r="FS81" s="21">
        <f>EXP(-LN(2)/2)*FS80+(1-EXP(-LN(2)/2))/(LN(2)/2)*FM81*FP81*VLOOKUP('Données projet'!$B$16,Paramètres!$A$1:$I$89,3,0)*0.475*44/12</f>
        <v>0.47134197520072779</v>
      </c>
      <c r="FT81" s="22">
        <f t="shared" si="78"/>
        <v>70.725858399100247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68.276180437080484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68.276180437080484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1.35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4.95</v>
      </c>
      <c r="H82" s="67">
        <f t="shared" si="56"/>
        <v>236.86666666666665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68.306084852613935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7.2</v>
      </c>
      <c r="N82" s="13">
        <f>IF('Données projet'!$A$36&gt;35,N81+M82-V81,IF(A82&lt;'Données projet'!$A$36,$K$205^A82,IF(A82='Données projet'!$A$36,'Données projet'!$B$36,N81+M82-V81)))</f>
        <v>312.79999999999995</v>
      </c>
      <c r="O82" s="13">
        <f>N82*VLOOKUP('Données projet'!$B$9,Paramètres!$A$1:$I$89,3,0)*VLOOKUP('Données projet'!$B$9,Paramètres!$A$1:$I$89,5,0)</f>
        <v>283.02143999999993</v>
      </c>
      <c r="P82" s="13">
        <f t="shared" si="87"/>
        <v>67.605126603830598</v>
      </c>
      <c r="Q82" s="20">
        <f t="shared" si="54"/>
        <v>610.67460350167141</v>
      </c>
      <c r="R82" s="59">
        <f t="shared" si="55"/>
        <v>897.79691462792243</v>
      </c>
      <c r="S82" s="59">
        <f ca="1">AVERAGE(OFFSET($R$3,0,0,'Données projet'!$E$9+1,1))-AVERAGE(OFFSET($H$3,0,0,'Données projet'!$E$9+1,1))</f>
        <v>466.90449882701591</v>
      </c>
      <c r="T82" s="59">
        <f t="shared" si="88"/>
        <v>283.37641704892053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24.179683193497635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24.179683193497635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68.306084852613935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</v>
      </c>
      <c r="AI82" s="13">
        <f>IF('Données projet'!$A$62&gt;35,AI81+AH82-AQ81,IF(A82&lt;'Données projet'!$A$62,$AF$205^A82,IF(A82='Données projet'!$A$62,'Données projet'!$B$62,AI81+AH82-AQ81)))</f>
        <v>254.99999999999994</v>
      </c>
      <c r="AJ82" s="13">
        <f>AI82*VLOOKUP('Données projet'!$B$10,Paramètres!$A$1:$I$89,3,0)*VLOOKUP('Données projet'!$B$10,Paramètres!$A$1:$I$89,5,0)</f>
        <v>242.65799999999993</v>
      </c>
      <c r="AK82" s="13">
        <f t="shared" si="89"/>
        <v>59.011045025839607</v>
      </c>
      <c r="AL82" s="20">
        <f t="shared" si="58"/>
        <v>525.40692008667054</v>
      </c>
      <c r="AM82" s="59">
        <f t="shared" si="59"/>
        <v>812.52923121292156</v>
      </c>
      <c r="AN82" s="59">
        <f ca="1">AVERAGE(OFFSET($AM$3,0,0,'Données projet'!$E$10+1,1))-AVERAGE(OFFSET($H$3,0,0,'Données projet'!$E$10+1,1))</f>
        <v>399.5572791581468</v>
      </c>
      <c r="AO82" s="59">
        <f t="shared" si="90"/>
        <v>246.34185986079777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19.072767346595114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19.072767346595114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68.306084852613935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5.6843418860808015E-14</v>
      </c>
      <c r="BE82" s="13">
        <f>BD82*VLOOKUP('Données projet'!$B$11,Paramètres!$A$1:$I$89,3,0)*VLOOKUP('Données projet'!$B$11,Paramètres!$A$1:$I$89,5,0)</f>
        <v>4.4337866711430253E-14</v>
      </c>
      <c r="BF82" s="13">
        <f t="shared" si="91"/>
        <v>7.3222115536967035E-13</v>
      </c>
      <c r="BG82" s="20">
        <f t="shared" si="61"/>
        <v>1.3525069634579169E-12</v>
      </c>
      <c r="BH82" s="59">
        <f t="shared" si="62"/>
        <v>287.12231112625244</v>
      </c>
      <c r="BI82" s="59">
        <f ca="1">AVERAGE(OFFSET($BH$3,0,0,'Données projet'!$E$11+1,1))-AVERAGE(OFFSET($H$3,0,0,'Données projet'!$E$11+1,1))</f>
        <v>294.23449029791681</v>
      </c>
      <c r="BJ82" s="59">
        <f t="shared" si="92"/>
        <v>288.64639202306159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77.176500403129211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77.176500403129211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68.306084852613935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6</v>
      </c>
      <c r="BY82" s="12">
        <f>IF('Données projet'!$A$114&gt;35,BY81+BX82-CG81,IF(A82&lt;'Données projet'!$A$114,$BV$205^A82,IF(A82='Données projet'!$A$114,'Données projet'!$B$114,BY81+BX82-CG81)))</f>
        <v>254.99999999999994</v>
      </c>
      <c r="BZ82" s="13">
        <f>BY82*VLOOKUP('Données projet'!$B$12,Paramètres!$A$1:$I$89,3,0)*VLOOKUP('Données projet'!$B$12,Paramètres!$A$1:$I$89,5,0)</f>
        <v>274.48199999999997</v>
      </c>
      <c r="CA82" s="13">
        <f t="shared" si="93"/>
        <v>65.799549466335947</v>
      </c>
      <c r="CB82" s="20">
        <f t="shared" si="64"/>
        <v>592.65703198720178</v>
      </c>
      <c r="CC82" s="59">
        <f t="shared" si="65"/>
        <v>879.7793431134528</v>
      </c>
      <c r="CD82" s="59">
        <f ca="1">AVERAGE(OFFSET($CC$3,0,0,'Données projet'!$E$12+1,1))-AVERAGE(OFFSET($H$3,0,0,'Données projet'!$E$12+1,1))</f>
        <v>445.38112098358147</v>
      </c>
      <c r="CE82" s="59">
        <f t="shared" si="94"/>
        <v>272.45883568548516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21.574113883853499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21.574113883853499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68.306084852613935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6</v>
      </c>
      <c r="CT82" s="12">
        <f>IF('Données projet'!$A$140&gt;35,CT81+CS82-DB81,IF(A82&lt;'Données projet'!$A$140,$CQ$205^A82,IF(A82='Données projet'!$A$140,'Données projet'!$B$140,CT81+CS82-DB81)))</f>
        <v>254.99999999999994</v>
      </c>
      <c r="CU82" s="17">
        <f>CT82*VLOOKUP('Données projet'!$B$13,Paramètres!$A$1:$I$89,3,0)*VLOOKUP('Données projet'!$B$13,Paramètres!$A$1:$I$89,5,0)</f>
        <v>274.48199999999997</v>
      </c>
      <c r="CV82" s="13">
        <f t="shared" si="95"/>
        <v>65.799549466335947</v>
      </c>
      <c r="CW82" s="20">
        <f t="shared" si="67"/>
        <v>592.65703198720178</v>
      </c>
      <c r="CX82" s="59">
        <f t="shared" si="68"/>
        <v>879.7793431134528</v>
      </c>
      <c r="CY82" s="59">
        <f ca="1">AVERAGE(OFFSET($CX$3,0,0,'Données projet'!$E$13+1,1))-AVERAGE(OFFSET($H$3,0,0,'Données projet'!$E$13+1,1))</f>
        <v>445.38112098358147</v>
      </c>
      <c r="CZ82" s="59">
        <f t="shared" si="96"/>
        <v>272.45883568548516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21.574113883853499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21.574113883853499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68.306084852613935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6</v>
      </c>
      <c r="DO82" s="12">
        <f>IF('Données projet'!$A$166&gt;35,DO81+DN82-DW81,IF(A82&lt;'Données projet'!$A$166,$DL$205^A82,IF(A82='Données projet'!$A$166,'Données projet'!$B$166,DO81+DN82-DW81)))</f>
        <v>254.99999999999994</v>
      </c>
      <c r="DP82" s="17">
        <f>DO82*VLOOKUP('Données projet'!$B$14,Paramètres!$A$1:$I$89,3,0)*VLOOKUP('Données projet'!$B$14,Paramètres!$A$1:$I$89,5,0)</f>
        <v>246.63599999999997</v>
      </c>
      <c r="DQ82" s="13">
        <f t="shared" si="97"/>
        <v>59.865023903294535</v>
      </c>
      <c r="DR82" s="20">
        <f t="shared" si="70"/>
        <v>533.82261663157112</v>
      </c>
      <c r="DS82" s="59">
        <f t="shared" si="71"/>
        <v>820.94492775782214</v>
      </c>
      <c r="DT82" s="59">
        <f ca="1">AVERAGE(OFFSET($DS$3,0,0,'Données projet'!$E$14+1,1))-AVERAGE(OFFSET($H$3,0,0,'Données projet'!$E$14+1,1))</f>
        <v>405.29179902613089</v>
      </c>
      <c r="DU82" s="59">
        <f t="shared" si="98"/>
        <v>249.61049717638238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19.385435663752418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19.385435663752418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68.306084852613935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-5.6843418860808015E-13</v>
      </c>
      <c r="EK82" s="17">
        <f>EJ82*VLOOKUP('Données projet'!$B$15,Paramètres!$A$1:$I$89,3,0)*VLOOKUP('Données projet'!$B$15,Paramètres!$A$1:$I$89,5,0)</f>
        <v>-3.39923644787632E-13</v>
      </c>
      <c r="EL82" s="13" t="e">
        <f t="shared" si="99"/>
        <v>#NUM!</v>
      </c>
      <c r="EM82" s="20" t="e">
        <f t="shared" si="73"/>
        <v>#NUM!</v>
      </c>
      <c r="EN82" s="59" t="e">
        <f t="shared" si="74"/>
        <v>#NUM!</v>
      </c>
      <c r="EO82" s="59">
        <f ca="1">AVERAGE(OFFSET($EN$3,0,0,'Données projet'!$E$15+1,1))-AVERAGE(OFFSET($H$3,0,0,'Données projet'!$E$15+1,1))</f>
        <v>444.77624981561257</v>
      </c>
      <c r="EP82" s="59">
        <f t="shared" si="100"/>
        <v>382.10319641527587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222.90863344677422</v>
      </c>
      <c r="EW82" s="21">
        <f>EXP(-LN(2)/25)*EW81+(1-EXP(-LN(2)/25))/(LN(2)/25)*Calculateur!ER82*Calculateur!ET82*VLOOKUP('Données projet'!$B$15,Paramètres!$A$1:$I$89,3,0)*0.475*44/12</f>
        <v>42.702675745311879</v>
      </c>
      <c r="EX82" s="21">
        <f>EXP(-LN(2)/2)*EX81+(1-EXP(-LN(2)/2))/(LN(2)/2)*ER82*EU82*VLOOKUP('Données projet'!$B$15,Paramètres!$A$1:$I$89,3,0)*0.475*44/12</f>
        <v>14.530564708734998</v>
      </c>
      <c r="EY82" s="22">
        <f t="shared" si="75"/>
        <v>280.14187390082105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68.306084852613935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7</v>
      </c>
      <c r="FE82" s="12">
        <f>IF('Données projet'!$A$218&gt;35,FE81+FD82-FM81,IF(A82&lt;'Données projet'!$A$218,$FB$205^A82,IF(A82='Données projet'!$A$218,'Données projet'!$B$218,FE81+FD82-FM81)))</f>
        <v>944.00000000000034</v>
      </c>
      <c r="FF82" s="17">
        <f>FE82*VLOOKUP('Données projet'!$B$16,Paramètres!$A$1:$I$89,3,0)*VLOOKUP('Données projet'!$B$16,Paramètres!$A$1:$I$89,5,0)</f>
        <v>417.24800000000022</v>
      </c>
      <c r="FG82" s="13">
        <f t="shared" si="101"/>
        <v>95.264794778296036</v>
      </c>
      <c r="FH82" s="20">
        <f t="shared" si="76"/>
        <v>892.62645090553258</v>
      </c>
      <c r="FI82" s="59">
        <f t="shared" si="77"/>
        <v>1179.7487620317836</v>
      </c>
      <c r="FJ82" s="59">
        <f ca="1">AVERAGE(OFFSET($FI$3,0,0,'Données projet'!$E$16+1,1))-AVERAGE(OFFSET($H$3,0,0,'Données projet'!$E$16+1,1))</f>
        <v>508.71179785154317</v>
      </c>
      <c r="FK82" s="59">
        <f t="shared" si="102"/>
        <v>422.73937290731442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33.177402766613078</v>
      </c>
      <c r="FR82" s="21">
        <f>EXP(-LN(2)/25)*FR81+(1-EXP(-LN(2)/25))/(LN(2)/25)*Calculateur!FM82*Calculateur!FO82*VLOOKUP('Données projet'!$B$16,Paramètres!$A$1:$I$89,3,0)*0.475*44/12</f>
        <v>35.41778279937499</v>
      </c>
      <c r="FS82" s="21">
        <f>EXP(-LN(2)/2)*FS81+(1-EXP(-LN(2)/2))/(LN(2)/2)*FM82*FP82*VLOOKUP('Données projet'!$B$16,Paramètres!$A$1:$I$89,3,0)*0.475*44/12</f>
        <v>0.33328910692229619</v>
      </c>
      <c r="FT82" s="22">
        <f t="shared" si="78"/>
        <v>68.928474672910355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68.306084852613935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68.306084852613935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1.35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4.95</v>
      </c>
      <c r="H83" s="67">
        <f t="shared" si="56"/>
        <v>236.86666666666665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68.335470493394155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320</v>
      </c>
      <c r="L83" s="12">
        <f>VLOOKUP(A83,'Données projet'!$A$35:$I$55,9,0)</f>
        <v>7.2</v>
      </c>
      <c r="M83" s="12">
        <f t="array" ref="M83">INDEX(L:L,MIN(IF(ISNUMBER(L83:L279),ROW(L83:L279),"")))</f>
        <v>7.2</v>
      </c>
      <c r="N83" s="13">
        <f>IF('Données projet'!$A$36&gt;35,N82+M83-V82,IF(A83&lt;'Données projet'!$A$36,$K$205^A83,IF(A83='Données projet'!$A$36,'Données projet'!$B$36,N82+M83-V82)))</f>
        <v>319.99999999999994</v>
      </c>
      <c r="O83" s="13">
        <f>N83*VLOOKUP('Données projet'!$B$9,Paramètres!$A$1:$I$89,3,0)*VLOOKUP('Données projet'!$B$9,Paramètres!$A$1:$I$89,5,0)</f>
        <v>289.53599999999994</v>
      </c>
      <c r="P83" s="13">
        <f t="shared" si="87"/>
        <v>68.97829509904436</v>
      </c>
      <c r="Q83" s="20">
        <f t="shared" si="54"/>
        <v>624.41239729750214</v>
      </c>
      <c r="R83" s="59">
        <f t="shared" si="55"/>
        <v>911.64245577328074</v>
      </c>
      <c r="S83" s="59">
        <f ca="1">AVERAGE(OFFSET($R$3,0,0,'Données projet'!$E$9+1,1))-AVERAGE(OFFSET($H$3,0,0,'Données projet'!$E$9+1,1))</f>
        <v>466.90449882701591</v>
      </c>
      <c r="T83" s="59">
        <f t="shared" si="88"/>
        <v>283.37641704892053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28</v>
      </c>
      <c r="W83" s="16">
        <f>IF(ISNA(VLOOKUP(A83,'Données projet'!$A$35:$I$55,5,0)),0%,VLOOKUP(A83,'Données projet'!$A$35:$I$55,5,0)*VLOOKUP('Données projet'!$B$9,Paramètres!$A$1:$I$89,7,0))</f>
        <v>0.25800000000000001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30.931192980299443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30.931192980299443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68.335470493394155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261</v>
      </c>
      <c r="AG83" s="12">
        <f>VLOOKUP(A83,'Données projet'!$A$61:$I$81,9,0)</f>
        <v>6</v>
      </c>
      <c r="AH83" s="12">
        <f t="array" ref="AH83">INDEX(AG:AG,MIN(IF(ISNUMBER(AG83:AG279),ROW(AG83:AG279),"")))</f>
        <v>6</v>
      </c>
      <c r="AI83" s="13">
        <f>IF('Données projet'!$A$62&gt;35,AI82+AH83-AQ82,IF(A83&lt;'Données projet'!$A$62,$AF$205^A83,IF(A83='Données projet'!$A$62,'Données projet'!$B$62,AI82+AH83-AQ82)))</f>
        <v>260.99999999999994</v>
      </c>
      <c r="AJ83" s="13">
        <f>AI83*VLOOKUP('Données projet'!$B$10,Paramètres!$A$1:$I$89,3,0)*VLOOKUP('Données projet'!$B$10,Paramètres!$A$1:$I$89,5,0)</f>
        <v>248.36759999999992</v>
      </c>
      <c r="AK83" s="13">
        <f t="shared" si="89"/>
        <v>60.236253798706286</v>
      </c>
      <c r="AL83" s="20">
        <f t="shared" si="58"/>
        <v>537.48504536607993</v>
      </c>
      <c r="AM83" s="59">
        <f t="shared" si="59"/>
        <v>824.71510384185854</v>
      </c>
      <c r="AN83" s="59">
        <f ca="1">AVERAGE(OFFSET($AM$3,0,0,'Données projet'!$E$10+1,1))-AVERAGE(OFFSET($H$3,0,0,'Données projet'!$E$10+1,1))</f>
        <v>399.5572791581468</v>
      </c>
      <c r="AO83" s="59">
        <f t="shared" si="90"/>
        <v>246.34185986079777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21</v>
      </c>
      <c r="AR83" s="16">
        <f>IF(ISNA(VLOOKUP(A83,'Données projet'!$A$61:$I$81,5,0)),0%,VLOOKUP(A83,'Données projet'!$A$61:$I$81,5,0)*VLOOKUP('Données projet'!$B$10,Paramètres!$A$1:$I$89,7,0))</f>
        <v>0.25800000000000001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24.398311704287924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24.398311704287924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68.335470493394155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5.6843418860808015E-14</v>
      </c>
      <c r="BE83" s="13">
        <f>BD83*VLOOKUP('Données projet'!$B$11,Paramètres!$A$1:$I$89,3,0)*VLOOKUP('Données projet'!$B$11,Paramètres!$A$1:$I$89,5,0)</f>
        <v>4.4337866711430253E-14</v>
      </c>
      <c r="BF83" s="13">
        <f t="shared" si="91"/>
        <v>7.3222115536967035E-13</v>
      </c>
      <c r="BG83" s="20">
        <f t="shared" si="61"/>
        <v>1.3525069634579169E-12</v>
      </c>
      <c r="BH83" s="59">
        <f t="shared" si="62"/>
        <v>287.23005847577991</v>
      </c>
      <c r="BI83" s="59">
        <f ca="1">AVERAGE(OFFSET($BH$3,0,0,'Données projet'!$E$11+1,1))-AVERAGE(OFFSET($H$3,0,0,'Données projet'!$E$11+1,1))</f>
        <v>294.23449029791681</v>
      </c>
      <c r="BJ83" s="59">
        <f t="shared" si="92"/>
        <v>288.64639202306159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75.663116303241011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75.663116303241011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68.335470493394155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261</v>
      </c>
      <c r="BW83" s="12">
        <f>VLOOKUP(A83,'Données projet'!$A$113:$I$133,9,0)</f>
        <v>6</v>
      </c>
      <c r="BX83" s="12">
        <f t="array" ref="BX83">INDEX(BW:BW,MIN(IF(ISNUMBER(BW83:BW279),ROW(BW83:BW279),"")))</f>
        <v>6</v>
      </c>
      <c r="BY83" s="12">
        <f>IF('Données projet'!$A$114&gt;35,BY82+BX83-CG82,IF(A83&lt;'Données projet'!$A$114,$BV$205^A83,IF(A83='Données projet'!$A$114,'Données projet'!$B$114,BY82+BX83-CG82)))</f>
        <v>260.99999999999994</v>
      </c>
      <c r="BZ83" s="13">
        <f>BY83*VLOOKUP('Données projet'!$B$12,Paramètres!$A$1:$I$89,3,0)*VLOOKUP('Données projet'!$B$12,Paramètres!$A$1:$I$89,5,0)</f>
        <v>280.94039999999995</v>
      </c>
      <c r="CA83" s="13">
        <f t="shared" si="93"/>
        <v>67.165703636653205</v>
      </c>
      <c r="CB83" s="20">
        <f t="shared" si="64"/>
        <v>606.28479716717095</v>
      </c>
      <c r="CC83" s="59">
        <f t="shared" si="65"/>
        <v>893.51485564294944</v>
      </c>
      <c r="CD83" s="59">
        <f ca="1">AVERAGE(OFFSET($CC$3,0,0,'Données projet'!$E$12+1,1))-AVERAGE(OFFSET($H$3,0,0,'Données projet'!$E$12+1,1))</f>
        <v>445.38112098358147</v>
      </c>
      <c r="CE83" s="59">
        <f t="shared" si="94"/>
        <v>272.45883568548516</v>
      </c>
      <c r="CF83" s="15">
        <f>IF(ISNA(VLOOKUP(A83,'Données projet'!$A$113:$I$133,3,0)),0,VLOOKUP(A83,'Données projet'!$A$113:$I$133,3,0))</f>
        <v>13</v>
      </c>
      <c r="CG83" s="15">
        <f>IF(ISNA(VLOOKUP(A83,'Données projet'!$A$113:$I$133,4,0)),0,VLOOKUP(A83,'Données projet'!$A$113:$I$133,4,0))</f>
        <v>21</v>
      </c>
      <c r="CH83" s="16">
        <f>IF(ISNA(VLOOKUP(A83,'Données projet'!$A$113:$I$133,5,0)),0%,VLOOKUP(A83,'Données projet'!$A$113:$I$133,5,0)*VLOOKUP('Données projet'!$B$12,Paramètres!$A$1:$I$89,7,0))</f>
        <v>0.25800000000000001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27.598090288456838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27.598090288456838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68.335470493394155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261</v>
      </c>
      <c r="CR83" s="12">
        <f>VLOOKUP(A83,'Données projet'!$A$139:$I$159,9,0)</f>
        <v>6</v>
      </c>
      <c r="CS83" s="12">
        <f t="array" ref="CS83">INDEX(CR:CR,MIN(IF(ISNUMBER(CR83:CR279),ROW(CR83:CR279),"")))</f>
        <v>6</v>
      </c>
      <c r="CT83" s="12">
        <f>IF('Données projet'!$A$140&gt;35,CT82+CS83-DB82,IF(A83&lt;'Données projet'!$A$140,$CQ$205^A83,IF(A83='Données projet'!$A$140,'Données projet'!$B$140,CT82+CS83-DB82)))</f>
        <v>260.99999999999994</v>
      </c>
      <c r="CU83" s="17">
        <f>CT83*VLOOKUP('Données projet'!$B$13,Paramètres!$A$1:$I$89,3,0)*VLOOKUP('Données projet'!$B$13,Paramètres!$A$1:$I$89,5,0)</f>
        <v>280.94039999999995</v>
      </c>
      <c r="CV83" s="13">
        <f t="shared" si="95"/>
        <v>67.165703636653205</v>
      </c>
      <c r="CW83" s="20">
        <f t="shared" si="67"/>
        <v>606.28479716717095</v>
      </c>
      <c r="CX83" s="59">
        <f t="shared" si="68"/>
        <v>893.51485564294944</v>
      </c>
      <c r="CY83" s="59">
        <f ca="1">AVERAGE(OFFSET($CX$3,0,0,'Données projet'!$E$13+1,1))-AVERAGE(OFFSET($H$3,0,0,'Données projet'!$E$13+1,1))</f>
        <v>445.38112098358147</v>
      </c>
      <c r="CZ83" s="59">
        <f t="shared" si="96"/>
        <v>272.45883568548516</v>
      </c>
      <c r="DA83" s="15">
        <f>IF(ISNA(VLOOKUP(A83,'Données projet'!$A$139:$I$159,3,0)),0,VLOOKUP(A83,'Données projet'!$A$139:$I$159,3,0))</f>
        <v>13</v>
      </c>
      <c r="DB83" s="15">
        <f>IF(ISNA(VLOOKUP(A83,'Données projet'!$A$139:$I$159,4,0)),0,VLOOKUP(A83,'Données projet'!$A$139:$I$159,4,0))</f>
        <v>21</v>
      </c>
      <c r="DC83" s="16">
        <f>IF(ISNA(VLOOKUP(A83,'Données projet'!$A$139:$I$159,5,0)),0%,VLOOKUP(A83,'Données projet'!$A$139:$I$159,5,0)*VLOOKUP('Données projet'!$B$13,Paramètres!$A$1:$I$89,7,0))</f>
        <v>0.25800000000000001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27.598090288456838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27.598090288456838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68.335470493394155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261</v>
      </c>
      <c r="DM83" s="12">
        <f>VLOOKUP(A83,'Données projet'!$A$165:$I$185,9,0)</f>
        <v>6</v>
      </c>
      <c r="DN83" s="12">
        <f t="array" ref="DN83">INDEX(DM:DM,MIN(IF(ISNUMBER(DM83:DM279),ROW(DM83:DM279),"")))</f>
        <v>6</v>
      </c>
      <c r="DO83" s="12">
        <f>IF('Données projet'!$A$166&gt;35,DO82+DN83-DW82,IF(A83&lt;'Données projet'!$A$166,$DL$205^A83,IF(A83='Données projet'!$A$166,'Données projet'!$B$166,DO82+DN83-DW82)))</f>
        <v>260.99999999999994</v>
      </c>
      <c r="DP83" s="17">
        <f>DO83*VLOOKUP('Données projet'!$B$14,Paramètres!$A$1:$I$89,3,0)*VLOOKUP('Données projet'!$B$14,Paramètres!$A$1:$I$89,5,0)</f>
        <v>252.43919999999994</v>
      </c>
      <c r="DQ83" s="13">
        <f t="shared" si="97"/>
        <v>61.107963296116218</v>
      </c>
      <c r="DR83" s="20">
        <f t="shared" si="70"/>
        <v>546.09464274073559</v>
      </c>
      <c r="DS83" s="59">
        <f t="shared" si="71"/>
        <v>833.32470121651409</v>
      </c>
      <c r="DT83" s="59">
        <f ca="1">AVERAGE(OFFSET($DS$3,0,0,'Données projet'!$E$14+1,1))-AVERAGE(OFFSET($H$3,0,0,'Données projet'!$E$14+1,1))</f>
        <v>405.29179902613089</v>
      </c>
      <c r="DU83" s="59">
        <f t="shared" si="98"/>
        <v>249.61049717638238</v>
      </c>
      <c r="DV83" s="15">
        <f>IF(ISNA(VLOOKUP(A83,'Données projet'!$A$165:$I$185,3,0)),0,VLOOKUP(A83,'Données projet'!$A$165:$I$185,3,0))</f>
        <v>13</v>
      </c>
      <c r="DW83" s="15">
        <f>IF(ISNA(VLOOKUP(A83,'Données projet'!$A$165:$I$185,4,0)),0,VLOOKUP(A83,'Données projet'!$A$165:$I$185,4,0))</f>
        <v>21</v>
      </c>
      <c r="DX83" s="16">
        <f>IF(ISNA(VLOOKUP(A83,'Données projet'!$A$165:$I$185,5,0)),0%,VLOOKUP(A83,'Données projet'!$A$165:$I$185,5,0)*VLOOKUP('Données projet'!$B$14,Paramètres!$A$1:$I$89,7,0))</f>
        <v>0.25800000000000001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24.798284027309041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24.798284027309041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68.335470493394155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-5.6843418860808015E-13</v>
      </c>
      <c r="EK83" s="17">
        <f>EJ83*VLOOKUP('Données projet'!$B$15,Paramètres!$A$1:$I$89,3,0)*VLOOKUP('Données projet'!$B$15,Paramètres!$A$1:$I$89,5,0)</f>
        <v>-3.39923644787632E-13</v>
      </c>
      <c r="EL83" s="13" t="e">
        <f t="shared" si="99"/>
        <v>#NUM!</v>
      </c>
      <c r="EM83" s="20" t="e">
        <f t="shared" si="73"/>
        <v>#NUM!</v>
      </c>
      <c r="EN83" s="59" t="e">
        <f t="shared" si="74"/>
        <v>#NUM!</v>
      </c>
      <c r="EO83" s="59">
        <f ca="1">AVERAGE(OFFSET($EN$3,0,0,'Données projet'!$E$15+1,1))-AVERAGE(OFFSET($H$3,0,0,'Données projet'!$E$15+1,1))</f>
        <v>444.77624981561257</v>
      </c>
      <c r="EP83" s="59">
        <f t="shared" si="100"/>
        <v>382.10319641527587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218.53753110572436</v>
      </c>
      <c r="EW83" s="21">
        <f>EXP(-LN(2)/25)*EW82+(1-EXP(-LN(2)/25))/(LN(2)/25)*Calculateur!ER83*Calculateur!ET83*VLOOKUP('Données projet'!$B$15,Paramètres!$A$1:$I$89,3,0)*0.475*44/12</f>
        <v>41.534968831420208</v>
      </c>
      <c r="EX83" s="21">
        <f>EXP(-LN(2)/2)*EX82+(1-EXP(-LN(2)/2))/(LN(2)/2)*ER83*EU83*VLOOKUP('Données projet'!$B$15,Paramètres!$A$1:$I$89,3,0)*0.475*44/12</f>
        <v>10.274660840016448</v>
      </c>
      <c r="EY83" s="22">
        <f t="shared" si="75"/>
        <v>270.34716077716104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68.335470493394155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951</v>
      </c>
      <c r="FC83" s="12">
        <f>VLOOKUP(A83,'Données projet'!$A$217:$I$237,9,0)</f>
        <v>7</v>
      </c>
      <c r="FD83" s="12">
        <f t="array" ref="FD83">INDEX(FC:FC,MIN(IF(ISNUMBER(FC83:FC279),ROW(FC83:FC279),"")))</f>
        <v>7</v>
      </c>
      <c r="FE83" s="12">
        <f>IF('Données projet'!$A$218&gt;35,FE82+FD83-FM82,IF(A83&lt;'Données projet'!$A$218,$FB$205^A83,IF(A83='Données projet'!$A$218,'Données projet'!$B$218,FE82+FD83-FM82)))</f>
        <v>951.00000000000034</v>
      </c>
      <c r="FF83" s="17">
        <f>FE83*VLOOKUP('Données projet'!$B$16,Paramètres!$A$1:$I$89,3,0)*VLOOKUP('Données projet'!$B$16,Paramètres!$A$1:$I$89,5,0)</f>
        <v>420.34200000000021</v>
      </c>
      <c r="FG83" s="13">
        <f t="shared" si="101"/>
        <v>95.888712378044346</v>
      </c>
      <c r="FH83" s="20">
        <f t="shared" si="76"/>
        <v>899.10182405842761</v>
      </c>
      <c r="FI83" s="59">
        <f t="shared" si="77"/>
        <v>1186.3318825342062</v>
      </c>
      <c r="FJ83" s="59">
        <f ca="1">AVERAGE(OFFSET($FI$3,0,0,'Données projet'!$E$16+1,1))-AVERAGE(OFFSET($H$3,0,0,'Données projet'!$E$16+1,1))</f>
        <v>508.71179785154317</v>
      </c>
      <c r="FK83" s="59">
        <f t="shared" si="102"/>
        <v>422.73937290731442</v>
      </c>
      <c r="FL83" s="15">
        <f>IF(ISNA(VLOOKUP(A83,'Données projet'!$A$217:$I$237,3,0)),0,VLOOKUP(A83,'Données projet'!$A$217:$I$237,3,0))</f>
        <v>14</v>
      </c>
      <c r="FM83" s="15">
        <f>IF(ISNA(VLOOKUP(A83,'Données projet'!$A$217:$I$237,4,0)),0,VLOOKUP(A83,'Données projet'!$A$217:$I$237,4,0))</f>
        <v>951</v>
      </c>
      <c r="FN83" s="16">
        <f>IF(ISNA(VLOOKUP(A83,'Données projet'!$A$217:$I$237,5,0)),0%,VLOOKUP(A83,'Données projet'!$A$217:$I$237,5,0)*VLOOKUP('Données projet'!$B$16,Paramètres!$A$1:$I$89,7,0))</f>
        <v>0.44000000000000006</v>
      </c>
      <c r="FO83" s="16">
        <f>IF(ISNA(VLOOKUP(A83,'Données projet'!$A$217:$I$237,6,0)),0%,VLOOKUP(A83,'Données projet'!$A$217:$I$237,6,0)*VLOOKUP('Données projet'!$B$16,Paramètres!$A$1:$I$89,7,0))</f>
        <v>6.0500000000000005E-2</v>
      </c>
      <c r="FP83" s="16">
        <f>IF(ISNA(VLOOKUP(A83,'Données projet'!$A$217:$I$237,7,0)),0%,VLOOKUP(A83,'Données projet'!$A$217:$I$237,7,0))</f>
        <v>0.09</v>
      </c>
      <c r="FQ83" s="21">
        <f>EXP(-LN(2)/35)*FQ82+(1-EXP(-LN(2)/35))/(LN(2)/35)*FM83*FN83*VLOOKUP('Données projet'!$B$16,Paramètres!$A$1:$I$89,3,0)*0.475*44/12</f>
        <v>277.87554691905893</v>
      </c>
      <c r="FR83" s="21">
        <f>EXP(-LN(2)/25)*FR82+(1-EXP(-LN(2)/25))/(LN(2)/25)*Calculateur!FM83*Calculateur!FO83*VLOOKUP('Données projet'!$B$16,Paramètres!$A$1:$I$89,3,0)*0.475*44/12</f>
        <v>68.051903100203845</v>
      </c>
      <c r="FS83" s="21">
        <f>EXP(-LN(2)/2)*FS82+(1-EXP(-LN(2)/2))/(LN(2)/2)*FM83*FP83*VLOOKUP('Données projet'!$B$16,Paramètres!$A$1:$I$89,3,0)*0.475*44/12</f>
        <v>43.068901944218645</v>
      </c>
      <c r="FT83" s="22">
        <f t="shared" si="78"/>
        <v>388.9963519634814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68.335470493394155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68.335470493394155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1.35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4.95</v>
      </c>
      <c r="H84" s="67">
        <f t="shared" si="56"/>
        <v>236.86666666666665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68.364346359003292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6.6</v>
      </c>
      <c r="N84" s="13">
        <f>IF('Données projet'!$A$36&gt;35,N83+M84-V83,IF(A84&lt;'Données projet'!$A$36,$K$205^A84,IF(A84='Données projet'!$A$36,'Données projet'!$B$36,N83+M84-V83)))</f>
        <v>298.59999999999997</v>
      </c>
      <c r="O84" s="13">
        <f>N84*VLOOKUP('Données projet'!$B$9,Paramètres!$A$1:$I$89,3,0)*VLOOKUP('Données projet'!$B$9,Paramètres!$A$1:$I$89,5,0)</f>
        <v>270.17327999999992</v>
      </c>
      <c r="P84" s="13">
        <f t="shared" si="87"/>
        <v>64.886042303882988</v>
      </c>
      <c r="Q84" s="20">
        <f t="shared" si="54"/>
        <v>583.56165301259614</v>
      </c>
      <c r="R84" s="59">
        <f t="shared" si="55"/>
        <v>870.89758966227487</v>
      </c>
      <c r="S84" s="59">
        <f ca="1">AVERAGE(OFFSET($R$3,0,0,'Données projet'!$E$9+1,1))-AVERAGE(OFFSET($H$3,0,0,'Données projet'!$E$9+1,1))</f>
        <v>466.90449882701591</v>
      </c>
      <c r="T84" s="59">
        <f t="shared" si="88"/>
        <v>283.37641704892053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30.324651152120609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30.324651152120609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68.364346359003292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5.8</v>
      </c>
      <c r="AI84" s="13">
        <f>IF('Données projet'!$A$62&gt;35,AI83+AH84-AQ83,IF(A84&lt;'Données projet'!$A$62,$AF$205^A84,IF(A84='Données projet'!$A$62,'Données projet'!$B$62,AI83+AH84-AQ83)))</f>
        <v>245.79999999999995</v>
      </c>
      <c r="AJ84" s="13">
        <f>AI84*VLOOKUP('Données projet'!$B$10,Paramètres!$A$1:$I$89,3,0)*VLOOKUP('Données projet'!$B$10,Paramètres!$A$1:$I$89,5,0)</f>
        <v>233.90327999999994</v>
      </c>
      <c r="AK84" s="13">
        <f t="shared" si="89"/>
        <v>57.125833544518095</v>
      </c>
      <c r="AL84" s="20">
        <f t="shared" si="58"/>
        <v>506.87570609003552</v>
      </c>
      <c r="AM84" s="59">
        <f t="shared" si="59"/>
        <v>794.21164273971431</v>
      </c>
      <c r="AN84" s="59">
        <f ca="1">AVERAGE(OFFSET($AM$3,0,0,'Données projet'!$E$10+1,1))-AVERAGE(OFFSET($H$3,0,0,'Données projet'!$E$10+1,1))</f>
        <v>399.5572791581468</v>
      </c>
      <c r="AO84" s="59">
        <f t="shared" si="90"/>
        <v>246.34185986079777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23.919875693267549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23.919875693267549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68.364346359003292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5.6843418860808015E-14</v>
      </c>
      <c r="BE84" s="13">
        <f>BD84*VLOOKUP('Données projet'!$B$11,Paramètres!$A$1:$I$89,3,0)*VLOOKUP('Données projet'!$B$11,Paramètres!$A$1:$I$89,5,0)</f>
        <v>4.4337866711430253E-14</v>
      </c>
      <c r="BF84" s="13">
        <f t="shared" si="91"/>
        <v>7.3222115536967035E-13</v>
      </c>
      <c r="BG84" s="20">
        <f t="shared" si="61"/>
        <v>1.3525069634579169E-12</v>
      </c>
      <c r="BH84" s="59">
        <f t="shared" si="62"/>
        <v>287.33593664968009</v>
      </c>
      <c r="BI84" s="59">
        <f ca="1">AVERAGE(OFFSET($BH$3,0,0,'Données projet'!$E$11+1,1))-AVERAGE(OFFSET($H$3,0,0,'Données projet'!$E$11+1,1))</f>
        <v>294.23449029791681</v>
      </c>
      <c r="BJ84" s="59">
        <f t="shared" si="92"/>
        <v>288.64639202306159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74.179408742478472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74.179408742478472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68.364346359003292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5.8</v>
      </c>
      <c r="BY84" s="12">
        <f>IF('Données projet'!$A$114&gt;35,BY83+BX84-CG83,IF(A84&lt;'Données projet'!$A$114,$BV$205^A84,IF(A84='Données projet'!$A$114,'Données projet'!$B$114,BY83+BX84-CG83)))</f>
        <v>245.79999999999995</v>
      </c>
      <c r="BZ84" s="13">
        <f>BY84*VLOOKUP('Données projet'!$B$12,Paramètres!$A$1:$I$89,3,0)*VLOOKUP('Données projet'!$B$12,Paramètres!$A$1:$I$89,5,0)</f>
        <v>264.57911999999993</v>
      </c>
      <c r="CA84" s="13">
        <f t="shared" si="93"/>
        <v>63.697467287221869</v>
      </c>
      <c r="CB84" s="20">
        <f t="shared" si="64"/>
        <v>571.74838952524453</v>
      </c>
      <c r="CC84" s="59">
        <f t="shared" si="65"/>
        <v>859.08432617492326</v>
      </c>
      <c r="CD84" s="59">
        <f ca="1">AVERAGE(OFFSET($CC$3,0,0,'Données projet'!$E$12+1,1))-AVERAGE(OFFSET($H$3,0,0,'Données projet'!$E$12+1,1))</f>
        <v>445.38112098358147</v>
      </c>
      <c r="CE84" s="59">
        <f t="shared" si="94"/>
        <v>272.45883568548516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27.056908571073137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27.056908571073137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68.364346359003292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5.8</v>
      </c>
      <c r="CT84" s="12">
        <f>IF('Données projet'!$A$140&gt;35,CT83+CS84-DB83,IF(A84&lt;'Données projet'!$A$140,$CQ$205^A84,IF(A84='Données projet'!$A$140,'Données projet'!$B$140,CT83+CS84-DB83)))</f>
        <v>245.79999999999995</v>
      </c>
      <c r="CU84" s="17">
        <f>CT84*VLOOKUP('Données projet'!$B$13,Paramètres!$A$1:$I$89,3,0)*VLOOKUP('Données projet'!$B$13,Paramètres!$A$1:$I$89,5,0)</f>
        <v>264.57911999999993</v>
      </c>
      <c r="CV84" s="13">
        <f t="shared" si="95"/>
        <v>63.697467287221869</v>
      </c>
      <c r="CW84" s="20">
        <f t="shared" si="67"/>
        <v>571.74838952524453</v>
      </c>
      <c r="CX84" s="59">
        <f t="shared" si="68"/>
        <v>859.08432617492326</v>
      </c>
      <c r="CY84" s="59">
        <f ca="1">AVERAGE(OFFSET($CX$3,0,0,'Données projet'!$E$13+1,1))-AVERAGE(OFFSET($H$3,0,0,'Données projet'!$E$13+1,1))</f>
        <v>445.38112098358147</v>
      </c>
      <c r="CZ84" s="59">
        <f t="shared" si="96"/>
        <v>272.45883568548516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27.056908571073137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27.056908571073137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68.364346359003292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5.8</v>
      </c>
      <c r="DO84" s="12">
        <f>IF('Données projet'!$A$166&gt;35,DO83+DN84-DW83,IF(A84&lt;'Données projet'!$A$166,$DL$205^A84,IF(A84='Données projet'!$A$166,'Données projet'!$B$166,DO83+DN84-DW83)))</f>
        <v>245.79999999999995</v>
      </c>
      <c r="DP84" s="17">
        <f>DO84*VLOOKUP('Données projet'!$B$14,Paramètres!$A$1:$I$89,3,0)*VLOOKUP('Données projet'!$B$14,Paramètres!$A$1:$I$89,5,0)</f>
        <v>237.73775999999995</v>
      </c>
      <c r="DQ84" s="13">
        <f t="shared" si="97"/>
        <v>57.952530566790166</v>
      </c>
      <c r="DR84" s="20">
        <f t="shared" si="70"/>
        <v>514.99392273715944</v>
      </c>
      <c r="DS84" s="59">
        <f t="shared" si="71"/>
        <v>802.32985938683817</v>
      </c>
      <c r="DT84" s="59">
        <f ca="1">AVERAGE(OFFSET($DS$3,0,0,'Données projet'!$E$14+1,1))-AVERAGE(OFFSET($H$3,0,0,'Données projet'!$E$14+1,1))</f>
        <v>405.29179902613089</v>
      </c>
      <c r="DU84" s="59">
        <f t="shared" si="98"/>
        <v>249.61049717638238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24.312004802993254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24.312004802993254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68.364346359003292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-5.6843418860808015E-13</v>
      </c>
      <c r="EK84" s="17">
        <f>EJ84*VLOOKUP('Données projet'!$B$15,Paramètres!$A$1:$I$89,3,0)*VLOOKUP('Données projet'!$B$15,Paramètres!$A$1:$I$89,5,0)</f>
        <v>-3.39923644787632E-13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444.77624981561257</v>
      </c>
      <c r="EP84" s="59">
        <f t="shared" si="100"/>
        <v>382.10319641527587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214.25214341547331</v>
      </c>
      <c r="EW84" s="21">
        <f>EXP(-LN(2)/25)*EW83+(1-EXP(-LN(2)/25))/(LN(2)/25)*Calculateur!ER84*Calculateur!ET84*VLOOKUP('Données projet'!$B$15,Paramètres!$A$1:$I$89,3,0)*0.475*44/12</f>
        <v>40.399192924495942</v>
      </c>
      <c r="EX84" s="21">
        <f>EXP(-LN(2)/2)*EX83+(1-EXP(-LN(2)/2))/(LN(2)/2)*ER84*EU84*VLOOKUP('Données projet'!$B$15,Paramètres!$A$1:$I$89,3,0)*0.475*44/12</f>
        <v>7.2652823543674998</v>
      </c>
      <c r="EY84" s="22">
        <f t="shared" si="75"/>
        <v>261.91661869433676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68.364346359003292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3.4106051316484809E-13</v>
      </c>
      <c r="FF84" s="17">
        <f>FE84*VLOOKUP('Données projet'!$B$16,Paramètres!$A$1:$I$89,3,0)*VLOOKUP('Données projet'!$B$16,Paramètres!$A$1:$I$89,5,0)</f>
        <v>1.5074874681886286E-13</v>
      </c>
      <c r="FG84" s="13">
        <f t="shared" si="101"/>
        <v>2.1590218794584103E-12</v>
      </c>
      <c r="FH84" s="20">
        <f t="shared" si="76"/>
        <v>4.0228505074329168E-12</v>
      </c>
      <c r="FI84" s="59">
        <f t="shared" si="77"/>
        <v>287.33593664968276</v>
      </c>
      <c r="FJ84" s="59">
        <f ca="1">AVERAGE(OFFSET($FI$3,0,0,'Données projet'!$E$16+1,1))-AVERAGE(OFFSET($H$3,0,0,'Données projet'!$E$16+1,1))</f>
        <v>508.71179785154317</v>
      </c>
      <c r="FK84" s="59">
        <f t="shared" si="102"/>
        <v>422.73937290731442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272.42657693132435</v>
      </c>
      <c r="FR84" s="21">
        <f>EXP(-LN(2)/25)*FR83+(1-EXP(-LN(2)/25))/(LN(2)/25)*Calculateur!FM84*Calculateur!FO84*VLOOKUP('Données projet'!$B$16,Paramètres!$A$1:$I$89,3,0)*0.475*44/12</f>
        <v>66.191020231234717</v>
      </c>
      <c r="FS84" s="21">
        <f>EXP(-LN(2)/2)*FS83+(1-EXP(-LN(2)/2))/(LN(2)/2)*FM84*FP84*VLOOKUP('Données projet'!$B$16,Paramètres!$A$1:$I$89,3,0)*0.475*44/12</f>
        <v>30.454312623015486</v>
      </c>
      <c r="FT84" s="22">
        <f t="shared" si="78"/>
        <v>369.07190978557452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68.364346359003292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68.364346359003292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1.35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4.95</v>
      </c>
      <c r="H85" s="67">
        <f t="shared" si="56"/>
        <v>236.86666666666665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68.392721292900859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6.6</v>
      </c>
      <c r="N85" s="13">
        <f>IF('Données projet'!$A$36&gt;35,N84+M85-V84,IF(A85&lt;'Données projet'!$A$36,$K$205^A85,IF(A85='Données projet'!$A$36,'Données projet'!$B$36,N84+M85-V84)))</f>
        <v>305.2</v>
      </c>
      <c r="O85" s="13">
        <f>N85*VLOOKUP('Données projet'!$B$9,Paramètres!$A$1:$I$89,3,0)*VLOOKUP('Données projet'!$B$9,Paramètres!$A$1:$I$89,5,0)</f>
        <v>276.14495999999997</v>
      </c>
      <c r="P85" s="13">
        <f t="shared" si="87"/>
        <v>66.151671938851194</v>
      </c>
      <c r="Q85" s="20">
        <f t="shared" si="54"/>
        <v>596.16663396016577</v>
      </c>
      <c r="R85" s="59">
        <f t="shared" si="55"/>
        <v>883.60661203413565</v>
      </c>
      <c r="S85" s="59">
        <f ca="1">AVERAGE(OFFSET($R$3,0,0,'Données projet'!$E$9+1,1))-AVERAGE(OFFSET($H$3,0,0,'Données projet'!$E$9+1,1))</f>
        <v>466.90449882701591</v>
      </c>
      <c r="T85" s="59">
        <f t="shared" si="88"/>
        <v>283.37641704892053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29.730003239238378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29.730003239238378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68.392721292900859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5.8</v>
      </c>
      <c r="AI85" s="13">
        <f>IF('Données projet'!$A$62&gt;35,AI84+AH85-AQ84,IF(A85&lt;'Données projet'!$A$62,$AF$205^A85,IF(A85='Données projet'!$A$62,'Données projet'!$B$62,AI84+AH85-AQ84)))</f>
        <v>251.59999999999997</v>
      </c>
      <c r="AJ85" s="13">
        <f>AI85*VLOOKUP('Données projet'!$B$10,Paramètres!$A$1:$I$89,3,0)*VLOOKUP('Données projet'!$B$10,Paramètres!$A$1:$I$89,5,0)</f>
        <v>239.42255999999998</v>
      </c>
      <c r="AK85" s="13">
        <f t="shared" si="89"/>
        <v>58.315274040589699</v>
      </c>
      <c r="AL85" s="20">
        <f t="shared" si="58"/>
        <v>518.56006095402699</v>
      </c>
      <c r="AM85" s="59">
        <f t="shared" si="59"/>
        <v>806.00003902799676</v>
      </c>
      <c r="AN85" s="59">
        <f ca="1">AVERAGE(OFFSET($AM$3,0,0,'Données projet'!$E$10+1,1))-AVERAGE(OFFSET($H$3,0,0,'Données projet'!$E$10+1,1))</f>
        <v>399.5572791581468</v>
      </c>
      <c r="AO85" s="59">
        <f t="shared" si="90"/>
        <v>246.34185986079777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23.450821520606134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23.450821520606134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68.392721292900859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5.6843418860808015E-14</v>
      </c>
      <c r="BE85" s="13">
        <f>BD85*VLOOKUP('Données projet'!$B$11,Paramètres!$A$1:$I$89,3,0)*VLOOKUP('Données projet'!$B$11,Paramètres!$A$1:$I$89,5,0)</f>
        <v>4.4337866711430253E-14</v>
      </c>
      <c r="BF85" s="13">
        <f t="shared" si="91"/>
        <v>7.3222115536967035E-13</v>
      </c>
      <c r="BG85" s="20">
        <f t="shared" si="61"/>
        <v>1.3525069634579169E-12</v>
      </c>
      <c r="BH85" s="59">
        <f t="shared" si="62"/>
        <v>287.43997807397119</v>
      </c>
      <c r="BI85" s="59">
        <f ca="1">AVERAGE(OFFSET($BH$3,0,0,'Données projet'!$E$11+1,1))-AVERAGE(OFFSET($H$3,0,0,'Données projet'!$E$11+1,1))</f>
        <v>294.23449029791681</v>
      </c>
      <c r="BJ85" s="59">
        <f t="shared" si="92"/>
        <v>288.64639202306159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72.724795782010233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72.724795782010233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68.392721292900859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5.8</v>
      </c>
      <c r="BY85" s="12">
        <f>IF('Données projet'!$A$114&gt;35,BY84+BX85-CG84,IF(A85&lt;'Données projet'!$A$114,$BV$205^A85,IF(A85='Données projet'!$A$114,'Données projet'!$B$114,BY84+BX85-CG84)))</f>
        <v>251.59999999999997</v>
      </c>
      <c r="BZ85" s="13">
        <f>BY85*VLOOKUP('Données projet'!$B$12,Paramètres!$A$1:$I$89,3,0)*VLOOKUP('Données projet'!$B$12,Paramètres!$A$1:$I$89,5,0)</f>
        <v>270.82223999999997</v>
      </c>
      <c r="CA85" s="13">
        <f t="shared" si="93"/>
        <v>65.023738474662338</v>
      </c>
      <c r="CB85" s="20">
        <f t="shared" si="64"/>
        <v>584.93174584337009</v>
      </c>
      <c r="CC85" s="59">
        <f t="shared" si="65"/>
        <v>872.37172391733998</v>
      </c>
      <c r="CD85" s="59">
        <f ca="1">AVERAGE(OFFSET($CC$3,0,0,'Données projet'!$E$12+1,1))-AVERAGE(OFFSET($H$3,0,0,'Données projet'!$E$12+1,1))</f>
        <v>445.38112098358147</v>
      </c>
      <c r="CE85" s="59">
        <f t="shared" si="94"/>
        <v>272.45883568548516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26.526339097079077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26.526339097079077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68.392721292900859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5.8</v>
      </c>
      <c r="CT85" s="12">
        <f>IF('Données projet'!$A$140&gt;35,CT84+CS85-DB84,IF(A85&lt;'Données projet'!$A$140,$CQ$205^A85,IF(A85='Données projet'!$A$140,'Données projet'!$B$140,CT84+CS85-DB84)))</f>
        <v>251.59999999999997</v>
      </c>
      <c r="CU85" s="17">
        <f>CT85*VLOOKUP('Données projet'!$B$13,Paramètres!$A$1:$I$89,3,0)*VLOOKUP('Données projet'!$B$13,Paramètres!$A$1:$I$89,5,0)</f>
        <v>270.82223999999997</v>
      </c>
      <c r="CV85" s="13">
        <f t="shared" si="95"/>
        <v>65.023738474662338</v>
      </c>
      <c r="CW85" s="20">
        <f t="shared" si="67"/>
        <v>584.93174584337009</v>
      </c>
      <c r="CX85" s="59">
        <f t="shared" si="68"/>
        <v>872.37172391733998</v>
      </c>
      <c r="CY85" s="59">
        <f ca="1">AVERAGE(OFFSET($CX$3,0,0,'Données projet'!$E$13+1,1))-AVERAGE(OFFSET($H$3,0,0,'Données projet'!$E$13+1,1))</f>
        <v>445.38112098358147</v>
      </c>
      <c r="CZ85" s="59">
        <f t="shared" si="96"/>
        <v>272.45883568548516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26.526339097079077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26.526339097079077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68.392721292900859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5.8</v>
      </c>
      <c r="DO85" s="12">
        <f>IF('Données projet'!$A$166&gt;35,DO84+DN85-DW84,IF(A85&lt;'Données projet'!$A$166,$DL$205^A85,IF(A85='Données projet'!$A$166,'Données projet'!$B$166,DO84+DN85-DW84)))</f>
        <v>251.59999999999997</v>
      </c>
      <c r="DP85" s="17">
        <f>DO85*VLOOKUP('Données projet'!$B$14,Paramètres!$A$1:$I$89,3,0)*VLOOKUP('Données projet'!$B$14,Paramètres!$A$1:$I$89,5,0)</f>
        <v>243.34752</v>
      </c>
      <c r="DQ85" s="13">
        <f t="shared" si="97"/>
        <v>59.159184061872203</v>
      </c>
      <c r="DR85" s="20">
        <f t="shared" si="70"/>
        <v>526.86584290776068</v>
      </c>
      <c r="DS85" s="59">
        <f t="shared" si="71"/>
        <v>814.30582098173045</v>
      </c>
      <c r="DT85" s="59">
        <f ca="1">AVERAGE(OFFSET($DS$3,0,0,'Données projet'!$E$14+1,1))-AVERAGE(OFFSET($H$3,0,0,'Données projet'!$E$14+1,1))</f>
        <v>405.29179902613089</v>
      </c>
      <c r="DU85" s="59">
        <f t="shared" si="98"/>
        <v>249.61049717638238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23.835261217665259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23.835261217665259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68.392721292900859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-5.6843418860808015E-13</v>
      </c>
      <c r="EK85" s="17">
        <f>EJ85*VLOOKUP('Données projet'!$B$15,Paramètres!$A$1:$I$89,3,0)*VLOOKUP('Données projet'!$B$15,Paramètres!$A$1:$I$89,5,0)</f>
        <v>-3.39923644787632E-13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444.77624981561257</v>
      </c>
      <c r="EP85" s="59">
        <f t="shared" si="100"/>
        <v>382.10319641527587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210.0507895639997</v>
      </c>
      <c r="EW85" s="21">
        <f>EXP(-LN(2)/25)*EW84+(1-EXP(-LN(2)/25))/(LN(2)/25)*Calculateur!ER85*Calculateur!ET85*VLOOKUP('Données projet'!$B$15,Paramètres!$A$1:$I$89,3,0)*0.475*44/12</f>
        <v>39.294474869474378</v>
      </c>
      <c r="EX85" s="21">
        <f>EXP(-LN(2)/2)*EX84+(1-EXP(-LN(2)/2))/(LN(2)/2)*ER85*EU85*VLOOKUP('Données projet'!$B$15,Paramètres!$A$1:$I$89,3,0)*0.475*44/12</f>
        <v>5.137330420008225</v>
      </c>
      <c r="EY85" s="22">
        <f t="shared" si="75"/>
        <v>254.48259485348231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68.392721292900859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3.4106051316484809E-13</v>
      </c>
      <c r="FF85" s="17">
        <f>FE85*VLOOKUP('Données projet'!$B$16,Paramètres!$A$1:$I$89,3,0)*VLOOKUP('Données projet'!$B$16,Paramètres!$A$1:$I$89,5,0)</f>
        <v>1.5074874681886286E-13</v>
      </c>
      <c r="FG85" s="13">
        <f t="shared" si="101"/>
        <v>2.1590218794584103E-12</v>
      </c>
      <c r="FH85" s="20">
        <f t="shared" si="76"/>
        <v>4.0228505074329168E-12</v>
      </c>
      <c r="FI85" s="59">
        <f t="shared" si="77"/>
        <v>287.43997807397386</v>
      </c>
      <c r="FJ85" s="59">
        <f ca="1">AVERAGE(OFFSET($FI$3,0,0,'Données projet'!$E$16+1,1))-AVERAGE(OFFSET($H$3,0,0,'Données projet'!$E$16+1,1))</f>
        <v>508.71179785154317</v>
      </c>
      <c r="FK85" s="59">
        <f t="shared" si="102"/>
        <v>422.73937290731442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267.0844579215057</v>
      </c>
      <c r="FR85" s="21">
        <f>EXP(-LN(2)/25)*FR84+(1-EXP(-LN(2)/25))/(LN(2)/25)*Calculateur!FM85*Calculateur!FO85*VLOOKUP('Données projet'!$B$16,Paramètres!$A$1:$I$89,3,0)*0.475*44/12</f>
        <v>64.381023302177127</v>
      </c>
      <c r="FS85" s="21">
        <f>EXP(-LN(2)/2)*FS84+(1-EXP(-LN(2)/2))/(LN(2)/2)*FM85*FP85*VLOOKUP('Données projet'!$B$16,Paramètres!$A$1:$I$89,3,0)*0.475*44/12</f>
        <v>21.534450972109326</v>
      </c>
      <c r="FT85" s="22">
        <f t="shared" si="78"/>
        <v>352.99993219579216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68.392721292900859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68.392721292900859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1.35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4.95</v>
      </c>
      <c r="H86" s="67">
        <f t="shared" si="56"/>
        <v>236.86666666666665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68.420603985132175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6.6</v>
      </c>
      <c r="N86" s="13">
        <f>IF('Données projet'!$A$36&gt;35,N85+M86-V85,IF(A86&lt;'Données projet'!$A$36,$K$205^A86,IF(A86='Données projet'!$A$36,'Données projet'!$B$36,N85+M86-V85)))</f>
        <v>311.8</v>
      </c>
      <c r="O86" s="13">
        <f>N86*VLOOKUP('Données projet'!$B$9,Paramètres!$A$1:$I$89,3,0)*VLOOKUP('Données projet'!$B$9,Paramètres!$A$1:$I$89,5,0)</f>
        <v>282.11664000000002</v>
      </c>
      <c r="P86" s="13">
        <f t="shared" si="87"/>
        <v>67.414119514142243</v>
      </c>
      <c r="Q86" s="20">
        <f t="shared" si="54"/>
        <v>608.76607282046439</v>
      </c>
      <c r="R86" s="59">
        <f t="shared" si="55"/>
        <v>896.30828743261577</v>
      </c>
      <c r="S86" s="59">
        <f ca="1">AVERAGE(OFFSET($R$3,0,0,'Données projet'!$E$9+1,1))-AVERAGE(OFFSET($H$3,0,0,'Données projet'!$E$9+1,1))</f>
        <v>466.90449882701591</v>
      </c>
      <c r="T86" s="59">
        <f t="shared" si="88"/>
        <v>283.37641704892053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29.147016009228356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29.147016009228356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68.420603985132175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5.8</v>
      </c>
      <c r="AI86" s="13">
        <f>IF('Données projet'!$A$62&gt;35,AI85+AH86-AQ85,IF(A86&lt;'Données projet'!$A$62,$AF$205^A86,IF(A86='Données projet'!$A$62,'Données projet'!$B$62,AI85+AH86-AQ85)))</f>
        <v>257.39999999999998</v>
      </c>
      <c r="AJ86" s="13">
        <f>AI86*VLOOKUP('Données projet'!$B$10,Paramètres!$A$1:$I$89,3,0)*VLOOKUP('Données projet'!$B$10,Paramètres!$A$1:$I$89,5,0)</f>
        <v>244.94183999999998</v>
      </c>
      <c r="AK86" s="13">
        <f t="shared" si="89"/>
        <v>59.501526882688076</v>
      </c>
      <c r="AL86" s="20">
        <f t="shared" si="58"/>
        <v>530.2388639873484</v>
      </c>
      <c r="AM86" s="59">
        <f t="shared" si="59"/>
        <v>817.78107859949978</v>
      </c>
      <c r="AN86" s="59">
        <f ca="1">AVERAGE(OFFSET($AM$3,0,0,'Données projet'!$E$10+1,1))-AVERAGE(OFFSET($H$3,0,0,'Données projet'!$E$10+1,1))</f>
        <v>399.5572791581468</v>
      </c>
      <c r="AO86" s="59">
        <f t="shared" si="90"/>
        <v>246.34185986079777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22.990965214175812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22.990965214175812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68.420603985132175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5.6843418860808015E-14</v>
      </c>
      <c r="BE86" s="13">
        <f>BD86*VLOOKUP('Données projet'!$B$11,Paramètres!$A$1:$I$89,3,0)*VLOOKUP('Données projet'!$B$11,Paramètres!$A$1:$I$89,5,0)</f>
        <v>4.4337866711430253E-14</v>
      </c>
      <c r="BF86" s="13">
        <f t="shared" si="91"/>
        <v>7.3222115536967035E-13</v>
      </c>
      <c r="BG86" s="20">
        <f t="shared" si="61"/>
        <v>1.3525069634579169E-12</v>
      </c>
      <c r="BH86" s="59">
        <f t="shared" si="62"/>
        <v>287.54221461215269</v>
      </c>
      <c r="BI86" s="59">
        <f ca="1">AVERAGE(OFFSET($BH$3,0,0,'Données projet'!$E$11+1,1))-AVERAGE(OFFSET($H$3,0,0,'Données projet'!$E$11+1,1))</f>
        <v>294.23449029791681</v>
      </c>
      <c r="BJ86" s="59">
        <f t="shared" si="92"/>
        <v>288.64639202306159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71.29870689447047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71.29870689447047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68.420603985132175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5.8</v>
      </c>
      <c r="BY86" s="12">
        <f>IF('Données projet'!$A$114&gt;35,BY85+BX86-CG85,IF(A86&lt;'Données projet'!$A$114,$BV$205^A86,IF(A86='Données projet'!$A$114,'Données projet'!$B$114,BY85+BX86-CG85)))</f>
        <v>257.39999999999998</v>
      </c>
      <c r="BZ86" s="13">
        <f>BY86*VLOOKUP('Données projet'!$B$12,Paramètres!$A$1:$I$89,3,0)*VLOOKUP('Données projet'!$B$12,Paramètres!$A$1:$I$89,5,0)</f>
        <v>277.06535999999994</v>
      </c>
      <c r="CA86" s="13">
        <f t="shared" si="93"/>
        <v>66.346455307232503</v>
      </c>
      <c r="CB86" s="20">
        <f t="shared" si="64"/>
        <v>598.10891166009662</v>
      </c>
      <c r="CC86" s="59">
        <f t="shared" si="65"/>
        <v>885.65112627224789</v>
      </c>
      <c r="CD86" s="59">
        <f ca="1">AVERAGE(OFFSET($CC$3,0,0,'Données projet'!$E$12+1,1))-AVERAGE(OFFSET($H$3,0,0,'Données projet'!$E$12+1,1))</f>
        <v>445.38112098358147</v>
      </c>
      <c r="CE86" s="59">
        <f t="shared" si="94"/>
        <v>272.45883568548516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26.006173766854616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26.006173766854616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68.420603985132175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5.8</v>
      </c>
      <c r="CT86" s="12">
        <f>IF('Données projet'!$A$140&gt;35,CT85+CS86-DB85,IF(A86&lt;'Données projet'!$A$140,$CQ$205^A86,IF(A86='Données projet'!$A$140,'Données projet'!$B$140,CT85+CS86-DB85)))</f>
        <v>257.39999999999998</v>
      </c>
      <c r="CU86" s="17">
        <f>CT86*VLOOKUP('Données projet'!$B$13,Paramètres!$A$1:$I$89,3,0)*VLOOKUP('Données projet'!$B$13,Paramètres!$A$1:$I$89,5,0)</f>
        <v>277.06535999999994</v>
      </c>
      <c r="CV86" s="13">
        <f t="shared" si="95"/>
        <v>66.346455307232503</v>
      </c>
      <c r="CW86" s="20">
        <f t="shared" si="67"/>
        <v>598.10891166009662</v>
      </c>
      <c r="CX86" s="59">
        <f t="shared" si="68"/>
        <v>885.65112627224789</v>
      </c>
      <c r="CY86" s="59">
        <f ca="1">AVERAGE(OFFSET($CX$3,0,0,'Données projet'!$E$13+1,1))-AVERAGE(OFFSET($H$3,0,0,'Données projet'!$E$13+1,1))</f>
        <v>445.38112098358147</v>
      </c>
      <c r="CZ86" s="59">
        <f t="shared" si="96"/>
        <v>272.45883568548516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26.006173766854616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26.006173766854616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68.420603985132175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5.8</v>
      </c>
      <c r="DO86" s="12">
        <f>IF('Données projet'!$A$166&gt;35,DO85+DN86-DW85,IF(A86&lt;'Données projet'!$A$166,$DL$205^A86,IF(A86='Données projet'!$A$166,'Données projet'!$B$166,DO85+DN86-DW85)))</f>
        <v>257.39999999999998</v>
      </c>
      <c r="DP86" s="17">
        <f>DO86*VLOOKUP('Données projet'!$B$14,Paramètres!$A$1:$I$89,3,0)*VLOOKUP('Données projet'!$B$14,Paramètres!$A$1:$I$89,5,0)</f>
        <v>248.95728</v>
      </c>
      <c r="DQ86" s="13">
        <f t="shared" si="97"/>
        <v>60.362603772817415</v>
      </c>
      <c r="DR86" s="20">
        <f t="shared" si="70"/>
        <v>538.73213090432375</v>
      </c>
      <c r="DS86" s="59">
        <f t="shared" si="71"/>
        <v>826.27434551647502</v>
      </c>
      <c r="DT86" s="59">
        <f ca="1">AVERAGE(OFFSET($DS$3,0,0,'Données projet'!$E$14+1,1))-AVERAGE(OFFSET($H$3,0,0,'Données projet'!$E$14+1,1))</f>
        <v>405.29179902613089</v>
      </c>
      <c r="DU86" s="59">
        <f t="shared" si="98"/>
        <v>249.61049717638238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23.367866283260671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23.367866283260671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68.420603985132175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-5.6843418860808015E-13</v>
      </c>
      <c r="EK86" s="17">
        <f>EJ86*VLOOKUP('Données projet'!$B$15,Paramètres!$A$1:$I$89,3,0)*VLOOKUP('Données projet'!$B$15,Paramètres!$A$1:$I$89,5,0)</f>
        <v>-3.39923644787632E-13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444.77624981561257</v>
      </c>
      <c r="EP86" s="59">
        <f t="shared" si="100"/>
        <v>382.10319641527587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205.93182169898066</v>
      </c>
      <c r="EW86" s="21">
        <f>EXP(-LN(2)/25)*EW85+(1-EXP(-LN(2)/25))/(LN(2)/25)*Calculateur!ER86*Calculateur!ET86*VLOOKUP('Données projet'!$B$15,Paramètres!$A$1:$I$89,3,0)*0.475*44/12</f>
        <v>38.219965387761974</v>
      </c>
      <c r="EX86" s="21">
        <f>EXP(-LN(2)/2)*EX85+(1-EXP(-LN(2)/2))/(LN(2)/2)*ER86*EU86*VLOOKUP('Données projet'!$B$15,Paramètres!$A$1:$I$89,3,0)*0.475*44/12</f>
        <v>3.6326411771837503</v>
      </c>
      <c r="EY86" s="22">
        <f t="shared" si="75"/>
        <v>247.78442826392637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68.420603985132175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3.4106051316484809E-13</v>
      </c>
      <c r="FF86" s="17">
        <f>FE86*VLOOKUP('Données projet'!$B$16,Paramètres!$A$1:$I$89,3,0)*VLOOKUP('Données projet'!$B$16,Paramètres!$A$1:$I$89,5,0)</f>
        <v>1.5074874681886286E-13</v>
      </c>
      <c r="FG86" s="13">
        <f t="shared" si="101"/>
        <v>2.1590218794584103E-12</v>
      </c>
      <c r="FH86" s="20">
        <f t="shared" si="76"/>
        <v>4.0228505074329168E-12</v>
      </c>
      <c r="FI86" s="59">
        <f t="shared" si="77"/>
        <v>287.54221461215536</v>
      </c>
      <c r="FJ86" s="59">
        <f ca="1">AVERAGE(OFFSET($FI$3,0,0,'Données projet'!$E$16+1,1))-AVERAGE(OFFSET($H$3,0,0,'Données projet'!$E$16+1,1))</f>
        <v>508.71179785154317</v>
      </c>
      <c r="FK86" s="59">
        <f t="shared" si="102"/>
        <v>422.73937290731442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261.84709460709871</v>
      </c>
      <c r="FR86" s="21">
        <f>EXP(-LN(2)/25)*FR85+(1-EXP(-LN(2)/25))/(LN(2)/25)*Calculateur!FM86*Calculateur!FO86*VLOOKUP('Données projet'!$B$16,Paramètres!$A$1:$I$89,3,0)*0.475*44/12</f>
        <v>62.620520834328225</v>
      </c>
      <c r="FS86" s="21">
        <f>EXP(-LN(2)/2)*FS85+(1-EXP(-LN(2)/2))/(LN(2)/2)*FM86*FP86*VLOOKUP('Données projet'!$B$16,Paramètres!$A$1:$I$89,3,0)*0.475*44/12</f>
        <v>15.227156311507747</v>
      </c>
      <c r="FT86" s="22">
        <f t="shared" si="78"/>
        <v>339.69477175293468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68.420603985132175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68.420603985132175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1.35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4.95</v>
      </c>
      <c r="H87" s="67">
        <f t="shared" si="56"/>
        <v>236.86666666666665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68.44800297498962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6.6</v>
      </c>
      <c r="N87" s="13">
        <f>IF('Données projet'!$A$36&gt;35,N86+M87-V86,IF(A87&lt;'Données projet'!$A$36,$K$205^A87,IF(A87='Données projet'!$A$36,'Données projet'!$B$36,N86+M87-V86)))</f>
        <v>318.40000000000003</v>
      </c>
      <c r="O87" s="13">
        <f>N87*VLOOKUP('Données projet'!$B$9,Paramètres!$A$1:$I$89,3,0)*VLOOKUP('Données projet'!$B$9,Paramètres!$A$1:$I$89,5,0)</f>
        <v>288.08832000000001</v>
      </c>
      <c r="P87" s="13">
        <f t="shared" si="87"/>
        <v>68.673460144735557</v>
      </c>
      <c r="Q87" s="20">
        <f t="shared" si="54"/>
        <v>621.36010041874772</v>
      </c>
      <c r="R87" s="59">
        <f t="shared" si="55"/>
        <v>909.00277799370974</v>
      </c>
      <c r="S87" s="59">
        <f ca="1">AVERAGE(OFFSET($R$3,0,0,'Données projet'!$E$9+1,1))-AVERAGE(OFFSET($H$3,0,0,'Données projet'!$E$9+1,1))</f>
        <v>466.90449882701591</v>
      </c>
      <c r="T87" s="59">
        <f t="shared" si="88"/>
        <v>283.37641704892053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28.57546080321173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28.57546080321173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68.44800297498962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5.8</v>
      </c>
      <c r="AI87" s="13">
        <f>IF('Données projet'!$A$62&gt;35,AI86+AH87-AQ86,IF(A87&lt;'Données projet'!$A$62,$AF$205^A87,IF(A87='Données projet'!$A$62,'Données projet'!$B$62,AI86+AH87-AQ86)))</f>
        <v>263.2</v>
      </c>
      <c r="AJ87" s="13">
        <f>AI87*VLOOKUP('Données projet'!$B$10,Paramètres!$A$1:$I$89,3,0)*VLOOKUP('Données projet'!$B$10,Paramètres!$A$1:$I$89,5,0)</f>
        <v>250.46111999999999</v>
      </c>
      <c r="AK87" s="13">
        <f t="shared" si="89"/>
        <v>60.684672167637892</v>
      </c>
      <c r="AL87" s="20">
        <f t="shared" si="58"/>
        <v>541.91225469196922</v>
      </c>
      <c r="AM87" s="59">
        <f t="shared" si="59"/>
        <v>829.55493226693125</v>
      </c>
      <c r="AN87" s="59">
        <f ca="1">AVERAGE(OFFSET($AM$3,0,0,'Données projet'!$E$10+1,1))-AVERAGE(OFFSET($H$3,0,0,'Données projet'!$E$10+1,1))</f>
        <v>399.5572791581468</v>
      </c>
      <c r="AO87" s="59">
        <f t="shared" si="90"/>
        <v>246.34185986079777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22.540126409429938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22.540126409429938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68.44800297498962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5.6843418860808015E-14</v>
      </c>
      <c r="BE87" s="13">
        <f>BD87*VLOOKUP('Données projet'!$B$11,Paramètres!$A$1:$I$89,3,0)*VLOOKUP('Données projet'!$B$11,Paramètres!$A$1:$I$89,5,0)</f>
        <v>4.4337866711430253E-14</v>
      </c>
      <c r="BF87" s="13">
        <f t="shared" si="91"/>
        <v>7.3222115536967035E-13</v>
      </c>
      <c r="BG87" s="20">
        <f t="shared" si="61"/>
        <v>1.3525069634579169E-12</v>
      </c>
      <c r="BH87" s="59">
        <f t="shared" si="62"/>
        <v>287.64267757496333</v>
      </c>
      <c r="BI87" s="59">
        <f ca="1">AVERAGE(OFFSET($BH$3,0,0,'Données projet'!$E$11+1,1))-AVERAGE(OFFSET($H$3,0,0,'Données projet'!$E$11+1,1))</f>
        <v>294.23449029791681</v>
      </c>
      <c r="BJ87" s="59">
        <f t="shared" si="92"/>
        <v>288.64639202306159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69.900582740187033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69.900582740187033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68.44800297498962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5.8</v>
      </c>
      <c r="BY87" s="12">
        <f>IF('Données projet'!$A$114&gt;35,BY86+BX87-CG86,IF(A87&lt;'Données projet'!$A$114,$BV$205^A87,IF(A87='Données projet'!$A$114,'Données projet'!$B$114,BY86+BX87-CG86)))</f>
        <v>263.2</v>
      </c>
      <c r="BZ87" s="13">
        <f>BY87*VLOOKUP('Données projet'!$B$12,Paramètres!$A$1:$I$89,3,0)*VLOOKUP('Données projet'!$B$12,Paramètres!$A$1:$I$89,5,0)</f>
        <v>283.30847999999997</v>
      </c>
      <c r="CA87" s="13">
        <f t="shared" si="93"/>
        <v>67.665707095924404</v>
      </c>
      <c r="CB87" s="20">
        <f t="shared" si="64"/>
        <v>611.28004252540165</v>
      </c>
      <c r="CC87" s="59">
        <f t="shared" si="65"/>
        <v>898.92272010036368</v>
      </c>
      <c r="CD87" s="59">
        <f ca="1">AVERAGE(OFFSET($CC$3,0,0,'Données projet'!$E$12+1,1))-AVERAGE(OFFSET($H$3,0,0,'Données projet'!$E$12+1,1))</f>
        <v>445.38112098358147</v>
      </c>
      <c r="CE87" s="59">
        <f t="shared" si="94"/>
        <v>272.45883568548516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25.496208561486334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25.496208561486334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68.44800297498962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5.8</v>
      </c>
      <c r="CT87" s="12">
        <f>IF('Données projet'!$A$140&gt;35,CT86+CS87-DB86,IF(A87&lt;'Données projet'!$A$140,$CQ$205^A87,IF(A87='Données projet'!$A$140,'Données projet'!$B$140,CT86+CS87-DB86)))</f>
        <v>263.2</v>
      </c>
      <c r="CU87" s="17">
        <f>CT87*VLOOKUP('Données projet'!$B$13,Paramètres!$A$1:$I$89,3,0)*VLOOKUP('Données projet'!$B$13,Paramètres!$A$1:$I$89,5,0)</f>
        <v>283.30847999999997</v>
      </c>
      <c r="CV87" s="13">
        <f t="shared" si="95"/>
        <v>67.665707095924404</v>
      </c>
      <c r="CW87" s="20">
        <f t="shared" si="67"/>
        <v>611.28004252540165</v>
      </c>
      <c r="CX87" s="59">
        <f t="shared" si="68"/>
        <v>898.92272010036368</v>
      </c>
      <c r="CY87" s="59">
        <f ca="1">AVERAGE(OFFSET($CX$3,0,0,'Données projet'!$E$13+1,1))-AVERAGE(OFFSET($H$3,0,0,'Données projet'!$E$13+1,1))</f>
        <v>445.38112098358147</v>
      </c>
      <c r="CZ87" s="59">
        <f t="shared" si="96"/>
        <v>272.45883568548516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25.496208561486334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25.496208561486334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68.44800297498962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5.8</v>
      </c>
      <c r="DO87" s="12">
        <f>IF('Données projet'!$A$166&gt;35,DO86+DN87-DW86,IF(A87&lt;'Données projet'!$A$166,$DL$205^A87,IF(A87='Données projet'!$A$166,'Données projet'!$B$166,DO86+DN87-DW86)))</f>
        <v>263.2</v>
      </c>
      <c r="DP87" s="17">
        <f>DO87*VLOOKUP('Données projet'!$B$14,Paramètres!$A$1:$I$89,3,0)*VLOOKUP('Données projet'!$B$14,Paramètres!$A$1:$I$89,5,0)</f>
        <v>254.56703999999999</v>
      </c>
      <c r="DQ87" s="13">
        <f t="shared" si="97"/>
        <v>61.562870955572436</v>
      </c>
      <c r="DR87" s="20">
        <f t="shared" si="70"/>
        <v>550.5929282476219</v>
      </c>
      <c r="DS87" s="59">
        <f t="shared" si="71"/>
        <v>838.23560582258392</v>
      </c>
      <c r="DT87" s="59">
        <f ca="1">AVERAGE(OFFSET($DS$3,0,0,'Données projet'!$E$14+1,1))-AVERAGE(OFFSET($H$3,0,0,'Données projet'!$E$14+1,1))</f>
        <v>405.29179902613089</v>
      </c>
      <c r="DU87" s="59">
        <f t="shared" si="98"/>
        <v>249.61049717638238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22.909636678436996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22.909636678436996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68.44800297498962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-5.6843418860808015E-13</v>
      </c>
      <c r="EK87" s="17">
        <f>EJ87*VLOOKUP('Données projet'!$B$15,Paramètres!$A$1:$I$89,3,0)*VLOOKUP('Données projet'!$B$15,Paramètres!$A$1:$I$89,5,0)</f>
        <v>-3.39923644787632E-13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444.77624981561257</v>
      </c>
      <c r="EP87" s="59">
        <f t="shared" si="100"/>
        <v>382.10319641527587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201.89362428147231</v>
      </c>
      <c r="EW87" s="21">
        <f>EXP(-LN(2)/25)*EW86+(1-EXP(-LN(2)/25))/(LN(2)/25)*Calculateur!ER87*Calculateur!ET87*VLOOKUP('Données projet'!$B$15,Paramètres!$A$1:$I$89,3,0)*0.475*44/12</f>
        <v>37.174838424332997</v>
      </c>
      <c r="EX87" s="21">
        <f>EXP(-LN(2)/2)*EX86+(1-EXP(-LN(2)/2))/(LN(2)/2)*ER87*EU87*VLOOKUP('Données projet'!$B$15,Paramètres!$A$1:$I$89,3,0)*0.475*44/12</f>
        <v>2.568665210004113</v>
      </c>
      <c r="EY87" s="22">
        <f t="shared" si="75"/>
        <v>241.6371279158094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68.44800297498962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3.4106051316484809E-13</v>
      </c>
      <c r="FF87" s="17">
        <f>FE87*VLOOKUP('Données projet'!$B$16,Paramètres!$A$1:$I$89,3,0)*VLOOKUP('Données projet'!$B$16,Paramètres!$A$1:$I$89,5,0)</f>
        <v>1.5074874681886286E-13</v>
      </c>
      <c r="FG87" s="13">
        <f t="shared" si="101"/>
        <v>2.1590218794584103E-12</v>
      </c>
      <c r="FH87" s="20">
        <f t="shared" si="76"/>
        <v>4.0228505074329168E-12</v>
      </c>
      <c r="FI87" s="59">
        <f t="shared" si="77"/>
        <v>287.642677574966</v>
      </c>
      <c r="FJ87" s="59">
        <f ca="1">AVERAGE(OFFSET($FI$3,0,0,'Données projet'!$E$16+1,1))-AVERAGE(OFFSET($H$3,0,0,'Données projet'!$E$16+1,1))</f>
        <v>508.71179785154317</v>
      </c>
      <c r="FK87" s="59">
        <f t="shared" si="102"/>
        <v>422.73937290731442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256.71243279281106</v>
      </c>
      <c r="FR87" s="21">
        <f>EXP(-LN(2)/25)*FR86+(1-EXP(-LN(2)/25))/(LN(2)/25)*Calculateur!FM87*Calculateur!FO87*VLOOKUP('Données projet'!$B$16,Paramètres!$A$1:$I$89,3,0)*0.475*44/12</f>
        <v>60.908159399043448</v>
      </c>
      <c r="FS87" s="21">
        <f>EXP(-LN(2)/2)*FS86+(1-EXP(-LN(2)/2))/(LN(2)/2)*FM87*FP87*VLOOKUP('Données projet'!$B$16,Paramètres!$A$1:$I$89,3,0)*0.475*44/12</f>
        <v>10.767225486054665</v>
      </c>
      <c r="FT87" s="22">
        <f t="shared" si="78"/>
        <v>328.38781767790914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68.44800297498962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68.44800297498962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1.35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4.95</v>
      </c>
      <c r="H88" s="67">
        <f t="shared" si="56"/>
        <v>236.86666666666665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68.474926653628003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6.6</v>
      </c>
      <c r="N88" s="13">
        <f>IF('Données projet'!$A$36&gt;35,N87+M88-V87,IF(A88&lt;'Données projet'!$A$36,$K$205^A88,IF(A88='Données projet'!$A$36,'Données projet'!$B$36,N87+M88-V87)))</f>
        <v>325.00000000000006</v>
      </c>
      <c r="O88" s="13">
        <f>N88*VLOOKUP('Données projet'!$B$9,Paramètres!$A$1:$I$89,3,0)*VLOOKUP('Données projet'!$B$9,Paramètres!$A$1:$I$89,5,0)</f>
        <v>294.06000000000006</v>
      </c>
      <c r="P88" s="13">
        <f t="shared" si="87"/>
        <v>69.929765653573369</v>
      </c>
      <c r="Q88" s="20">
        <f t="shared" si="54"/>
        <v>633.94884184664033</v>
      </c>
      <c r="R88" s="59">
        <f t="shared" si="55"/>
        <v>921.69023957660966</v>
      </c>
      <c r="S88" s="59">
        <f ca="1">AVERAGE(OFFSET($R$3,0,0,'Données projet'!$E$9+1,1))-AVERAGE(OFFSET($H$3,0,0,'Données projet'!$E$9+1,1))</f>
        <v>466.90449882701591</v>
      </c>
      <c r="T88" s="59">
        <f t="shared" si="88"/>
        <v>283.37641704892053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28.015113446170837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28.015113446170837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68.474926653628003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269</v>
      </c>
      <c r="AG88" s="12">
        <f>VLOOKUP(A88,'Données projet'!$A$61:$I$81,9,0)</f>
        <v>5.8</v>
      </c>
      <c r="AH88" s="12">
        <f t="array" ref="AH88">INDEX(AG:AG,MIN(IF(ISNUMBER(AG88:AG284),ROW(AG88:AG284),"")))</f>
        <v>5.8</v>
      </c>
      <c r="AI88" s="13">
        <f>IF('Données projet'!$A$62&gt;35,AI87+AH88-AQ87,IF(A88&lt;'Données projet'!$A$62,$AF$205^A88,IF(A88='Données projet'!$A$62,'Données projet'!$B$62,AI87+AH88-AQ87)))</f>
        <v>269</v>
      </c>
      <c r="AJ88" s="13">
        <f>AI88*VLOOKUP('Données projet'!$B$10,Paramètres!$A$1:$I$89,3,0)*VLOOKUP('Données projet'!$B$10,Paramètres!$A$1:$I$89,5,0)</f>
        <v>255.9804</v>
      </c>
      <c r="AK88" s="13">
        <f t="shared" si="89"/>
        <v>61.864786260587792</v>
      </c>
      <c r="AL88" s="20">
        <f t="shared" si="58"/>
        <v>553.58036607052372</v>
      </c>
      <c r="AM88" s="59">
        <f t="shared" si="59"/>
        <v>841.32176380049304</v>
      </c>
      <c r="AN88" s="59">
        <f ca="1">AVERAGE(OFFSET($AM$3,0,0,'Données projet'!$E$10+1,1))-AVERAGE(OFFSET($H$3,0,0,'Données projet'!$E$10+1,1))</f>
        <v>399.5572791581468</v>
      </c>
      <c r="AO88" s="59">
        <f t="shared" si="90"/>
        <v>246.34185986079777</v>
      </c>
      <c r="AP88" s="15">
        <f>IF(ISNA(VLOOKUP(A88,'Données projet'!$A$61:$I$81,3,0)),0,VLOOKUP(A88,'Données projet'!$A$61:$I$81,3,0))</f>
        <v>14</v>
      </c>
      <c r="AQ88" s="15">
        <f>IF(ISNA(VLOOKUP(A88,'Données projet'!$A$61:$I$81,4,0)),0,VLOOKUP(A88,'Données projet'!$A$61:$I$81,4,0))</f>
        <v>21</v>
      </c>
      <c r="AR88" s="16">
        <f>IF(ISNA(VLOOKUP(A88,'Données projet'!$A$61:$I$81,5,0)),0%,VLOOKUP(A88,'Données projet'!$A$61:$I$81,5,0)*VLOOKUP('Données projet'!$B$10,Paramètres!$A$1:$I$89,7,0))</f>
        <v>0.25800000000000001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27.797677970780757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27.797677970780757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68.474926653628003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5.6843418860808015E-14</v>
      </c>
      <c r="BE88" s="13">
        <f>BD88*VLOOKUP('Données projet'!$B$11,Paramètres!$A$1:$I$89,3,0)*VLOOKUP('Données projet'!$B$11,Paramètres!$A$1:$I$89,5,0)</f>
        <v>4.4337866711430253E-14</v>
      </c>
      <c r="BF88" s="13">
        <f t="shared" si="91"/>
        <v>7.3222115536967035E-13</v>
      </c>
      <c r="BG88" s="20">
        <f t="shared" si="61"/>
        <v>1.3525069634579169E-12</v>
      </c>
      <c r="BH88" s="59">
        <f t="shared" si="62"/>
        <v>287.74139772997074</v>
      </c>
      <c r="BI88" s="59">
        <f ca="1">AVERAGE(OFFSET($BH$3,0,0,'Données projet'!$E$11+1,1))-AVERAGE(OFFSET($H$3,0,0,'Données projet'!$E$11+1,1))</f>
        <v>294.23449029791681</v>
      </c>
      <c r="BJ88" s="59">
        <f t="shared" si="92"/>
        <v>288.64639202306159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68.529874947797566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68.529874947797566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68.474926653628003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269</v>
      </c>
      <c r="BW88" s="12">
        <f>VLOOKUP(A88,'Données projet'!$A$113:$I$133,9,0)</f>
        <v>5.8</v>
      </c>
      <c r="BX88" s="12">
        <f t="array" ref="BX88">INDEX(BW:BW,MIN(IF(ISNUMBER(BW88:BW284),ROW(BW88:BW284),"")))</f>
        <v>5.8</v>
      </c>
      <c r="BY88" s="12">
        <f>IF('Données projet'!$A$114&gt;35,BY87+BX88-CG87,IF(A88&lt;'Données projet'!$A$114,$BV$205^A88,IF(A88='Données projet'!$A$114,'Données projet'!$B$114,BY87+BX88-CG87)))</f>
        <v>269</v>
      </c>
      <c r="BZ88" s="13">
        <f>BY88*VLOOKUP('Données projet'!$B$12,Paramètres!$A$1:$I$89,3,0)*VLOOKUP('Données projet'!$B$12,Paramètres!$A$1:$I$89,5,0)</f>
        <v>289.55160000000001</v>
      </c>
      <c r="CA88" s="13">
        <f t="shared" si="93"/>
        <v>68.981578990770117</v>
      </c>
      <c r="CB88" s="20">
        <f t="shared" si="64"/>
        <v>624.44528674225796</v>
      </c>
      <c r="CC88" s="59">
        <f t="shared" si="65"/>
        <v>912.1866844722274</v>
      </c>
      <c r="CD88" s="59">
        <f ca="1">AVERAGE(OFFSET($CC$3,0,0,'Données projet'!$E$12+1,1))-AVERAGE(OFFSET($H$3,0,0,'Données projet'!$E$12+1,1))</f>
        <v>445.38112098358147</v>
      </c>
      <c r="CE88" s="59">
        <f t="shared" si="94"/>
        <v>272.45883568548516</v>
      </c>
      <c r="CF88" s="15">
        <f>IF(ISNA(VLOOKUP(A88,'Données projet'!$A$113:$I$133,3,0)),0,VLOOKUP(A88,'Données projet'!$A$113:$I$133,3,0))</f>
        <v>14</v>
      </c>
      <c r="CG88" s="15">
        <f>IF(ISNA(VLOOKUP(A88,'Données projet'!$A$113:$I$133,4,0)),0,VLOOKUP(A88,'Données projet'!$A$113:$I$133,4,0))</f>
        <v>21</v>
      </c>
      <c r="CH88" s="16">
        <f>IF(ISNA(VLOOKUP(A88,'Données projet'!$A$113:$I$133,5,0)),0%,VLOOKUP(A88,'Données projet'!$A$113:$I$133,5,0)*VLOOKUP('Données projet'!$B$12,Paramètres!$A$1:$I$89,7,0))</f>
        <v>0.25800000000000001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31.443275081702833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31.443275081702833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68.474926653628003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>
        <f>VLOOKUP(A88,'Données projet'!$A$139:$I$159,2,0)</f>
        <v>269</v>
      </c>
      <c r="CR88" s="12">
        <f>VLOOKUP(A88,'Données projet'!$A$139:$I$159,9,0)</f>
        <v>5.8</v>
      </c>
      <c r="CS88" s="12">
        <f t="array" ref="CS88">INDEX(CR:CR,MIN(IF(ISNUMBER(CR88:CR284),ROW(CR88:CR284),"")))</f>
        <v>5.8</v>
      </c>
      <c r="CT88" s="12">
        <f>IF('Données projet'!$A$140&gt;35,CT87+CS88-DB87,IF(A88&lt;'Données projet'!$A$140,$CQ$205^A88,IF(A88='Données projet'!$A$140,'Données projet'!$B$140,CT87+CS88-DB87)))</f>
        <v>269</v>
      </c>
      <c r="CU88" s="17">
        <f>CT88*VLOOKUP('Données projet'!$B$13,Paramètres!$A$1:$I$89,3,0)*VLOOKUP('Données projet'!$B$13,Paramètres!$A$1:$I$89,5,0)</f>
        <v>289.55160000000001</v>
      </c>
      <c r="CV88" s="13">
        <f t="shared" si="95"/>
        <v>68.981578990770117</v>
      </c>
      <c r="CW88" s="20">
        <f t="shared" si="67"/>
        <v>624.44528674225796</v>
      </c>
      <c r="CX88" s="59">
        <f t="shared" si="68"/>
        <v>912.1866844722274</v>
      </c>
      <c r="CY88" s="59">
        <f ca="1">AVERAGE(OFFSET($CX$3,0,0,'Données projet'!$E$13+1,1))-AVERAGE(OFFSET($H$3,0,0,'Données projet'!$E$13+1,1))</f>
        <v>445.38112098358147</v>
      </c>
      <c r="CZ88" s="59">
        <f t="shared" si="96"/>
        <v>272.45883568548516</v>
      </c>
      <c r="DA88" s="15">
        <f>IF(ISNA(VLOOKUP(A88,'Données projet'!$A$139:$I$159,3,0)),0,VLOOKUP(A88,'Données projet'!$A$139:$I$159,3,0))</f>
        <v>14</v>
      </c>
      <c r="DB88" s="15">
        <f>IF(ISNA(VLOOKUP(A88,'Données projet'!$A$139:$I$159,4,0)),0,VLOOKUP(A88,'Données projet'!$A$139:$I$159,4,0))</f>
        <v>21</v>
      </c>
      <c r="DC88" s="16">
        <f>IF(ISNA(VLOOKUP(A88,'Données projet'!$A$139:$I$159,5,0)),0%,VLOOKUP(A88,'Données projet'!$A$139:$I$159,5,0)*VLOOKUP('Données projet'!$B$13,Paramètres!$A$1:$I$89,7,0))</f>
        <v>0.25800000000000001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31.443275081702833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31.443275081702833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68.474926653628003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>
        <f>VLOOKUP(A88,'Données projet'!$A$165:$I$185,2,0)</f>
        <v>269</v>
      </c>
      <c r="DM88" s="12">
        <f>VLOOKUP(A88,'Données projet'!$A$165:$I$185,9,0)</f>
        <v>5.8</v>
      </c>
      <c r="DN88" s="12">
        <f t="array" ref="DN88">INDEX(DM:DM,MIN(IF(ISNUMBER(DM88:DM284),ROW(DM88:DM284),"")))</f>
        <v>5.8</v>
      </c>
      <c r="DO88" s="12">
        <f>IF('Données projet'!$A$166&gt;35,DO87+DN88-DW87,IF(A88&lt;'Données projet'!$A$166,$DL$205^A88,IF(A88='Données projet'!$A$166,'Données projet'!$B$166,DO87+DN88-DW87)))</f>
        <v>269</v>
      </c>
      <c r="DP88" s="17">
        <f>DO88*VLOOKUP('Données projet'!$B$14,Paramètres!$A$1:$I$89,3,0)*VLOOKUP('Données projet'!$B$14,Paramètres!$A$1:$I$89,5,0)</f>
        <v>260.17680000000001</v>
      </c>
      <c r="DQ88" s="13">
        <f t="shared" si="97"/>
        <v>62.760063080404699</v>
      </c>
      <c r="DR88" s="20">
        <f t="shared" si="70"/>
        <v>562.44836986503822</v>
      </c>
      <c r="DS88" s="59">
        <f t="shared" si="71"/>
        <v>850.18976759500765</v>
      </c>
      <c r="DT88" s="59">
        <f ca="1">AVERAGE(OFFSET($DS$3,0,0,'Données projet'!$E$14+1,1))-AVERAGE(OFFSET($H$3,0,0,'Données projet'!$E$14+1,1))</f>
        <v>405.29179902613089</v>
      </c>
      <c r="DU88" s="59">
        <f t="shared" si="98"/>
        <v>249.61049717638238</v>
      </c>
      <c r="DV88" s="15">
        <f>IF(ISNA(VLOOKUP(A88,'Données projet'!$A$165:$I$185,3,0)),0,VLOOKUP(A88,'Données projet'!$A$165:$I$185,3,0))</f>
        <v>14</v>
      </c>
      <c r="DW88" s="15">
        <f>IF(ISNA(VLOOKUP(A88,'Données projet'!$A$165:$I$185,4,0)),0,VLOOKUP(A88,'Données projet'!$A$165:$I$185,4,0))</f>
        <v>21</v>
      </c>
      <c r="DX88" s="16">
        <f>IF(ISNA(VLOOKUP(A88,'Données projet'!$A$165:$I$185,5,0)),0%,VLOOKUP(A88,'Données projet'!$A$165:$I$185,5,0)*VLOOKUP('Données projet'!$B$14,Paramètres!$A$1:$I$89,7,0))</f>
        <v>0.25800000000000001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28.253377609646027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28.253377609646027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68.474926653628003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-5.6843418860808015E-13</v>
      </c>
      <c r="EK88" s="17">
        <f>EJ88*VLOOKUP('Données projet'!$B$15,Paramètres!$A$1:$I$89,3,0)*VLOOKUP('Données projet'!$B$15,Paramètres!$A$1:$I$89,5,0)</f>
        <v>-3.39923644787632E-13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444.77624981561257</v>
      </c>
      <c r="EP88" s="59">
        <f t="shared" si="100"/>
        <v>382.10319641527587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197.9346134522641</v>
      </c>
      <c r="EW88" s="21">
        <f>EXP(-LN(2)/25)*EW87+(1-EXP(-LN(2)/25))/(LN(2)/25)*Calculateur!ER88*Calculateur!ET88*VLOOKUP('Données projet'!$B$15,Paramètres!$A$1:$I$89,3,0)*0.475*44/12</f>
        <v>36.15829051267982</v>
      </c>
      <c r="EX88" s="21">
        <f>EXP(-LN(2)/2)*EX87+(1-EXP(-LN(2)/2))/(LN(2)/2)*ER88*EU88*VLOOKUP('Données projet'!$B$15,Paramètres!$A$1:$I$89,3,0)*0.475*44/12</f>
        <v>1.8163205885918756</v>
      </c>
      <c r="EY88" s="22">
        <f t="shared" si="75"/>
        <v>235.90922455353581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68.474926653628003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3.4106051316484809E-13</v>
      </c>
      <c r="FF88" s="17">
        <f>FE88*VLOOKUP('Données projet'!$B$16,Paramètres!$A$1:$I$89,3,0)*VLOOKUP('Données projet'!$B$16,Paramètres!$A$1:$I$89,5,0)</f>
        <v>1.5074874681886286E-13</v>
      </c>
      <c r="FG88" s="13">
        <f t="shared" si="101"/>
        <v>2.1590218794584103E-12</v>
      </c>
      <c r="FH88" s="20">
        <f t="shared" si="76"/>
        <v>4.0228505074329168E-12</v>
      </c>
      <c r="FI88" s="59">
        <f t="shared" si="77"/>
        <v>287.74139772997341</v>
      </c>
      <c r="FJ88" s="59">
        <f ca="1">AVERAGE(OFFSET($FI$3,0,0,'Données projet'!$E$16+1,1))-AVERAGE(OFFSET($H$3,0,0,'Données projet'!$E$16+1,1))</f>
        <v>508.71179785154317</v>
      </c>
      <c r="FK88" s="59">
        <f t="shared" si="102"/>
        <v>422.73937290731442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251.67845856486713</v>
      </c>
      <c r="FR88" s="21">
        <f>EXP(-LN(2)/25)*FR87+(1-EXP(-LN(2)/25))/(LN(2)/25)*Calculateur!FM88*Calculateur!FO88*VLOOKUP('Données projet'!$B$16,Paramètres!$A$1:$I$89,3,0)*0.475*44/12</f>
        <v>59.242622577255709</v>
      </c>
      <c r="FS88" s="21">
        <f>EXP(-LN(2)/2)*FS87+(1-EXP(-LN(2)/2))/(LN(2)/2)*FM88*FP88*VLOOKUP('Données projet'!$B$16,Paramètres!$A$1:$I$89,3,0)*0.475*44/12</f>
        <v>7.6135781557538742</v>
      </c>
      <c r="FT88" s="22">
        <f t="shared" si="78"/>
        <v>318.53465929787671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68.474926653628003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68.474926653628003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1.35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4.95</v>
      </c>
      <c r="H89" s="67">
        <f t="shared" si="56"/>
        <v>236.86666666666665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68.501383266634349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6.6</v>
      </c>
      <c r="N89" s="13">
        <f>IF('Données projet'!$A$36&gt;35,N88+M89-V88,IF(A89&lt;'Données projet'!$A$36,$K$205^A89,IF(A89='Données projet'!$A$36,'Données projet'!$B$36,N88+M89-V88)))</f>
        <v>331.60000000000008</v>
      </c>
      <c r="O89" s="13">
        <f>N89*VLOOKUP('Données projet'!$B$9,Paramètres!$A$1:$I$89,3,0)*VLOOKUP('Données projet'!$B$9,Paramètres!$A$1:$I$89,5,0)</f>
        <v>300.03168000000005</v>
      </c>
      <c r="P89" s="13">
        <f t="shared" si="87"/>
        <v>71.183104779714938</v>
      </c>
      <c r="Q89" s="20">
        <f t="shared" si="54"/>
        <v>646.53241682467024</v>
      </c>
      <c r="R89" s="59">
        <f t="shared" si="55"/>
        <v>934.37082213566282</v>
      </c>
      <c r="S89" s="59">
        <f ca="1">AVERAGE(OFFSET($R$3,0,0,'Données projet'!$E$9+1,1))-AVERAGE(OFFSET($H$3,0,0,'Données projet'!$E$9+1,1))</f>
        <v>466.90449882701591</v>
      </c>
      <c r="T89" s="59">
        <f t="shared" si="88"/>
        <v>283.37641704892053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27.465754159023376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27.465754159023376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68.501383266634349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5.4</v>
      </c>
      <c r="AI89" s="13">
        <f>IF('Données projet'!$A$62&gt;35,AI88+AH89-AQ88,IF(A89&lt;'Données projet'!$A$62,$AF$205^A89,IF(A89='Données projet'!$A$62,'Données projet'!$B$62,AI88+AH89-AQ88)))</f>
        <v>253.39999999999998</v>
      </c>
      <c r="AJ89" s="13">
        <f>AI89*VLOOKUP('Données projet'!$B$10,Paramètres!$A$1:$I$89,3,0)*VLOOKUP('Données projet'!$B$10,Paramètres!$A$1:$I$89,5,0)</f>
        <v>241.13543999999999</v>
      </c>
      <c r="AK89" s="13">
        <f t="shared" si="89"/>
        <v>58.6837587821827</v>
      </c>
      <c r="AL89" s="20">
        <f t="shared" si="58"/>
        <v>522.18510454563489</v>
      </c>
      <c r="AM89" s="59">
        <f t="shared" si="59"/>
        <v>810.02350985662747</v>
      </c>
      <c r="AN89" s="59">
        <f ca="1">AVERAGE(OFFSET($AM$3,0,0,'Données projet'!$E$10+1,1))-AVERAGE(OFFSET($H$3,0,0,'Données projet'!$E$10+1,1))</f>
        <v>399.5572791581468</v>
      </c>
      <c r="AO89" s="59">
        <f t="shared" si="90"/>
        <v>246.34185986079777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27.252582460683151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27.252582460683151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68.501383266634349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5.6843418860808015E-14</v>
      </c>
      <c r="BE89" s="13">
        <f>BD89*VLOOKUP('Données projet'!$B$11,Paramètres!$A$1:$I$89,3,0)*VLOOKUP('Données projet'!$B$11,Paramètres!$A$1:$I$89,5,0)</f>
        <v>4.4337866711430253E-14</v>
      </c>
      <c r="BF89" s="13">
        <f t="shared" si="91"/>
        <v>7.3222115536967035E-13</v>
      </c>
      <c r="BG89" s="20">
        <f t="shared" si="61"/>
        <v>1.3525069634579169E-12</v>
      </c>
      <c r="BH89" s="59">
        <f t="shared" si="62"/>
        <v>287.83840531099401</v>
      </c>
      <c r="BI89" s="59">
        <f ca="1">AVERAGE(OFFSET($BH$3,0,0,'Données projet'!$E$11+1,1))-AVERAGE(OFFSET($H$3,0,0,'Données projet'!$E$11+1,1))</f>
        <v>294.23449029791681</v>
      </c>
      <c r="BJ89" s="59">
        <f t="shared" si="92"/>
        <v>288.64639202306159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67.186045899167652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67.186045899167652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68.501383266634349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5.4</v>
      </c>
      <c r="BY89" s="12">
        <f>IF('Données projet'!$A$114&gt;35,BY88+BX89-CG88,IF(A89&lt;'Données projet'!$A$114,$BV$205^A89,IF(A89='Données projet'!$A$114,'Données projet'!$B$114,BY88+BX89-CG88)))</f>
        <v>253.39999999999998</v>
      </c>
      <c r="BZ89" s="13">
        <f>BY89*VLOOKUP('Données projet'!$B$12,Paramètres!$A$1:$I$89,3,0)*VLOOKUP('Données projet'!$B$12,Paramètres!$A$1:$I$89,5,0)</f>
        <v>272.75975999999997</v>
      </c>
      <c r="CA89" s="13">
        <f t="shared" si="93"/>
        <v>65.434612913022505</v>
      </c>
      <c r="CB89" s="20">
        <f t="shared" si="64"/>
        <v>589.02186615684741</v>
      </c>
      <c r="CC89" s="59">
        <f t="shared" si="65"/>
        <v>876.86027146783999</v>
      </c>
      <c r="CD89" s="59">
        <f ca="1">AVERAGE(OFFSET($CC$3,0,0,'Données projet'!$E$12+1,1))-AVERAGE(OFFSET($H$3,0,0,'Données projet'!$E$12+1,1))</f>
        <v>445.38112098358147</v>
      </c>
      <c r="CE89" s="59">
        <f t="shared" si="94"/>
        <v>272.45883568548516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30.826691635854718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30.826691635854718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68.501383266634349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5.4</v>
      </c>
      <c r="CT89" s="12">
        <f>IF('Données projet'!$A$140&gt;35,CT88+CS89-DB88,IF(A89&lt;'Données projet'!$A$140,$CQ$205^A89,IF(A89='Données projet'!$A$140,'Données projet'!$B$140,CT88+CS89-DB88)))</f>
        <v>253.39999999999998</v>
      </c>
      <c r="CU89" s="17">
        <f>CT89*VLOOKUP('Données projet'!$B$13,Paramètres!$A$1:$I$89,3,0)*VLOOKUP('Données projet'!$B$13,Paramètres!$A$1:$I$89,5,0)</f>
        <v>272.75975999999997</v>
      </c>
      <c r="CV89" s="13">
        <f t="shared" si="95"/>
        <v>65.434612913022505</v>
      </c>
      <c r="CW89" s="20">
        <f t="shared" si="67"/>
        <v>589.02186615684741</v>
      </c>
      <c r="CX89" s="59">
        <f t="shared" si="68"/>
        <v>876.86027146783999</v>
      </c>
      <c r="CY89" s="59">
        <f ca="1">AVERAGE(OFFSET($CX$3,0,0,'Données projet'!$E$13+1,1))-AVERAGE(OFFSET($H$3,0,0,'Données projet'!$E$13+1,1))</f>
        <v>445.38112098358147</v>
      </c>
      <c r="CZ89" s="59">
        <f t="shared" si="96"/>
        <v>272.45883568548516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30.826691635854718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30.826691635854718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68.501383266634349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5.4</v>
      </c>
      <c r="DO89" s="12">
        <f>IF('Données projet'!$A$166&gt;35,DO88+DN89-DW88,IF(A89&lt;'Données projet'!$A$166,$DL$205^A89,IF(A89='Données projet'!$A$166,'Données projet'!$B$166,DO88+DN89-DW88)))</f>
        <v>253.39999999999998</v>
      </c>
      <c r="DP89" s="17">
        <f>DO89*VLOOKUP('Données projet'!$B$14,Paramètres!$A$1:$I$89,3,0)*VLOOKUP('Données projet'!$B$14,Paramètres!$A$1:$I$89,5,0)</f>
        <v>245.08847999999998</v>
      </c>
      <c r="DQ89" s="13">
        <f t="shared" si="97"/>
        <v>59.533001333771132</v>
      </c>
      <c r="DR89" s="20">
        <f t="shared" si="70"/>
        <v>530.54907998965132</v>
      </c>
      <c r="DS89" s="59">
        <f t="shared" si="71"/>
        <v>818.3874853006439</v>
      </c>
      <c r="DT89" s="59">
        <f ca="1">AVERAGE(OFFSET($DS$3,0,0,'Données projet'!$E$14+1,1))-AVERAGE(OFFSET($H$3,0,0,'Données projet'!$E$14+1,1))</f>
        <v>405.29179902613089</v>
      </c>
      <c r="DU89" s="59">
        <f t="shared" si="98"/>
        <v>249.61049717638238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27.699346107579608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27.699346107579608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68.501383266634349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-5.6843418860808015E-13</v>
      </c>
      <c r="EK89" s="17">
        <f>EJ89*VLOOKUP('Données projet'!$B$15,Paramètres!$A$1:$I$89,3,0)*VLOOKUP('Données projet'!$B$15,Paramètres!$A$1:$I$89,5,0)</f>
        <v>-3.39923644787632E-13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444.77624981561257</v>
      </c>
      <c r="EP89" s="59">
        <f t="shared" si="100"/>
        <v>382.10319641527587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194.05323641065849</v>
      </c>
      <c r="EW89" s="21">
        <f>EXP(-LN(2)/25)*EW88+(1-EXP(-LN(2)/25))/(LN(2)/25)*Calculateur!ER89*Calculateur!ET89*VLOOKUP('Données projet'!$B$15,Paramètres!$A$1:$I$89,3,0)*0.475*44/12</f>
        <v>35.169540157128729</v>
      </c>
      <c r="EX89" s="21">
        <f>EXP(-LN(2)/2)*EX88+(1-EXP(-LN(2)/2))/(LN(2)/2)*ER89*EU89*VLOOKUP('Données projet'!$B$15,Paramètres!$A$1:$I$89,3,0)*0.475*44/12</f>
        <v>1.2843326050020567</v>
      </c>
      <c r="EY89" s="22">
        <f t="shared" si="75"/>
        <v>230.50710917278926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68.501383266634349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3.4106051316484809E-13</v>
      </c>
      <c r="FF89" s="17">
        <f>FE89*VLOOKUP('Données projet'!$B$16,Paramètres!$A$1:$I$89,3,0)*VLOOKUP('Données projet'!$B$16,Paramètres!$A$1:$I$89,5,0)</f>
        <v>1.5074874681886286E-13</v>
      </c>
      <c r="FG89" s="13">
        <f t="shared" si="101"/>
        <v>2.1590218794584103E-12</v>
      </c>
      <c r="FH89" s="20">
        <f t="shared" si="76"/>
        <v>4.0228505074329168E-12</v>
      </c>
      <c r="FI89" s="59">
        <f t="shared" si="77"/>
        <v>287.83840531099668</v>
      </c>
      <c r="FJ89" s="59">
        <f ca="1">AVERAGE(OFFSET($FI$3,0,0,'Données projet'!$E$16+1,1))-AVERAGE(OFFSET($H$3,0,0,'Données projet'!$E$16+1,1))</f>
        <v>508.71179785154317</v>
      </c>
      <c r="FK89" s="59">
        <f t="shared" si="102"/>
        <v>422.73937290731442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246.74319750111209</v>
      </c>
      <c r="FR89" s="21">
        <f>EXP(-LN(2)/25)*FR88+(1-EXP(-LN(2)/25))/(LN(2)/25)*Calculateur!FM89*Calculateur!FO89*VLOOKUP('Données projet'!$B$16,Paramètres!$A$1:$I$89,3,0)*0.475*44/12</f>
        <v>57.622629947446534</v>
      </c>
      <c r="FS89" s="21">
        <f>EXP(-LN(2)/2)*FS88+(1-EXP(-LN(2)/2))/(LN(2)/2)*FM89*FP89*VLOOKUP('Données projet'!$B$16,Paramètres!$A$1:$I$89,3,0)*0.475*44/12</f>
        <v>5.3836127430273333</v>
      </c>
      <c r="FT89" s="22">
        <f t="shared" si="78"/>
        <v>309.74944019158596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68.501383266634349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68.501383266634349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1.35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4.95</v>
      </c>
      <c r="H90" s="67">
        <f t="shared" si="56"/>
        <v>236.86666666666665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68.527380916553142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6.6</v>
      </c>
      <c r="N90" s="13">
        <f>IF('Données projet'!$A$36&gt;35,N89+M90-V89,IF(A90&lt;'Données projet'!$A$36,$K$205^A90,IF(A90='Données projet'!$A$36,'Données projet'!$B$36,N89+M90-V89)))</f>
        <v>338.2000000000001</v>
      </c>
      <c r="O90" s="13">
        <f>N90*VLOOKUP('Données projet'!$B$9,Paramètres!$A$1:$I$89,3,0)*VLOOKUP('Données projet'!$B$9,Paramètres!$A$1:$I$89,5,0)</f>
        <v>306.00336000000004</v>
      </c>
      <c r="P90" s="13">
        <f t="shared" si="87"/>
        <v>72.433543369450447</v>
      </c>
      <c r="Q90" s="20">
        <f t="shared" si="54"/>
        <v>659.11094003512619</v>
      </c>
      <c r="R90" s="59">
        <f t="shared" si="55"/>
        <v>947.04467006248774</v>
      </c>
      <c r="S90" s="59">
        <f ca="1">AVERAGE(OFFSET($R$3,0,0,'Données projet'!$E$9+1,1))-AVERAGE(OFFSET($H$3,0,0,'Données projet'!$E$9+1,1))</f>
        <v>466.90449882701591</v>
      </c>
      <c r="T90" s="59">
        <f t="shared" si="88"/>
        <v>283.37641704892053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26.927167472420798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26.927167472420798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68.527380916553142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5.4</v>
      </c>
      <c r="AI90" s="13">
        <f>IF('Données projet'!$A$62&gt;35,AI89+AH90-AQ89,IF(A90&lt;'Données projet'!$A$62,$AF$205^A90,IF(A90='Données projet'!$A$62,'Données projet'!$B$62,AI89+AH90-AQ89)))</f>
        <v>258.79999999999995</v>
      </c>
      <c r="AJ90" s="13">
        <f>AI90*VLOOKUP('Données projet'!$B$10,Paramètres!$A$1:$I$89,3,0)*VLOOKUP('Données projet'!$B$10,Paramètres!$A$1:$I$89,5,0)</f>
        <v>246.27407999999997</v>
      </c>
      <c r="AK90" s="13">
        <f t="shared" si="89"/>
        <v>59.787395242924475</v>
      </c>
      <c r="AL90" s="20">
        <f t="shared" si="58"/>
        <v>533.05706938142669</v>
      </c>
      <c r="AM90" s="59">
        <f t="shared" si="59"/>
        <v>820.99079940878823</v>
      </c>
      <c r="AN90" s="59">
        <f ca="1">AVERAGE(OFFSET($AM$3,0,0,'Données projet'!$E$10+1,1))-AVERAGE(OFFSET($H$3,0,0,'Données projet'!$E$10+1,1))</f>
        <v>399.5572791581468</v>
      </c>
      <c r="AO90" s="59">
        <f t="shared" si="90"/>
        <v>246.34185986079777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26.718175941063127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26.718175941063127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68.527380916553142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5.6843418860808015E-14</v>
      </c>
      <c r="BE90" s="13">
        <f>BD90*VLOOKUP('Données projet'!$B$11,Paramètres!$A$1:$I$89,3,0)*VLOOKUP('Données projet'!$B$11,Paramètres!$A$1:$I$89,5,0)</f>
        <v>4.4337866711430253E-14</v>
      </c>
      <c r="BF90" s="13">
        <f t="shared" si="91"/>
        <v>7.3222115536967035E-13</v>
      </c>
      <c r="BG90" s="20">
        <f t="shared" si="61"/>
        <v>1.3525069634579169E-12</v>
      </c>
      <c r="BH90" s="59">
        <f t="shared" si="62"/>
        <v>287.93373002736286</v>
      </c>
      <c r="BI90" s="59">
        <f ca="1">AVERAGE(OFFSET($BH$3,0,0,'Données projet'!$E$11+1,1))-AVERAGE(OFFSET($H$3,0,0,'Données projet'!$E$11+1,1))</f>
        <v>294.23449029791681</v>
      </c>
      <c r="BJ90" s="59">
        <f t="shared" si="92"/>
        <v>288.64639202306159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65.868568518526587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65.868568518526587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68.527380916553142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5.4</v>
      </c>
      <c r="BY90" s="12">
        <f>IF('Données projet'!$A$114&gt;35,BY89+BX90-CG89,IF(A90&lt;'Données projet'!$A$114,$BV$205^A90,IF(A90='Données projet'!$A$114,'Données projet'!$B$114,BY89+BX90-CG89)))</f>
        <v>258.79999999999995</v>
      </c>
      <c r="BZ90" s="13">
        <f>BY90*VLOOKUP('Données projet'!$B$12,Paramètres!$A$1:$I$89,3,0)*VLOOKUP('Données projet'!$B$12,Paramètres!$A$1:$I$89,5,0)</f>
        <v>278.57231999999993</v>
      </c>
      <c r="CA90" s="13">
        <f t="shared" si="93"/>
        <v>66.665209352377758</v>
      </c>
      <c r="CB90" s="20">
        <f t="shared" si="64"/>
        <v>601.28869695539117</v>
      </c>
      <c r="CC90" s="59">
        <f t="shared" si="65"/>
        <v>889.22242698275272</v>
      </c>
      <c r="CD90" s="59">
        <f ca="1">AVERAGE(OFFSET($CC$3,0,0,'Données projet'!$E$12+1,1))-AVERAGE(OFFSET($H$3,0,0,'Données projet'!$E$12+1,1))</f>
        <v>445.38112098358147</v>
      </c>
      <c r="CE90" s="59">
        <f t="shared" si="94"/>
        <v>272.45883568548516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30.222199015300919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30.222199015300919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68.527380916553142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5.4</v>
      </c>
      <c r="CT90" s="12">
        <f>IF('Données projet'!$A$140&gt;35,CT89+CS90-DB89,IF(A90&lt;'Données projet'!$A$140,$CQ$205^A90,IF(A90='Données projet'!$A$140,'Données projet'!$B$140,CT89+CS90-DB89)))</f>
        <v>258.79999999999995</v>
      </c>
      <c r="CU90" s="17">
        <f>CT90*VLOOKUP('Données projet'!$B$13,Paramètres!$A$1:$I$89,3,0)*VLOOKUP('Données projet'!$B$13,Paramètres!$A$1:$I$89,5,0)</f>
        <v>278.57231999999993</v>
      </c>
      <c r="CV90" s="13">
        <f t="shared" si="95"/>
        <v>66.665209352377758</v>
      </c>
      <c r="CW90" s="20">
        <f t="shared" si="67"/>
        <v>601.28869695539117</v>
      </c>
      <c r="CX90" s="59">
        <f t="shared" si="68"/>
        <v>889.22242698275272</v>
      </c>
      <c r="CY90" s="59">
        <f ca="1">AVERAGE(OFFSET($CX$3,0,0,'Données projet'!$E$13+1,1))-AVERAGE(OFFSET($H$3,0,0,'Données projet'!$E$13+1,1))</f>
        <v>445.38112098358147</v>
      </c>
      <c r="CZ90" s="59">
        <f t="shared" si="96"/>
        <v>272.45883568548516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30.222199015300919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30.222199015300919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68.527380916553142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5.4</v>
      </c>
      <c r="DO90" s="12">
        <f>IF('Données projet'!$A$166&gt;35,DO89+DN90-DW89,IF(A90&lt;'Données projet'!$A$166,$DL$205^A90,IF(A90='Données projet'!$A$166,'Données projet'!$B$166,DO89+DN90-DW89)))</f>
        <v>258.79999999999995</v>
      </c>
      <c r="DP90" s="17">
        <f>DO90*VLOOKUP('Données projet'!$B$14,Paramètres!$A$1:$I$89,3,0)*VLOOKUP('Données projet'!$B$14,Paramètres!$A$1:$I$89,5,0)</f>
        <v>250.31135999999995</v>
      </c>
      <c r="DQ90" s="13">
        <f t="shared" si="97"/>
        <v>60.65260907964182</v>
      </c>
      <c r="DR90" s="20">
        <f t="shared" si="70"/>
        <v>541.59557948037605</v>
      </c>
      <c r="DS90" s="59">
        <f t="shared" si="71"/>
        <v>829.52930950773748</v>
      </c>
      <c r="DT90" s="59">
        <f ca="1">AVERAGE(OFFSET($DS$3,0,0,'Données projet'!$E$14+1,1))-AVERAGE(OFFSET($H$3,0,0,'Données projet'!$E$14+1,1))</f>
        <v>405.29179902613089</v>
      </c>
      <c r="DU90" s="59">
        <f t="shared" si="98"/>
        <v>249.61049717638238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27.15617882534286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27.15617882534286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68.527380916553142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-5.6843418860808015E-13</v>
      </c>
      <c r="EK90" s="17">
        <f>EJ90*VLOOKUP('Données projet'!$B$15,Paramètres!$A$1:$I$89,3,0)*VLOOKUP('Données projet'!$B$15,Paramètres!$A$1:$I$89,5,0)</f>
        <v>-3.39923644787632E-13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444.77624981561257</v>
      </c>
      <c r="EP90" s="59">
        <f t="shared" si="100"/>
        <v>382.10319641527587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190.24797080543252</v>
      </c>
      <c r="EW90" s="21">
        <f>EXP(-LN(2)/25)*EW89+(1-EXP(-LN(2)/25))/(LN(2)/25)*Calculateur!ER90*Calculateur!ET90*VLOOKUP('Données projet'!$B$15,Paramètres!$A$1:$I$89,3,0)*0.475*44/12</f>
        <v>34.207827232046306</v>
      </c>
      <c r="EX90" s="21">
        <f>EXP(-LN(2)/2)*EX89+(1-EXP(-LN(2)/2))/(LN(2)/2)*ER90*EU90*VLOOKUP('Données projet'!$B$15,Paramètres!$A$1:$I$89,3,0)*0.475*44/12</f>
        <v>0.90816029429593792</v>
      </c>
      <c r="EY90" s="22">
        <f t="shared" si="75"/>
        <v>225.36395833177474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68.527380916553142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3.4106051316484809E-13</v>
      </c>
      <c r="FF90" s="17">
        <f>FE90*VLOOKUP('Données projet'!$B$16,Paramètres!$A$1:$I$89,3,0)*VLOOKUP('Données projet'!$B$16,Paramètres!$A$1:$I$89,5,0)</f>
        <v>1.5074874681886286E-13</v>
      </c>
      <c r="FG90" s="13">
        <f t="shared" si="101"/>
        <v>2.1590218794584103E-12</v>
      </c>
      <c r="FH90" s="20">
        <f t="shared" si="76"/>
        <v>4.0228505074329168E-12</v>
      </c>
      <c r="FI90" s="59">
        <f t="shared" si="77"/>
        <v>287.93373002736553</v>
      </c>
      <c r="FJ90" s="59">
        <f ca="1">AVERAGE(OFFSET($FI$3,0,0,'Données projet'!$E$16+1,1))-AVERAGE(OFFSET($H$3,0,0,'Données projet'!$E$16+1,1))</f>
        <v>508.71179785154317</v>
      </c>
      <c r="FK90" s="59">
        <f t="shared" si="102"/>
        <v>422.73937290731442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241.90471389660527</v>
      </c>
      <c r="FR90" s="21">
        <f>EXP(-LN(2)/25)*FR89+(1-EXP(-LN(2)/25))/(LN(2)/25)*Calculateur!FM90*Calculateur!FO90*VLOOKUP('Données projet'!$B$16,Paramètres!$A$1:$I$89,3,0)*0.475*44/12</f>
        <v>56.046936101291195</v>
      </c>
      <c r="FS90" s="21">
        <f>EXP(-LN(2)/2)*FS89+(1-EXP(-LN(2)/2))/(LN(2)/2)*FM90*FP90*VLOOKUP('Données projet'!$B$16,Paramètres!$A$1:$I$89,3,0)*0.475*44/12</f>
        <v>3.8067890778769375</v>
      </c>
      <c r="FT90" s="22">
        <f t="shared" si="78"/>
        <v>301.75843907577342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68.527380916553142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68.527380916553142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1.35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4.95</v>
      </c>
      <c r="H91" s="67">
        <f t="shared" si="56"/>
        <v>236.86666666666665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68.552927565367895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6.6</v>
      </c>
      <c r="N91" s="13">
        <f>IF('Données projet'!$A$36&gt;35,N90+M91-V90,IF(A91&lt;'Données projet'!$A$36,$K$205^A91,IF(A91='Données projet'!$A$36,'Données projet'!$B$36,N90+M91-V90)))</f>
        <v>344.80000000000013</v>
      </c>
      <c r="O91" s="13">
        <f>N91*VLOOKUP('Données projet'!$B$9,Paramètres!$A$1:$I$89,3,0)*VLOOKUP('Données projet'!$B$9,Paramètres!$A$1:$I$89,5,0)</f>
        <v>311.97504000000009</v>
      </c>
      <c r="P91" s="13">
        <f t="shared" si="87"/>
        <v>73.681144552074599</v>
      </c>
      <c r="Q91" s="20">
        <f t="shared" si="54"/>
        <v>671.68452142819672</v>
      </c>
      <c r="R91" s="59">
        <f t="shared" si="55"/>
        <v>959.71192250121226</v>
      </c>
      <c r="S91" s="59">
        <f ca="1">AVERAGE(OFFSET($R$3,0,0,'Données projet'!$E$9+1,1))-AVERAGE(OFFSET($H$3,0,0,'Données projet'!$E$9+1,1))</f>
        <v>466.90449882701591</v>
      </c>
      <c r="T91" s="59">
        <f t="shared" si="88"/>
        <v>283.37641704892053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26.399142142237054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26.399142142237054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68.552927565367895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5.4</v>
      </c>
      <c r="AI91" s="13">
        <f>IF('Données projet'!$A$62&gt;35,AI90+AH91-AQ90,IF(A91&lt;'Données projet'!$A$62,$AF$205^A91,IF(A91='Données projet'!$A$62,'Données projet'!$B$62,AI90+AH91-AQ90)))</f>
        <v>264.19999999999993</v>
      </c>
      <c r="AJ91" s="13">
        <f>AI91*VLOOKUP('Données projet'!$B$10,Paramètres!$A$1:$I$89,3,0)*VLOOKUP('Données projet'!$B$10,Paramètres!$A$1:$I$89,5,0)</f>
        <v>251.41271999999992</v>
      </c>
      <c r="AK91" s="13">
        <f t="shared" si="89"/>
        <v>60.888354295829195</v>
      </c>
      <c r="AL91" s="20">
        <f t="shared" si="58"/>
        <v>543.92437106523562</v>
      </c>
      <c r="AM91" s="59">
        <f t="shared" si="59"/>
        <v>831.95177213825127</v>
      </c>
      <c r="AN91" s="59">
        <f ca="1">AVERAGE(OFFSET($AM$3,0,0,'Données projet'!$E$10+1,1))-AVERAGE(OFFSET($H$3,0,0,'Données projet'!$E$10+1,1))</f>
        <v>399.5572791581468</v>
      </c>
      <c r="AO91" s="59">
        <f t="shared" si="90"/>
        <v>246.34185986079777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26.194248807337058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26.194248807337058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68.552927565367895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5.6843418860808015E-14</v>
      </c>
      <c r="BE91" s="13">
        <f>BD91*VLOOKUP('Données projet'!$B$11,Paramètres!$A$1:$I$89,3,0)*VLOOKUP('Données projet'!$B$11,Paramètres!$A$1:$I$89,5,0)</f>
        <v>4.4337866711430253E-14</v>
      </c>
      <c r="BF91" s="13">
        <f t="shared" si="91"/>
        <v>7.3222115536967035E-13</v>
      </c>
      <c r="BG91" s="20">
        <f t="shared" si="61"/>
        <v>1.3525069634579169E-12</v>
      </c>
      <c r="BH91" s="59">
        <f t="shared" si="62"/>
        <v>288.02740107301696</v>
      </c>
      <c r="BI91" s="59">
        <f ca="1">AVERAGE(OFFSET($BH$3,0,0,'Données projet'!$E$11+1,1))-AVERAGE(OFFSET($H$3,0,0,'Données projet'!$E$11+1,1))</f>
        <v>294.23449029791681</v>
      </c>
      <c r="BJ91" s="59">
        <f t="shared" si="92"/>
        <v>288.64639202306159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64.576926065738036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64.576926065738036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68.552927565367895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5.4</v>
      </c>
      <c r="BY91" s="12">
        <f>IF('Données projet'!$A$114&gt;35,BY90+BX91-CG90,IF(A91&lt;'Données projet'!$A$114,$BV$205^A91,IF(A91='Données projet'!$A$114,'Données projet'!$B$114,BY90+BX91-CG90)))</f>
        <v>264.19999999999993</v>
      </c>
      <c r="BZ91" s="13">
        <f>BY91*VLOOKUP('Données projet'!$B$12,Paramètres!$A$1:$I$89,3,0)*VLOOKUP('Données projet'!$B$12,Paramètres!$A$1:$I$89,5,0)</f>
        <v>284.3848799999999</v>
      </c>
      <c r="CA91" s="13">
        <f t="shared" si="93"/>
        <v>67.892820380623291</v>
      </c>
      <c r="CB91" s="20">
        <f t="shared" si="64"/>
        <v>613.55032816291862</v>
      </c>
      <c r="CC91" s="59">
        <f t="shared" si="65"/>
        <v>901.57772923593416</v>
      </c>
      <c r="CD91" s="59">
        <f ca="1">AVERAGE(OFFSET($CC$3,0,0,'Données projet'!$E$12+1,1))-AVERAGE(OFFSET($H$3,0,0,'Données projet'!$E$12+1,1))</f>
        <v>445.38112098358147</v>
      </c>
      <c r="CE91" s="59">
        <f t="shared" si="94"/>
        <v>272.45883568548516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29.629560126332088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29.629560126332088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68.552927565367895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5.4</v>
      </c>
      <c r="CT91" s="12">
        <f>IF('Données projet'!$A$140&gt;35,CT90+CS91-DB90,IF(A91&lt;'Données projet'!$A$140,$CQ$205^A91,IF(A91='Données projet'!$A$140,'Données projet'!$B$140,CT90+CS91-DB90)))</f>
        <v>264.19999999999993</v>
      </c>
      <c r="CU91" s="17">
        <f>CT91*VLOOKUP('Données projet'!$B$13,Paramètres!$A$1:$I$89,3,0)*VLOOKUP('Données projet'!$B$13,Paramètres!$A$1:$I$89,5,0)</f>
        <v>284.3848799999999</v>
      </c>
      <c r="CV91" s="13">
        <f t="shared" si="95"/>
        <v>67.892820380623291</v>
      </c>
      <c r="CW91" s="20">
        <f t="shared" si="67"/>
        <v>613.55032816291862</v>
      </c>
      <c r="CX91" s="59">
        <f t="shared" si="68"/>
        <v>901.57772923593416</v>
      </c>
      <c r="CY91" s="59">
        <f ca="1">AVERAGE(OFFSET($CX$3,0,0,'Données projet'!$E$13+1,1))-AVERAGE(OFFSET($H$3,0,0,'Données projet'!$E$13+1,1))</f>
        <v>445.38112098358147</v>
      </c>
      <c r="CZ91" s="59">
        <f t="shared" si="96"/>
        <v>272.45883568548516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29.629560126332088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29.629560126332088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68.552927565367895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5.4</v>
      </c>
      <c r="DO91" s="12">
        <f>IF('Données projet'!$A$166&gt;35,DO90+DN91-DW90,IF(A91&lt;'Données projet'!$A$166,$DL$205^A91,IF(A91='Données projet'!$A$166,'Données projet'!$B$166,DO90+DN91-DW90)))</f>
        <v>264.19999999999993</v>
      </c>
      <c r="DP91" s="17">
        <f>DO91*VLOOKUP('Données projet'!$B$14,Paramètres!$A$1:$I$89,3,0)*VLOOKUP('Données projet'!$B$14,Paramètres!$A$1:$I$89,5,0)</f>
        <v>255.53423999999993</v>
      </c>
      <c r="DQ91" s="13">
        <f t="shared" si="97"/>
        <v>61.769500671543469</v>
      </c>
      <c r="DR91" s="20">
        <f t="shared" si="70"/>
        <v>552.63734833627143</v>
      </c>
      <c r="DS91" s="59">
        <f t="shared" si="71"/>
        <v>840.66474940928697</v>
      </c>
      <c r="DT91" s="59">
        <f ca="1">AVERAGE(OFFSET($DS$3,0,0,'Données projet'!$E$14+1,1))-AVERAGE(OFFSET($H$3,0,0,'Données projet'!$E$14+1,1))</f>
        <v>405.29179902613089</v>
      </c>
      <c r="DU91" s="59">
        <f t="shared" si="98"/>
        <v>249.61049717638238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26.623662722211446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26.623662722211446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68.552927565367895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-5.6843418860808015E-13</v>
      </c>
      <c r="EK91" s="17">
        <f>EJ91*VLOOKUP('Données projet'!$B$15,Paramètres!$A$1:$I$89,3,0)*VLOOKUP('Données projet'!$B$15,Paramètres!$A$1:$I$89,5,0)</f>
        <v>-3.39923644787632E-13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444.77624981561257</v>
      </c>
      <c r="EP91" s="59">
        <f t="shared" si="100"/>
        <v>382.10319641527587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186.51732413774221</v>
      </c>
      <c r="EW91" s="21">
        <f>EXP(-LN(2)/25)*EW90+(1-EXP(-LN(2)/25))/(LN(2)/25)*Calculateur!ER91*Calculateur!ET91*VLOOKUP('Données projet'!$B$15,Paramètres!$A$1:$I$89,3,0)*0.475*44/12</f>
        <v>33.272412397474547</v>
      </c>
      <c r="EX91" s="21">
        <f>EXP(-LN(2)/2)*EX90+(1-EXP(-LN(2)/2))/(LN(2)/2)*ER91*EU91*VLOOKUP('Données projet'!$B$15,Paramètres!$A$1:$I$89,3,0)*0.475*44/12</f>
        <v>0.64216630250102846</v>
      </c>
      <c r="EY91" s="22">
        <f t="shared" si="75"/>
        <v>220.43190283771779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68.552927565367895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3.4106051316484809E-13</v>
      </c>
      <c r="FF91" s="17">
        <f>FE91*VLOOKUP('Données projet'!$B$16,Paramètres!$A$1:$I$89,3,0)*VLOOKUP('Données projet'!$B$16,Paramètres!$A$1:$I$89,5,0)</f>
        <v>1.5074874681886286E-13</v>
      </c>
      <c r="FG91" s="13">
        <f t="shared" si="101"/>
        <v>2.1590218794584103E-12</v>
      </c>
      <c r="FH91" s="20">
        <f t="shared" si="76"/>
        <v>4.0228505074329168E-12</v>
      </c>
      <c r="FI91" s="59">
        <f t="shared" si="77"/>
        <v>288.02740107301963</v>
      </c>
      <c r="FJ91" s="59">
        <f ca="1">AVERAGE(OFFSET($FI$3,0,0,'Données projet'!$E$16+1,1))-AVERAGE(OFFSET($H$3,0,0,'Données projet'!$E$16+1,1))</f>
        <v>508.71179785154317</v>
      </c>
      <c r="FK91" s="59">
        <f t="shared" si="102"/>
        <v>422.73937290731442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237.16111000439923</v>
      </c>
      <c r="FR91" s="21">
        <f>EXP(-LN(2)/25)*FR90+(1-EXP(-LN(2)/25))/(LN(2)/25)*Calculateur!FM91*Calculateur!FO91*VLOOKUP('Données projet'!$B$16,Paramètres!$A$1:$I$89,3,0)*0.475*44/12</f>
        <v>54.514329686221117</v>
      </c>
      <c r="FS91" s="21">
        <f>EXP(-LN(2)/2)*FS90+(1-EXP(-LN(2)/2))/(LN(2)/2)*FM91*FP91*VLOOKUP('Données projet'!$B$16,Paramètres!$A$1:$I$89,3,0)*0.475*44/12</f>
        <v>2.6918063715136671</v>
      </c>
      <c r="FT91" s="22">
        <f t="shared" si="78"/>
        <v>294.36724606213403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68.552927565367895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68.552927565367895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1.35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4.95</v>
      </c>
      <c r="H92" s="67">
        <f t="shared" si="56"/>
        <v>236.86666666666665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68.578031036939464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6.6</v>
      </c>
      <c r="N92" s="13">
        <f>IF('Données projet'!$A$36&gt;35,N91+M92-V91,IF(A92&lt;'Données projet'!$A$36,$K$205^A92,IF(A92='Données projet'!$A$36,'Données projet'!$B$36,N91+M92-V91)))</f>
        <v>351.40000000000015</v>
      </c>
      <c r="O92" s="13">
        <f>N92*VLOOKUP('Données projet'!$B$9,Paramètres!$A$1:$I$89,3,0)*VLOOKUP('Données projet'!$B$9,Paramètres!$A$1:$I$89,5,0)</f>
        <v>317.94672000000014</v>
      </c>
      <c r="P92" s="13">
        <f t="shared" si="87"/>
        <v>74.925968901822259</v>
      </c>
      <c r="Q92" s="20">
        <f t="shared" si="54"/>
        <v>684.25326650400723</v>
      </c>
      <c r="R92" s="59">
        <f t="shared" si="55"/>
        <v>972.37271363945194</v>
      </c>
      <c r="S92" s="59">
        <f ca="1">AVERAGE(OFFSET($R$3,0,0,'Données projet'!$E$9+1,1))-AVERAGE(OFFSET($H$3,0,0,'Données projet'!$E$9+1,1))</f>
        <v>466.90449882701591</v>
      </c>
      <c r="T92" s="59">
        <f t="shared" si="88"/>
        <v>283.37641704892053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25.881471066714564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25.881471066714564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68.578031036939464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5.4</v>
      </c>
      <c r="AI92" s="13">
        <f>IF('Données projet'!$A$62&gt;35,AI91+AH92-AQ91,IF(A92&lt;'Données projet'!$A$62,$AF$205^A92,IF(A92='Données projet'!$A$62,'Données projet'!$B$62,AI91+AH92-AQ91)))</f>
        <v>269.59999999999991</v>
      </c>
      <c r="AJ92" s="13">
        <f>AI92*VLOOKUP('Données projet'!$B$10,Paramètres!$A$1:$I$89,3,0)*VLOOKUP('Données projet'!$B$10,Paramètres!$A$1:$I$89,5,0)</f>
        <v>256.55135999999987</v>
      </c>
      <c r="AK92" s="13">
        <f t="shared" si="89"/>
        <v>61.986696970400146</v>
      </c>
      <c r="AL92" s="20">
        <f t="shared" si="58"/>
        <v>554.78711589011334</v>
      </c>
      <c r="AM92" s="59">
        <f t="shared" si="59"/>
        <v>842.90656302555806</v>
      </c>
      <c r="AN92" s="59">
        <f ca="1">AVERAGE(OFFSET($AM$3,0,0,'Données projet'!$E$10+1,1))-AVERAGE(OFFSET($H$3,0,0,'Données projet'!$E$10+1,1))</f>
        <v>399.5572791581468</v>
      </c>
      <c r="AO92" s="59">
        <f t="shared" si="90"/>
        <v>246.34185986079777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25.68059556513936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25.68059556513936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68.578031036939464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5.6843418860808015E-14</v>
      </c>
      <c r="BE92" s="13">
        <f>BD92*VLOOKUP('Données projet'!$B$11,Paramètres!$A$1:$I$89,3,0)*VLOOKUP('Données projet'!$B$11,Paramètres!$A$1:$I$89,5,0)</f>
        <v>4.4337866711430253E-14</v>
      </c>
      <c r="BF92" s="13">
        <f t="shared" si="91"/>
        <v>7.3222115536967035E-13</v>
      </c>
      <c r="BG92" s="20">
        <f t="shared" si="61"/>
        <v>1.3525069634579169E-12</v>
      </c>
      <c r="BH92" s="59">
        <f t="shared" si="62"/>
        <v>288.11944713544608</v>
      </c>
      <c r="BI92" s="59">
        <f ca="1">AVERAGE(OFFSET($BH$3,0,0,'Données projet'!$E$11+1,1))-AVERAGE(OFFSET($H$3,0,0,'Données projet'!$E$11+1,1))</f>
        <v>294.23449029791681</v>
      </c>
      <c r="BJ92" s="59">
        <f t="shared" si="92"/>
        <v>288.64639202306159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63.310611933624564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63.310611933624564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68.578031036939464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5.4</v>
      </c>
      <c r="BY92" s="12">
        <f>IF('Données projet'!$A$114&gt;35,BY91+BX92-CG91,IF(A92&lt;'Données projet'!$A$114,$BV$205^A92,IF(A92='Données projet'!$A$114,'Données projet'!$B$114,BY91+BX92-CG91)))</f>
        <v>269.59999999999991</v>
      </c>
      <c r="BZ92" s="13">
        <f>BY92*VLOOKUP('Données projet'!$B$12,Paramètres!$A$1:$I$89,3,0)*VLOOKUP('Données projet'!$B$12,Paramètres!$A$1:$I$89,5,0)</f>
        <v>290.19743999999986</v>
      </c>
      <c r="CA92" s="13">
        <f t="shared" si="93"/>
        <v>69.117514047966026</v>
      </c>
      <c r="CB92" s="20">
        <f t="shared" si="64"/>
        <v>625.80687830020725</v>
      </c>
      <c r="CC92" s="59">
        <f t="shared" si="65"/>
        <v>913.92632543565196</v>
      </c>
      <c r="CD92" s="59">
        <f ca="1">AVERAGE(OFFSET($CC$3,0,0,'Données projet'!$E$12+1,1))-AVERAGE(OFFSET($H$3,0,0,'Données projet'!$E$12+1,1))</f>
        <v>445.38112098358147</v>
      </c>
      <c r="CE92" s="59">
        <f t="shared" si="94"/>
        <v>272.45883568548516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29.048542524501904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29.048542524501904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68.578031036939464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5.4</v>
      </c>
      <c r="CT92" s="12">
        <f>IF('Données projet'!$A$140&gt;35,CT91+CS92-DB91,IF(A92&lt;'Données projet'!$A$140,$CQ$205^A92,IF(A92='Données projet'!$A$140,'Données projet'!$B$140,CT91+CS92-DB91)))</f>
        <v>269.59999999999991</v>
      </c>
      <c r="CU92" s="17">
        <f>CT92*VLOOKUP('Données projet'!$B$13,Paramètres!$A$1:$I$89,3,0)*VLOOKUP('Données projet'!$B$13,Paramètres!$A$1:$I$89,5,0)</f>
        <v>290.19743999999986</v>
      </c>
      <c r="CV92" s="13">
        <f t="shared" si="95"/>
        <v>69.117514047966026</v>
      </c>
      <c r="CW92" s="20">
        <f t="shared" si="67"/>
        <v>625.80687830020725</v>
      </c>
      <c r="CX92" s="59">
        <f t="shared" si="68"/>
        <v>913.92632543565196</v>
      </c>
      <c r="CY92" s="59">
        <f ca="1">AVERAGE(OFFSET($CX$3,0,0,'Données projet'!$E$13+1,1))-AVERAGE(OFFSET($H$3,0,0,'Données projet'!$E$13+1,1))</f>
        <v>445.38112098358147</v>
      </c>
      <c r="CZ92" s="59">
        <f t="shared" si="96"/>
        <v>272.45883568548516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29.048542524501904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29.048542524501904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68.578031036939464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5.4</v>
      </c>
      <c r="DO92" s="12">
        <f>IF('Données projet'!$A$166&gt;35,DO91+DN92-DW91,IF(A92&lt;'Données projet'!$A$166,$DL$205^A92,IF(A92='Données projet'!$A$166,'Données projet'!$B$166,DO91+DN92-DW91)))</f>
        <v>269.59999999999991</v>
      </c>
      <c r="DP92" s="17">
        <f>DO92*VLOOKUP('Données projet'!$B$14,Paramètres!$A$1:$I$89,3,0)*VLOOKUP('Données projet'!$B$14,Paramètres!$A$1:$I$89,5,0)</f>
        <v>260.75711999999987</v>
      </c>
      <c r="DQ92" s="13">
        <f t="shared" si="97"/>
        <v>62.883738022168366</v>
      </c>
      <c r="DR92" s="20">
        <f t="shared" si="70"/>
        <v>563.67449438860956</v>
      </c>
      <c r="DS92" s="59">
        <f t="shared" si="71"/>
        <v>851.79394152405428</v>
      </c>
      <c r="DT92" s="59">
        <f ca="1">AVERAGE(OFFSET($DS$3,0,0,'Données projet'!$E$14+1,1))-AVERAGE(OFFSET($H$3,0,0,'Données projet'!$E$14+1,1))</f>
        <v>405.29179902613089</v>
      </c>
      <c r="DU92" s="59">
        <f t="shared" si="98"/>
        <v>249.61049717638238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26.101588935059688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26.101588935059688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68.578031036939464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-5.6843418860808015E-13</v>
      </c>
      <c r="EK92" s="17">
        <f>EJ92*VLOOKUP('Données projet'!$B$15,Paramètres!$A$1:$I$89,3,0)*VLOOKUP('Données projet'!$B$15,Paramètres!$A$1:$I$89,5,0)</f>
        <v>-3.39923644787632E-13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444.77624981561257</v>
      </c>
      <c r="EP92" s="59">
        <f t="shared" si="100"/>
        <v>382.10319641527587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182.8598331757355</v>
      </c>
      <c r="EW92" s="21">
        <f>EXP(-LN(2)/25)*EW91+(1-EXP(-LN(2)/25))/(LN(2)/25)*Calculateur!ER92*Calculateur!ET92*VLOOKUP('Données projet'!$B$15,Paramètres!$A$1:$I$89,3,0)*0.475*44/12</f>
        <v>32.362576530745486</v>
      </c>
      <c r="EX92" s="21">
        <f>EXP(-LN(2)/2)*EX91+(1-EXP(-LN(2)/2))/(LN(2)/2)*ER92*EU92*VLOOKUP('Données projet'!$B$15,Paramètres!$A$1:$I$89,3,0)*0.475*44/12</f>
        <v>0.45408014714796907</v>
      </c>
      <c r="EY92" s="22">
        <f t="shared" si="75"/>
        <v>215.67648985362896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68.578031036939464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3.4106051316484809E-13</v>
      </c>
      <c r="FF92" s="17">
        <f>FE92*VLOOKUP('Données projet'!$B$16,Paramètres!$A$1:$I$89,3,0)*VLOOKUP('Données projet'!$B$16,Paramètres!$A$1:$I$89,5,0)</f>
        <v>1.5074874681886286E-13</v>
      </c>
      <c r="FG92" s="13">
        <f t="shared" si="101"/>
        <v>2.1590218794584103E-12</v>
      </c>
      <c r="FH92" s="20">
        <f t="shared" si="76"/>
        <v>4.0228505074329168E-12</v>
      </c>
      <c r="FI92" s="59">
        <f t="shared" si="77"/>
        <v>288.11944713544875</v>
      </c>
      <c r="FJ92" s="59">
        <f ca="1">AVERAGE(OFFSET($FI$3,0,0,'Données projet'!$E$16+1,1))-AVERAGE(OFFSET($H$3,0,0,'Données projet'!$E$16+1,1))</f>
        <v>508.71179785154317</v>
      </c>
      <c r="FK92" s="59">
        <f t="shared" si="102"/>
        <v>422.73937290731442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232.51052529120668</v>
      </c>
      <c r="FR92" s="21">
        <f>EXP(-LN(2)/25)*FR91+(1-EXP(-LN(2)/25))/(LN(2)/25)*Calculateur!FM92*Calculateur!FO92*VLOOKUP('Données projet'!$B$16,Paramètres!$A$1:$I$89,3,0)*0.475*44/12</f>
        <v>53.0236324741674</v>
      </c>
      <c r="FS92" s="21">
        <f>EXP(-LN(2)/2)*FS91+(1-EXP(-LN(2)/2))/(LN(2)/2)*FM92*FP92*VLOOKUP('Données projet'!$B$16,Paramètres!$A$1:$I$89,3,0)*0.475*44/12</f>
        <v>1.9033945389384692</v>
      </c>
      <c r="FT92" s="22">
        <f t="shared" si="78"/>
        <v>287.43755230431253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68.578031036939464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68.578031036939464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1.35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4.95</v>
      </c>
      <c r="H93" s="67">
        <f t="shared" si="56"/>
        <v>236.86666666666665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68.602699019402223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358</v>
      </c>
      <c r="L93" s="12">
        <f>VLOOKUP(A93,'Données projet'!$A$35:$I$55,9,0)</f>
        <v>6.6</v>
      </c>
      <c r="M93" s="12">
        <f t="array" ref="M93">INDEX(L:L,MIN(IF(ISNUMBER(L93:L289),ROW(L93:L289),"")))</f>
        <v>6.6</v>
      </c>
      <c r="N93" s="13">
        <f>IF('Données projet'!$A$36&gt;35,N92+M93-V92,IF(A93&lt;'Données projet'!$A$36,$K$205^A93,IF(A93='Données projet'!$A$36,'Données projet'!$B$36,N92+M93-V92)))</f>
        <v>358.00000000000017</v>
      </c>
      <c r="O93" s="13">
        <f>N93*VLOOKUP('Données projet'!$B$9,Paramètres!$A$1:$I$89,3,0)*VLOOKUP('Données projet'!$B$9,Paramètres!$A$1:$I$89,5,0)</f>
        <v>323.91840000000013</v>
      </c>
      <c r="P93" s="13">
        <f t="shared" si="87"/>
        <v>76.168074587293162</v>
      </c>
      <c r="Q93" s="20">
        <f t="shared" si="54"/>
        <v>696.8172765728691</v>
      </c>
      <c r="R93" s="59">
        <f t="shared" si="55"/>
        <v>985.02717297734398</v>
      </c>
      <c r="S93" s="59">
        <f ca="1">AVERAGE(OFFSET($R$3,0,0,'Données projet'!$E$9+1,1))-AVERAGE(OFFSET($H$3,0,0,'Données projet'!$E$9+1,1))</f>
        <v>466.90449882701591</v>
      </c>
      <c r="T93" s="59">
        <f t="shared" si="88"/>
        <v>283.37641704892053</v>
      </c>
      <c r="U93" s="15">
        <f>IF(ISNA(VLOOKUP(A93,'Données projet'!$A$35:$I$55,3,0)),0,VLOOKUP(A93,'Données projet'!$A$35:$I$55,3,0))</f>
        <v>15</v>
      </c>
      <c r="V93" s="15">
        <f>IF(ISNA(VLOOKUP(A93,'Données projet'!$A$35:$I$55,4,0)),0,VLOOKUP(A93,'Données projet'!$A$35:$I$55,4,0))</f>
        <v>56</v>
      </c>
      <c r="W93" s="16">
        <f>IF(ISNA(VLOOKUP(A93,'Données projet'!$A$35:$I$55,5,0)),0%,VLOOKUP(A93,'Données projet'!$A$35:$I$55,5,0)*VLOOKUP('Données projet'!$B$9,Paramètres!$A$1:$I$89,7,0))</f>
        <v>0.30099999999999999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42.233821332745109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42.233821332745109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68.602699019402223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275</v>
      </c>
      <c r="AG93" s="12">
        <f>VLOOKUP(A93,'Données projet'!$A$61:$I$81,9,0)</f>
        <v>5.4</v>
      </c>
      <c r="AH93" s="12">
        <f t="array" ref="AH93">INDEX(AG:AG,MIN(IF(ISNUMBER(AG93:AG289),ROW(AG93:AG289),"")))</f>
        <v>5.4</v>
      </c>
      <c r="AI93" s="13">
        <f>IF('Données projet'!$A$62&gt;35,AI92+AH93-AQ92,IF(A93&lt;'Données projet'!$A$62,$AF$205^A93,IF(A93='Données projet'!$A$62,'Données projet'!$B$62,AI92+AH93-AQ92)))</f>
        <v>274.99999999999989</v>
      </c>
      <c r="AJ93" s="13">
        <f>AI93*VLOOKUP('Données projet'!$B$10,Paramètres!$A$1:$I$89,3,0)*VLOOKUP('Données projet'!$B$10,Paramètres!$A$1:$I$89,5,0)</f>
        <v>261.68999999999988</v>
      </c>
      <c r="AK93" s="13">
        <f t="shared" si="89"/>
        <v>63.082481711546343</v>
      </c>
      <c r="AL93" s="20">
        <f t="shared" si="58"/>
        <v>565.64540564760966</v>
      </c>
      <c r="AM93" s="59">
        <f t="shared" si="59"/>
        <v>853.85530205208443</v>
      </c>
      <c r="AN93" s="59">
        <f ca="1">AVERAGE(OFFSET($AM$3,0,0,'Données projet'!$E$10+1,1))-AVERAGE(OFFSET($H$3,0,0,'Données projet'!$E$10+1,1))</f>
        <v>399.5572791581468</v>
      </c>
      <c r="AO93" s="59">
        <f t="shared" si="90"/>
        <v>246.34185986079777</v>
      </c>
      <c r="AP93" s="15">
        <f>IF(ISNA(VLOOKUP(A93,'Données projet'!$A$61:$I$81,3,0)),0,VLOOKUP(A93,'Données projet'!$A$61:$I$81,3,0))</f>
        <v>15</v>
      </c>
      <c r="AQ93" s="15">
        <f>IF(ISNA(VLOOKUP(A93,'Données projet'!$A$61:$I$81,4,0)),0,VLOOKUP(A93,'Données projet'!$A$61:$I$81,4,0))</f>
        <v>21</v>
      </c>
      <c r="AR93" s="16">
        <f>IF(ISNA(VLOOKUP(A93,'Données projet'!$A$61:$I$81,5,0)),0%,VLOOKUP(A93,'Données projet'!$A$61:$I$81,5,0)*VLOOKUP('Données projet'!$B$10,Paramètres!$A$1:$I$89,7,0))</f>
        <v>0.30099999999999999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31.826489390530451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31.826489390530451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68.602699019402223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5.6843418860808015E-14</v>
      </c>
      <c r="BE93" s="13">
        <f>BD93*VLOOKUP('Données projet'!$B$11,Paramètres!$A$1:$I$89,3,0)*VLOOKUP('Données projet'!$B$11,Paramètres!$A$1:$I$89,5,0)</f>
        <v>4.4337866711430253E-14</v>
      </c>
      <c r="BF93" s="13">
        <f t="shared" si="91"/>
        <v>7.3222115536967035E-13</v>
      </c>
      <c r="BG93" s="20">
        <f t="shared" si="61"/>
        <v>1.3525069634579169E-12</v>
      </c>
      <c r="BH93" s="59">
        <f t="shared" si="62"/>
        <v>288.20989640447618</v>
      </c>
      <c r="BI93" s="59">
        <f ca="1">AVERAGE(OFFSET($BH$3,0,0,'Données projet'!$E$11+1,1))-AVERAGE(OFFSET($H$3,0,0,'Données projet'!$E$11+1,1))</f>
        <v>294.23449029791681</v>
      </c>
      <c r="BJ93" s="59">
        <f t="shared" si="92"/>
        <v>288.64639202306159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62.069129449266484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62.069129449266484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68.602699019402223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275</v>
      </c>
      <c r="BW93" s="12">
        <f>VLOOKUP(A93,'Données projet'!$A$113:$I$133,9,0)</f>
        <v>5.4</v>
      </c>
      <c r="BX93" s="12">
        <f t="array" ref="BX93">INDEX(BW:BW,MIN(IF(ISNUMBER(BW93:BW289),ROW(BW93:BW289),"")))</f>
        <v>5.4</v>
      </c>
      <c r="BY93" s="12">
        <f>IF('Données projet'!$A$114&gt;35,BY92+BX93-CG92,IF(A93&lt;'Données projet'!$A$114,$BV$205^A93,IF(A93='Données projet'!$A$114,'Données projet'!$B$114,BY92+BX93-CG92)))</f>
        <v>274.99999999999989</v>
      </c>
      <c r="BZ93" s="13">
        <f>BY93*VLOOKUP('Données projet'!$B$12,Paramètres!$A$1:$I$89,3,0)*VLOOKUP('Données projet'!$B$12,Paramètres!$A$1:$I$89,5,0)</f>
        <v>296.00999999999988</v>
      </c>
      <c r="CA93" s="13">
        <f t="shared" si="93"/>
        <v>70.339355522692159</v>
      </c>
      <c r="CB93" s="20">
        <f t="shared" si="64"/>
        <v>638.0584608686886</v>
      </c>
      <c r="CC93" s="59">
        <f t="shared" si="65"/>
        <v>926.26835727316347</v>
      </c>
      <c r="CD93" s="59">
        <f ca="1">AVERAGE(OFFSET($CC$3,0,0,'Données projet'!$E$12+1,1))-AVERAGE(OFFSET($H$3,0,0,'Données projet'!$E$12+1,1))</f>
        <v>445.38112098358147</v>
      </c>
      <c r="CE93" s="59">
        <f t="shared" si="94"/>
        <v>272.45883568548516</v>
      </c>
      <c r="CF93" s="15">
        <f>IF(ISNA(VLOOKUP(A93,'Données projet'!$A$113:$I$133,3,0)),0,VLOOKUP(A93,'Données projet'!$A$113:$I$133,3,0))</f>
        <v>15</v>
      </c>
      <c r="CG93" s="15">
        <f>IF(ISNA(VLOOKUP(A93,'Données projet'!$A$113:$I$133,4,0)),0,VLOOKUP(A93,'Données projet'!$A$113:$I$133,4,0))</f>
        <v>21</v>
      </c>
      <c r="CH93" s="16">
        <f>IF(ISNA(VLOOKUP(A93,'Données projet'!$A$113:$I$133,5,0)),0%,VLOOKUP(A93,'Données projet'!$A$113:$I$133,5,0)*VLOOKUP('Données projet'!$B$12,Paramètres!$A$1:$I$89,7,0))</f>
        <v>0.30099999999999999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36.000455212239366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36.000455212239366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68.602699019402223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275</v>
      </c>
      <c r="CR93" s="12">
        <f>VLOOKUP(A93,'Données projet'!$A$139:$I$159,9,0)</f>
        <v>5.4</v>
      </c>
      <c r="CS93" s="12">
        <f t="array" ref="CS93">INDEX(CR:CR,MIN(IF(ISNUMBER(CR93:CR289),ROW(CR93:CR289),"")))</f>
        <v>5.4</v>
      </c>
      <c r="CT93" s="12">
        <f>IF('Données projet'!$A$140&gt;35,CT92+CS93-DB92,IF(A93&lt;'Données projet'!$A$140,$CQ$205^A93,IF(A93='Données projet'!$A$140,'Données projet'!$B$140,CT92+CS93-DB92)))</f>
        <v>274.99999999999989</v>
      </c>
      <c r="CU93" s="17">
        <f>CT93*VLOOKUP('Données projet'!$B$13,Paramètres!$A$1:$I$89,3,0)*VLOOKUP('Données projet'!$B$13,Paramètres!$A$1:$I$89,5,0)</f>
        <v>296.00999999999988</v>
      </c>
      <c r="CV93" s="13">
        <f t="shared" si="95"/>
        <v>70.339355522692159</v>
      </c>
      <c r="CW93" s="20">
        <f t="shared" si="67"/>
        <v>638.0584608686886</v>
      </c>
      <c r="CX93" s="59">
        <f t="shared" si="68"/>
        <v>926.26835727316347</v>
      </c>
      <c r="CY93" s="59">
        <f ca="1">AVERAGE(OFFSET($CX$3,0,0,'Données projet'!$E$13+1,1))-AVERAGE(OFFSET($H$3,0,0,'Données projet'!$E$13+1,1))</f>
        <v>445.38112098358147</v>
      </c>
      <c r="CZ93" s="59">
        <f t="shared" si="96"/>
        <v>272.45883568548516</v>
      </c>
      <c r="DA93" s="15">
        <f>IF(ISNA(VLOOKUP(A93,'Données projet'!$A$139:$I$159,3,0)),0,VLOOKUP(A93,'Données projet'!$A$139:$I$159,3,0))</f>
        <v>15</v>
      </c>
      <c r="DB93" s="15">
        <f>IF(ISNA(VLOOKUP(A93,'Données projet'!$A$139:$I$159,4,0)),0,VLOOKUP(A93,'Données projet'!$A$139:$I$159,4,0))</f>
        <v>21</v>
      </c>
      <c r="DC93" s="16">
        <f>IF(ISNA(VLOOKUP(A93,'Données projet'!$A$139:$I$159,5,0)),0%,VLOOKUP(A93,'Données projet'!$A$139:$I$159,5,0)*VLOOKUP('Données projet'!$B$13,Paramètres!$A$1:$I$89,7,0))</f>
        <v>0.30099999999999999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36.000455212239366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36.000455212239366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68.602699019402223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275</v>
      </c>
      <c r="DM93" s="12">
        <f>VLOOKUP(A93,'Données projet'!$A$165:$I$185,9,0)</f>
        <v>5.4</v>
      </c>
      <c r="DN93" s="12">
        <f t="array" ref="DN93">INDEX(DM:DM,MIN(IF(ISNUMBER(DM93:DM289),ROW(DM93:DM289),"")))</f>
        <v>5.4</v>
      </c>
      <c r="DO93" s="12">
        <f>IF('Données projet'!$A$166&gt;35,DO92+DN93-DW92,IF(A93&lt;'Données projet'!$A$166,$DL$205^A93,IF(A93='Données projet'!$A$166,'Données projet'!$B$166,DO92+DN93-DW92)))</f>
        <v>274.99999999999989</v>
      </c>
      <c r="DP93" s="17">
        <f>DO93*VLOOKUP('Données projet'!$B$14,Paramètres!$A$1:$I$89,3,0)*VLOOKUP('Données projet'!$B$14,Paramètres!$A$1:$I$89,5,0)</f>
        <v>265.9799999999999</v>
      </c>
      <c r="DQ93" s="13">
        <f t="shared" si="97"/>
        <v>63.995380422211589</v>
      </c>
      <c r="DR93" s="20">
        <f t="shared" si="70"/>
        <v>574.70712090201835</v>
      </c>
      <c r="DS93" s="59">
        <f t="shared" si="71"/>
        <v>862.91701730649311</v>
      </c>
      <c r="DT93" s="59">
        <f ca="1">AVERAGE(OFFSET($DS$3,0,0,'Données projet'!$E$14+1,1))-AVERAGE(OFFSET($H$3,0,0,'Données projet'!$E$14+1,1))</f>
        <v>405.29179902613089</v>
      </c>
      <c r="DU93" s="59">
        <f t="shared" si="98"/>
        <v>249.61049717638238</v>
      </c>
      <c r="DV93" s="15">
        <f>IF(ISNA(VLOOKUP(A93,'Données projet'!$A$165:$I$185,3,0)),0,VLOOKUP(A93,'Données projet'!$A$165:$I$185,3,0))</f>
        <v>15</v>
      </c>
      <c r="DW93" s="15">
        <f>IF(ISNA(VLOOKUP(A93,'Données projet'!$A$165:$I$185,4,0)),0,VLOOKUP(A93,'Données projet'!$A$165:$I$185,4,0))</f>
        <v>21</v>
      </c>
      <c r="DX93" s="16">
        <f>IF(ISNA(VLOOKUP(A93,'Données projet'!$A$165:$I$185,5,0)),0%,VLOOKUP(A93,'Données projet'!$A$165:$I$185,5,0)*VLOOKUP('Données projet'!$B$14,Paramètres!$A$1:$I$89,7,0))</f>
        <v>0.30099999999999999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32.348235118244077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32.348235118244077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68.602699019402223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-5.6843418860808015E-13</v>
      </c>
      <c r="EK93" s="17">
        <f>EJ93*VLOOKUP('Données projet'!$B$15,Paramètres!$A$1:$I$89,3,0)*VLOOKUP('Données projet'!$B$15,Paramètres!$A$1:$I$89,5,0)</f>
        <v>-3.39923644787632E-13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444.77624981561257</v>
      </c>
      <c r="EP93" s="59">
        <f t="shared" si="100"/>
        <v>382.10319641527587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179.27406338064455</v>
      </c>
      <c r="EW93" s="21">
        <f>EXP(-LN(2)/25)*EW92+(1-EXP(-LN(2)/25))/(LN(2)/25)*Calculateur!ER93*Calculateur!ET93*VLOOKUP('Données projet'!$B$15,Paramètres!$A$1:$I$89,3,0)*0.475*44/12</f>
        <v>31.477620173638318</v>
      </c>
      <c r="EX93" s="21">
        <f>EXP(-LN(2)/2)*EX92+(1-EXP(-LN(2)/2))/(LN(2)/2)*ER93*EU93*VLOOKUP('Données projet'!$B$15,Paramètres!$A$1:$I$89,3,0)*0.475*44/12</f>
        <v>0.32108315125051429</v>
      </c>
      <c r="EY93" s="22">
        <f t="shared" si="75"/>
        <v>211.07276670553338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68.602699019402223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3.4106051316484809E-13</v>
      </c>
      <c r="FF93" s="17">
        <f>FE93*VLOOKUP('Données projet'!$B$16,Paramètres!$A$1:$I$89,3,0)*VLOOKUP('Données projet'!$B$16,Paramètres!$A$1:$I$89,5,0)</f>
        <v>1.5074874681886286E-13</v>
      </c>
      <c r="FG93" s="13">
        <f t="shared" si="101"/>
        <v>2.1590218794584103E-12</v>
      </c>
      <c r="FH93" s="20">
        <f t="shared" si="76"/>
        <v>4.0228505074329168E-12</v>
      </c>
      <c r="FI93" s="59">
        <f t="shared" si="77"/>
        <v>288.20989640447885</v>
      </c>
      <c r="FJ93" s="59">
        <f ca="1">AVERAGE(OFFSET($FI$3,0,0,'Données projet'!$E$16+1,1))-AVERAGE(OFFSET($H$3,0,0,'Données projet'!$E$16+1,1))</f>
        <v>508.71179785154317</v>
      </c>
      <c r="FK93" s="59">
        <f t="shared" si="102"/>
        <v>422.73937290731442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227.95113570766324</v>
      </c>
      <c r="FR93" s="21">
        <f>EXP(-LN(2)/25)*FR92+(1-EXP(-LN(2)/25))/(LN(2)/25)*Calculateur!FM93*Calculateur!FO93*VLOOKUP('Données projet'!$B$16,Paramètres!$A$1:$I$89,3,0)*0.475*44/12</f>
        <v>51.573698455769645</v>
      </c>
      <c r="FS93" s="21">
        <f>EXP(-LN(2)/2)*FS92+(1-EXP(-LN(2)/2))/(LN(2)/2)*FM93*FP93*VLOOKUP('Données projet'!$B$16,Paramètres!$A$1:$I$89,3,0)*0.475*44/12</f>
        <v>1.3459031857568338</v>
      </c>
      <c r="FT93" s="22">
        <f t="shared" si="78"/>
        <v>280.87073734918971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68.602699019402223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68.602699019402223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1.35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4.95</v>
      </c>
      <c r="H94" s="67">
        <f t="shared" si="56"/>
        <v>236.86666666666665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68.626939067518592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6</v>
      </c>
      <c r="N94" s="13">
        <f>IF('Données projet'!$A$36&gt;35,N93+M94-V93,IF(A94&lt;'Données projet'!$A$36,$K$205^A94,IF(A94='Données projet'!$A$36,'Données projet'!$B$36,N93+M94-V93)))</f>
        <v>308.00000000000017</v>
      </c>
      <c r="O94" s="13">
        <f>N94*VLOOKUP('Données projet'!$B$9,Paramètres!$A$1:$I$89,3,0)*VLOOKUP('Données projet'!$B$9,Paramètres!$A$1:$I$89,5,0)</f>
        <v>278.67840000000018</v>
      </c>
      <c r="P94" s="13">
        <f t="shared" si="87"/>
        <v>66.687639951856809</v>
      </c>
      <c r="Q94" s="20">
        <f t="shared" si="54"/>
        <v>601.51251958281762</v>
      </c>
      <c r="R94" s="59">
        <f t="shared" si="55"/>
        <v>889.81129616371913</v>
      </c>
      <c r="S94" s="59">
        <f ca="1">AVERAGE(OFFSET($R$3,0,0,'Données projet'!$E$9+1,1))-AVERAGE(OFFSET($H$3,0,0,'Données projet'!$E$9+1,1))</f>
        <v>466.90449882701591</v>
      </c>
      <c r="T94" s="59">
        <f t="shared" si="88"/>
        <v>283.37641704892053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41.40564185649739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41.40564185649739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68.626939067518592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2.8</v>
      </c>
      <c r="AI94" s="13">
        <f>IF('Données projet'!$A$62&gt;35,AI93+AH94-AQ93,IF(A94&lt;'Données projet'!$A$62,$AF$205^A94,IF(A94='Données projet'!$A$62,'Données projet'!$B$62,AI93+AH94-AQ93)))</f>
        <v>256.7999999999999</v>
      </c>
      <c r="AJ94" s="13">
        <f>AI94*VLOOKUP('Données projet'!$B$10,Paramètres!$A$1:$I$89,3,0)*VLOOKUP('Données projet'!$B$10,Paramètres!$A$1:$I$89,5,0)</f>
        <v>244.37087999999991</v>
      </c>
      <c r="AK94" s="13">
        <f t="shared" si="89"/>
        <v>59.378956514447275</v>
      </c>
      <c r="AL94" s="20">
        <f t="shared" si="58"/>
        <v>529.03096526266211</v>
      </c>
      <c r="AM94" s="59">
        <f t="shared" si="59"/>
        <v>817.32974184356362</v>
      </c>
      <c r="AN94" s="59">
        <f ca="1">AVERAGE(OFFSET($AM$3,0,0,'Données projet'!$E$10+1,1))-AVERAGE(OFFSET($H$3,0,0,'Données projet'!$E$10+1,1))</f>
        <v>399.5572791581468</v>
      </c>
      <c r="AO94" s="59">
        <f t="shared" si="90"/>
        <v>246.34185986079777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31.202391345823877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31.202391345823877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68.626939067518592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5.6843418860808015E-14</v>
      </c>
      <c r="BE94" s="13">
        <f>BD94*VLOOKUP('Données projet'!$B$11,Paramètres!$A$1:$I$89,3,0)*VLOOKUP('Données projet'!$B$11,Paramètres!$A$1:$I$89,5,0)</f>
        <v>4.4337866711430253E-14</v>
      </c>
      <c r="BF94" s="13">
        <f t="shared" si="91"/>
        <v>7.3222115536967035E-13</v>
      </c>
      <c r="BG94" s="20">
        <f t="shared" si="61"/>
        <v>1.3525069634579169E-12</v>
      </c>
      <c r="BH94" s="59">
        <f t="shared" si="62"/>
        <v>288.29877658090288</v>
      </c>
      <c r="BI94" s="59">
        <f ca="1">AVERAGE(OFFSET($BH$3,0,0,'Données projet'!$E$11+1,1))-AVERAGE(OFFSET($H$3,0,0,'Données projet'!$E$11+1,1))</f>
        <v>294.23449029791681</v>
      </c>
      <c r="BJ94" s="59">
        <f t="shared" si="92"/>
        <v>288.64639202306159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60.85199167919712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60.85199167919712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68.626939067518592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2.8</v>
      </c>
      <c r="BY94" s="12">
        <f>IF('Données projet'!$A$114&gt;35,BY93+BX94-CG93,IF(A94&lt;'Données projet'!$A$114,$BV$205^A94,IF(A94='Données projet'!$A$114,'Données projet'!$B$114,BY93+BX94-CG93)))</f>
        <v>256.7999999999999</v>
      </c>
      <c r="BZ94" s="13">
        <f>BY94*VLOOKUP('Données projet'!$B$12,Paramètres!$A$1:$I$89,3,0)*VLOOKUP('Données projet'!$B$12,Paramètres!$A$1:$I$89,5,0)</f>
        <v>276.41951999999986</v>
      </c>
      <c r="CA94" s="13">
        <f t="shared" si="93"/>
        <v>66.209784705913108</v>
      </c>
      <c r="CB94" s="20">
        <f t="shared" si="64"/>
        <v>596.74603902946512</v>
      </c>
      <c r="CC94" s="59">
        <f t="shared" si="65"/>
        <v>885.04481561036664</v>
      </c>
      <c r="CD94" s="59">
        <f ca="1">AVERAGE(OFFSET($CC$3,0,0,'Données projet'!$E$12+1,1))-AVERAGE(OFFSET($H$3,0,0,'Données projet'!$E$12+1,1))</f>
        <v>445.38112098358147</v>
      </c>
      <c r="CE94" s="59">
        <f t="shared" si="94"/>
        <v>272.45883568548516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35.294508243636848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35.294508243636848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68.626939067518592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2.8</v>
      </c>
      <c r="CT94" s="12">
        <f>IF('Données projet'!$A$140&gt;35,CT93+CS94-DB93,IF(A94&lt;'Données projet'!$A$140,$CQ$205^A94,IF(A94='Données projet'!$A$140,'Données projet'!$B$140,CT93+CS94-DB93)))</f>
        <v>256.7999999999999</v>
      </c>
      <c r="CU94" s="17">
        <f>CT94*VLOOKUP('Données projet'!$B$13,Paramètres!$A$1:$I$89,3,0)*VLOOKUP('Données projet'!$B$13,Paramètres!$A$1:$I$89,5,0)</f>
        <v>276.41951999999986</v>
      </c>
      <c r="CV94" s="13">
        <f t="shared" si="95"/>
        <v>66.209784705913108</v>
      </c>
      <c r="CW94" s="20">
        <f t="shared" si="67"/>
        <v>596.74603902946512</v>
      </c>
      <c r="CX94" s="59">
        <f t="shared" si="68"/>
        <v>885.04481561036664</v>
      </c>
      <c r="CY94" s="59">
        <f ca="1">AVERAGE(OFFSET($CX$3,0,0,'Données projet'!$E$13+1,1))-AVERAGE(OFFSET($H$3,0,0,'Données projet'!$E$13+1,1))</f>
        <v>445.38112098358147</v>
      </c>
      <c r="CZ94" s="59">
        <f t="shared" si="96"/>
        <v>272.45883568548516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35.294508243636848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35.294508243636848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68.626939067518592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2.8</v>
      </c>
      <c r="DO94" s="12">
        <f>IF('Données projet'!$A$166&gt;35,DO93+DN94-DW93,IF(A94&lt;'Données projet'!$A$166,$DL$205^A94,IF(A94='Données projet'!$A$166,'Données projet'!$B$166,DO93+DN94-DW93)))</f>
        <v>256.7999999999999</v>
      </c>
      <c r="DP94" s="17">
        <f>DO94*VLOOKUP('Données projet'!$B$14,Paramètres!$A$1:$I$89,3,0)*VLOOKUP('Données projet'!$B$14,Paramètres!$A$1:$I$89,5,0)</f>
        <v>248.37695999999988</v>
      </c>
      <c r="DQ94" s="13">
        <f t="shared" si="97"/>
        <v>60.238259626372319</v>
      </c>
      <c r="DR94" s="20">
        <f t="shared" si="70"/>
        <v>537.50484084926495</v>
      </c>
      <c r="DS94" s="59">
        <f t="shared" si="71"/>
        <v>825.80361743016647</v>
      </c>
      <c r="DT94" s="59">
        <f ca="1">AVERAGE(OFFSET($DS$3,0,0,'Données projet'!$E$14+1,1))-AVERAGE(OFFSET($H$3,0,0,'Données projet'!$E$14+1,1))</f>
        <v>405.29179902613089</v>
      </c>
      <c r="DU94" s="59">
        <f t="shared" si="98"/>
        <v>249.61049717638238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31.71390595805051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31.71390595805051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68.626939067518592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-5.6843418860808015E-13</v>
      </c>
      <c r="EK94" s="17">
        <f>EJ94*VLOOKUP('Données projet'!$B$15,Paramètres!$A$1:$I$89,3,0)*VLOOKUP('Données projet'!$B$15,Paramètres!$A$1:$I$89,5,0)</f>
        <v>-3.39923644787632E-13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444.77624981561257</v>
      </c>
      <c r="EP94" s="59">
        <f t="shared" si="100"/>
        <v>382.10319641527587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175.75860834413172</v>
      </c>
      <c r="EW94" s="21">
        <f>EXP(-LN(2)/25)*EW93+(1-EXP(-LN(2)/25))/(LN(2)/25)*Calculateur!ER94*Calculateur!ET94*VLOOKUP('Données projet'!$B$15,Paramètres!$A$1:$I$89,3,0)*0.475*44/12</f>
        <v>30.616862994654078</v>
      </c>
      <c r="EX94" s="21">
        <f>EXP(-LN(2)/2)*EX93+(1-EXP(-LN(2)/2))/(LN(2)/2)*ER94*EU94*VLOOKUP('Données projet'!$B$15,Paramètres!$A$1:$I$89,3,0)*0.475*44/12</f>
        <v>0.22704007357398456</v>
      </c>
      <c r="EY94" s="22">
        <f t="shared" si="75"/>
        <v>206.60251141235977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68.626939067518592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3.4106051316484809E-13</v>
      </c>
      <c r="FF94" s="17">
        <f>FE94*VLOOKUP('Données projet'!$B$16,Paramètres!$A$1:$I$89,3,0)*VLOOKUP('Données projet'!$B$16,Paramètres!$A$1:$I$89,5,0)</f>
        <v>1.5074874681886286E-13</v>
      </c>
      <c r="FG94" s="13">
        <f t="shared" si="101"/>
        <v>2.1590218794584103E-12</v>
      </c>
      <c r="FH94" s="20">
        <f t="shared" si="76"/>
        <v>4.0228505074329168E-12</v>
      </c>
      <c r="FI94" s="59">
        <f t="shared" si="77"/>
        <v>288.29877658090555</v>
      </c>
      <c r="FJ94" s="59">
        <f ca="1">AVERAGE(OFFSET($FI$3,0,0,'Données projet'!$E$16+1,1))-AVERAGE(OFFSET($H$3,0,0,'Données projet'!$E$16+1,1))</f>
        <v>508.71179785154317</v>
      </c>
      <c r="FK94" s="59">
        <f t="shared" si="102"/>
        <v>422.73937290731442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223.48115297290005</v>
      </c>
      <c r="FR94" s="21">
        <f>EXP(-LN(2)/25)*FR93+(1-EXP(-LN(2)/25))/(LN(2)/25)*Calculateur!FM94*Calculateur!FO94*VLOOKUP('Données projet'!$B$16,Paramètres!$A$1:$I$89,3,0)*0.475*44/12</f>
        <v>50.163412959353693</v>
      </c>
      <c r="FS94" s="21">
        <f>EXP(-LN(2)/2)*FS93+(1-EXP(-LN(2)/2))/(LN(2)/2)*FM94*FP94*VLOOKUP('Données projet'!$B$16,Paramètres!$A$1:$I$89,3,0)*0.475*44/12</f>
        <v>0.95169726946923472</v>
      </c>
      <c r="FT94" s="22">
        <f t="shared" si="78"/>
        <v>274.59626320172293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68.626939067518592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68.626939067518592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1.35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4.95</v>
      </c>
      <c r="H95" s="67">
        <f t="shared" si="56"/>
        <v>236.86666666666665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68.650758604992774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6</v>
      </c>
      <c r="N95" s="13">
        <f>IF('Données projet'!$A$36&gt;35,N94+M95-V94,IF(A95&lt;'Données projet'!$A$36,$K$205^A95,IF(A95='Données projet'!$A$36,'Données projet'!$B$36,N94+M95-V94)))</f>
        <v>314.00000000000017</v>
      </c>
      <c r="O95" s="13">
        <f>N95*VLOOKUP('Données projet'!$B$9,Paramètres!$A$1:$I$89,3,0)*VLOOKUP('Données projet'!$B$9,Paramètres!$A$1:$I$89,5,0)</f>
        <v>284.10720000000015</v>
      </c>
      <c r="P95" s="13">
        <f t="shared" si="87"/>
        <v>67.834241327943772</v>
      </c>
      <c r="Q95" s="20">
        <f t="shared" si="54"/>
        <v>612.96467697950231</v>
      </c>
      <c r="R95" s="59">
        <f t="shared" si="55"/>
        <v>901.35079186447581</v>
      </c>
      <c r="S95" s="59">
        <f ca="1">AVERAGE(OFFSET($R$3,0,0,'Données projet'!$E$9+1,1))-AVERAGE(OFFSET($H$3,0,0,'Données projet'!$E$9+1,1))</f>
        <v>466.90449882701591</v>
      </c>
      <c r="T95" s="59">
        <f t="shared" si="88"/>
        <v>283.37641704892053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40.593702474639286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40.593702474639286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68.650758604992774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2.8</v>
      </c>
      <c r="AI95" s="13">
        <f>IF('Données projet'!$A$62&gt;35,AI94+AH95-AQ94,IF(A95&lt;'Données projet'!$A$62,$AF$205^A95,IF(A95='Données projet'!$A$62,'Données projet'!$B$62,AI94+AH95-AQ94)))</f>
        <v>259.59999999999991</v>
      </c>
      <c r="AJ95" s="13">
        <f>AI95*VLOOKUP('Données projet'!$B$10,Paramètres!$A$1:$I$89,3,0)*VLOOKUP('Données projet'!$B$10,Paramètres!$A$1:$I$89,5,0)</f>
        <v>247.03535999999991</v>
      </c>
      <c r="AK95" s="13">
        <f t="shared" si="89"/>
        <v>59.950667728813784</v>
      </c>
      <c r="AL95" s="20">
        <f t="shared" si="58"/>
        <v>534.66733162768389</v>
      </c>
      <c r="AM95" s="59">
        <f t="shared" si="59"/>
        <v>823.05344651265739</v>
      </c>
      <c r="AN95" s="59">
        <f ca="1">AVERAGE(OFFSET($AM$3,0,0,'Données projet'!$E$10+1,1))-AVERAGE(OFFSET($H$3,0,0,'Données projet'!$E$10+1,1))</f>
        <v>399.5572791581468</v>
      </c>
      <c r="AO95" s="59">
        <f t="shared" si="90"/>
        <v>246.34185986079777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30.590531483111778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30.590531483111778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68.650758604992774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5.6843418860808015E-14</v>
      </c>
      <c r="BE95" s="13">
        <f>BD95*VLOOKUP('Données projet'!$B$11,Paramètres!$A$1:$I$89,3,0)*VLOOKUP('Données projet'!$B$11,Paramètres!$A$1:$I$89,5,0)</f>
        <v>4.4337866711430253E-14</v>
      </c>
      <c r="BF95" s="13">
        <f t="shared" si="91"/>
        <v>7.3222115536967035E-13</v>
      </c>
      <c r="BG95" s="20">
        <f t="shared" si="61"/>
        <v>1.3525069634579169E-12</v>
      </c>
      <c r="BH95" s="59">
        <f t="shared" si="62"/>
        <v>288.38611488497486</v>
      </c>
      <c r="BI95" s="59">
        <f ca="1">AVERAGE(OFFSET($BH$3,0,0,'Données projet'!$E$11+1,1))-AVERAGE(OFFSET($H$3,0,0,'Données projet'!$E$11+1,1))</f>
        <v>294.23449029791681</v>
      </c>
      <c r="BJ95" s="59">
        <f t="shared" si="92"/>
        <v>288.64639202306159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59.658721238418082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59.658721238418082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68.650758604992774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2.8</v>
      </c>
      <c r="BY95" s="12">
        <f>IF('Données projet'!$A$114&gt;35,BY94+BX95-CG94,IF(A95&lt;'Données projet'!$A$114,$BV$205^A95,IF(A95='Données projet'!$A$114,'Données projet'!$B$114,BY94+BX95-CG94)))</f>
        <v>259.59999999999991</v>
      </c>
      <c r="BZ95" s="13">
        <f>BY95*VLOOKUP('Données projet'!$B$12,Paramètres!$A$1:$I$89,3,0)*VLOOKUP('Données projet'!$B$12,Paramètres!$A$1:$I$89,5,0)</f>
        <v>279.43343999999985</v>
      </c>
      <c r="CA95" s="13">
        <f t="shared" si="93"/>
        <v>66.847264355929397</v>
      </c>
      <c r="CB95" s="20">
        <f t="shared" si="64"/>
        <v>603.1055600865767</v>
      </c>
      <c r="CC95" s="59">
        <f t="shared" si="65"/>
        <v>891.4916749715502</v>
      </c>
      <c r="CD95" s="59">
        <f ca="1">AVERAGE(OFFSET($CC$3,0,0,'Données projet'!$E$12+1,1))-AVERAGE(OFFSET($H$3,0,0,'Données projet'!$E$12+1,1))</f>
        <v>445.38112098358147</v>
      </c>
      <c r="CE95" s="59">
        <f t="shared" si="94"/>
        <v>272.45883568548516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34.602404464503493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34.602404464503493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68.650758604992774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2.8</v>
      </c>
      <c r="CT95" s="12">
        <f>IF('Données projet'!$A$140&gt;35,CT94+CS95-DB94,IF(A95&lt;'Données projet'!$A$140,$CQ$205^A95,IF(A95='Données projet'!$A$140,'Données projet'!$B$140,CT94+CS95-DB94)))</f>
        <v>259.59999999999991</v>
      </c>
      <c r="CU95" s="17">
        <f>CT95*VLOOKUP('Données projet'!$B$13,Paramètres!$A$1:$I$89,3,0)*VLOOKUP('Données projet'!$B$13,Paramètres!$A$1:$I$89,5,0)</f>
        <v>279.43343999999985</v>
      </c>
      <c r="CV95" s="13">
        <f t="shared" si="95"/>
        <v>66.847264355929397</v>
      </c>
      <c r="CW95" s="20">
        <f t="shared" si="67"/>
        <v>603.1055600865767</v>
      </c>
      <c r="CX95" s="59">
        <f t="shared" si="68"/>
        <v>891.4916749715502</v>
      </c>
      <c r="CY95" s="59">
        <f ca="1">AVERAGE(OFFSET($CX$3,0,0,'Données projet'!$E$13+1,1))-AVERAGE(OFFSET($H$3,0,0,'Données projet'!$E$13+1,1))</f>
        <v>445.38112098358147</v>
      </c>
      <c r="CZ95" s="59">
        <f t="shared" si="96"/>
        <v>272.45883568548516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34.602404464503493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34.602404464503493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68.650758604992774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2.8</v>
      </c>
      <c r="DO95" s="12">
        <f>IF('Données projet'!$A$166&gt;35,DO94+DN95-DW94,IF(A95&lt;'Données projet'!$A$166,$DL$205^A95,IF(A95='Données projet'!$A$166,'Données projet'!$B$166,DO94+DN95-DW94)))</f>
        <v>259.59999999999991</v>
      </c>
      <c r="DP95" s="17">
        <f>DO95*VLOOKUP('Données projet'!$B$14,Paramètres!$A$1:$I$89,3,0)*VLOOKUP('Données projet'!$B$14,Paramètres!$A$1:$I$89,5,0)</f>
        <v>251.0851199999999</v>
      </c>
      <c r="DQ95" s="13">
        <f t="shared" si="97"/>
        <v>60.818244364802993</v>
      </c>
      <c r="DR95" s="20">
        <f t="shared" si="70"/>
        <v>543.231692935365</v>
      </c>
      <c r="DS95" s="59">
        <f t="shared" si="71"/>
        <v>831.6178078203385</v>
      </c>
      <c r="DT95" s="59">
        <f ca="1">AVERAGE(OFFSET($DS$3,0,0,'Données projet'!$E$14+1,1))-AVERAGE(OFFSET($H$3,0,0,'Données projet'!$E$14+1,1))</f>
        <v>405.29179902613089</v>
      </c>
      <c r="DU95" s="59">
        <f t="shared" si="98"/>
        <v>249.61049717638238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31.092015605785754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31.092015605785754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68.650758604992774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-5.6843418860808015E-13</v>
      </c>
      <c r="EK95" s="17">
        <f>EJ95*VLOOKUP('Données projet'!$B$15,Paramètres!$A$1:$I$89,3,0)*VLOOKUP('Données projet'!$B$15,Paramètres!$A$1:$I$89,5,0)</f>
        <v>-3.39923644787632E-13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444.77624981561257</v>
      </c>
      <c r="EP95" s="59">
        <f t="shared" si="100"/>
        <v>382.10319641527587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172.31208923666904</v>
      </c>
      <c r="EW95" s="21">
        <f>EXP(-LN(2)/25)*EW94+(1-EXP(-LN(2)/25))/(LN(2)/25)*Calculateur!ER95*Calculateur!ET95*VLOOKUP('Données projet'!$B$15,Paramètres!$A$1:$I$89,3,0)*0.475*44/12</f>
        <v>29.779643265994412</v>
      </c>
      <c r="EX95" s="21">
        <f>EXP(-LN(2)/2)*EX94+(1-EXP(-LN(2)/2))/(LN(2)/2)*ER95*EU95*VLOOKUP('Données projet'!$B$15,Paramètres!$A$1:$I$89,3,0)*0.475*44/12</f>
        <v>0.16054157562525717</v>
      </c>
      <c r="EY95" s="22">
        <f t="shared" si="75"/>
        <v>202.25227407828871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68.650758604992774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3.4106051316484809E-13</v>
      </c>
      <c r="FF95" s="17">
        <f>FE95*VLOOKUP('Données projet'!$B$16,Paramètres!$A$1:$I$89,3,0)*VLOOKUP('Données projet'!$B$16,Paramètres!$A$1:$I$89,5,0)</f>
        <v>1.5074874681886286E-13</v>
      </c>
      <c r="FG95" s="13">
        <f t="shared" si="101"/>
        <v>2.1590218794584103E-12</v>
      </c>
      <c r="FH95" s="20">
        <f t="shared" si="76"/>
        <v>4.0228505074329168E-12</v>
      </c>
      <c r="FI95" s="59">
        <f t="shared" si="77"/>
        <v>288.38611488497753</v>
      </c>
      <c r="FJ95" s="59">
        <f ca="1">AVERAGE(OFFSET($FI$3,0,0,'Données projet'!$E$16+1,1))-AVERAGE(OFFSET($H$3,0,0,'Données projet'!$E$16+1,1))</f>
        <v>508.71179785154317</v>
      </c>
      <c r="FK95" s="59">
        <f t="shared" si="102"/>
        <v>422.73937290731442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219.09882387314531</v>
      </c>
      <c r="FR95" s="21">
        <f>EXP(-LN(2)/25)*FR94+(1-EXP(-LN(2)/25))/(LN(2)/25)*Calculateur!FM95*Calculateur!FO95*VLOOKUP('Données projet'!$B$16,Paramètres!$A$1:$I$89,3,0)*0.475*44/12</f>
        <v>48.791691794000926</v>
      </c>
      <c r="FS95" s="21">
        <f>EXP(-LN(2)/2)*FS94+(1-EXP(-LN(2)/2))/(LN(2)/2)*FM95*FP95*VLOOKUP('Données projet'!$B$16,Paramètres!$A$1:$I$89,3,0)*0.475*44/12</f>
        <v>0.67295159287841699</v>
      </c>
      <c r="FT95" s="22">
        <f t="shared" si="78"/>
        <v>268.56346726002465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68.650758604992774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68.650758604992774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1.35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4.95</v>
      </c>
      <c r="H96" s="67">
        <f t="shared" si="56"/>
        <v>236.86666666666665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68.674164926744282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6</v>
      </c>
      <c r="N96" s="13">
        <f>IF('Données projet'!$A$36&gt;35,N95+M96-V95,IF(A96&lt;'Données projet'!$A$36,$K$205^A96,IF(A96='Données projet'!$A$36,'Données projet'!$B$36,N95+M96-V95)))</f>
        <v>320.00000000000017</v>
      </c>
      <c r="O96" s="13">
        <f>N96*VLOOKUP('Données projet'!$B$9,Paramètres!$A$1:$I$89,3,0)*VLOOKUP('Données projet'!$B$9,Paramètres!$A$1:$I$89,5,0)</f>
        <v>289.53600000000012</v>
      </c>
      <c r="P96" s="13">
        <f t="shared" si="87"/>
        <v>68.978295099044416</v>
      </c>
      <c r="Q96" s="20">
        <f t="shared" si="54"/>
        <v>624.41239729750248</v>
      </c>
      <c r="R96" s="59">
        <f t="shared" si="55"/>
        <v>912.88433536223147</v>
      </c>
      <c r="S96" s="59">
        <f ca="1">AVERAGE(OFFSET($R$3,0,0,'Données projet'!$E$9+1,1))-AVERAGE(OFFSET($H$3,0,0,'Données projet'!$E$9+1,1))</f>
        <v>466.90449882701591</v>
      </c>
      <c r="T96" s="59">
        <f t="shared" si="88"/>
        <v>283.37641704892053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39.797684728825303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39.797684728825303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68.674164926744282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2.8</v>
      </c>
      <c r="AI96" s="13">
        <f>IF('Données projet'!$A$62&gt;35,AI95+AH96-AQ95,IF(A96&lt;'Données projet'!$A$62,$AF$205^A96,IF(A96='Données projet'!$A$62,'Données projet'!$B$62,AI95+AH96-AQ95)))</f>
        <v>262.39999999999992</v>
      </c>
      <c r="AJ96" s="13">
        <f>AI96*VLOOKUP('Données projet'!$B$10,Paramètres!$A$1:$I$89,3,0)*VLOOKUP('Données projet'!$B$10,Paramètres!$A$1:$I$89,5,0)</f>
        <v>249.69983999999991</v>
      </c>
      <c r="AK96" s="13">
        <f t="shared" si="89"/>
        <v>60.521661612597903</v>
      </c>
      <c r="AL96" s="20">
        <f t="shared" si="58"/>
        <v>540.30244864194117</v>
      </c>
      <c r="AM96" s="59">
        <f t="shared" si="59"/>
        <v>828.77438670667016</v>
      </c>
      <c r="AN96" s="59">
        <f ca="1">AVERAGE(OFFSET($AM$3,0,0,'Données projet'!$E$10+1,1))-AVERAGE(OFFSET($H$3,0,0,'Données projet'!$E$10+1,1))</f>
        <v>399.5572791581468</v>
      </c>
      <c r="AO96" s="59">
        <f t="shared" si="90"/>
        <v>246.34185986079777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29.990669819109797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29.990669819109797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68.674164926744282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5.6843418860808015E-14</v>
      </c>
      <c r="BE96" s="13">
        <f>BD96*VLOOKUP('Données projet'!$B$11,Paramètres!$A$1:$I$89,3,0)*VLOOKUP('Données projet'!$B$11,Paramètres!$A$1:$I$89,5,0)</f>
        <v>4.4337866711430253E-14</v>
      </c>
      <c r="BF96" s="13">
        <f t="shared" si="91"/>
        <v>7.3222115536967035E-13</v>
      </c>
      <c r="BG96" s="20">
        <f t="shared" si="61"/>
        <v>1.3525069634579169E-12</v>
      </c>
      <c r="BH96" s="59">
        <f t="shared" si="62"/>
        <v>288.47193806473041</v>
      </c>
      <c r="BI96" s="59">
        <f ca="1">AVERAGE(OFFSET($BH$3,0,0,'Données projet'!$E$11+1,1))-AVERAGE(OFFSET($H$3,0,0,'Données projet'!$E$11+1,1))</f>
        <v>294.23449029791681</v>
      </c>
      <c r="BJ96" s="59">
        <f t="shared" si="92"/>
        <v>288.64639202306159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58.488850103159621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58.488850103159621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68.674164926744282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2.8</v>
      </c>
      <c r="BY96" s="12">
        <f>IF('Données projet'!$A$114&gt;35,BY95+BX96-CG95,IF(A96&lt;'Données projet'!$A$114,$BV$205^A96,IF(A96='Données projet'!$A$114,'Données projet'!$B$114,BY95+BX96-CG95)))</f>
        <v>262.39999999999992</v>
      </c>
      <c r="BZ96" s="13">
        <f>BY96*VLOOKUP('Données projet'!$B$12,Paramètres!$A$1:$I$89,3,0)*VLOOKUP('Données projet'!$B$12,Paramètres!$A$1:$I$89,5,0)</f>
        <v>282.44735999999989</v>
      </c>
      <c r="CA96" s="13">
        <f t="shared" si="93"/>
        <v>67.48394415518699</v>
      </c>
      <c r="CB96" s="20">
        <f t="shared" si="64"/>
        <v>609.46368807028375</v>
      </c>
      <c r="CC96" s="59">
        <f t="shared" si="65"/>
        <v>897.93562613501285</v>
      </c>
      <c r="CD96" s="59">
        <f ca="1">AVERAGE(OFFSET($CC$3,0,0,'Données projet'!$E$12+1,1))-AVERAGE(OFFSET($H$3,0,0,'Données projet'!$E$12+1,1))</f>
        <v>445.38112098358147</v>
      </c>
      <c r="CE96" s="59">
        <f t="shared" si="94"/>
        <v>272.45883568548516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33.923872418337318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33.923872418337318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68.674164926744282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2.8</v>
      </c>
      <c r="CT96" s="12">
        <f>IF('Données projet'!$A$140&gt;35,CT95+CS96-DB95,IF(A96&lt;'Données projet'!$A$140,$CQ$205^A96,IF(A96='Données projet'!$A$140,'Données projet'!$B$140,CT95+CS96-DB95)))</f>
        <v>262.39999999999992</v>
      </c>
      <c r="CU96" s="17">
        <f>CT96*VLOOKUP('Données projet'!$B$13,Paramètres!$A$1:$I$89,3,0)*VLOOKUP('Données projet'!$B$13,Paramètres!$A$1:$I$89,5,0)</f>
        <v>282.44735999999989</v>
      </c>
      <c r="CV96" s="13">
        <f t="shared" si="95"/>
        <v>67.48394415518699</v>
      </c>
      <c r="CW96" s="20">
        <f t="shared" si="67"/>
        <v>609.46368807028375</v>
      </c>
      <c r="CX96" s="59">
        <f t="shared" si="68"/>
        <v>897.93562613501285</v>
      </c>
      <c r="CY96" s="59">
        <f ca="1">AVERAGE(OFFSET($CX$3,0,0,'Données projet'!$E$13+1,1))-AVERAGE(OFFSET($H$3,0,0,'Données projet'!$E$13+1,1))</f>
        <v>445.38112098358147</v>
      </c>
      <c r="CZ96" s="59">
        <f t="shared" si="96"/>
        <v>272.45883568548516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33.923872418337318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33.923872418337318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68.674164926744282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2.8</v>
      </c>
      <c r="DO96" s="12">
        <f>IF('Données projet'!$A$166&gt;35,DO95+DN96-DW95,IF(A96&lt;'Données projet'!$A$166,$DL$205^A96,IF(A96='Données projet'!$A$166,'Données projet'!$B$166,DO95+DN96-DW95)))</f>
        <v>262.39999999999992</v>
      </c>
      <c r="DP96" s="17">
        <f>DO96*VLOOKUP('Données projet'!$B$14,Paramètres!$A$1:$I$89,3,0)*VLOOKUP('Données projet'!$B$14,Paramètres!$A$1:$I$89,5,0)</f>
        <v>253.79327999999995</v>
      </c>
      <c r="DQ96" s="13">
        <f t="shared" si="97"/>
        <v>61.39750139179521</v>
      </c>
      <c r="DR96" s="20">
        <f t="shared" si="70"/>
        <v>548.95727759070985</v>
      </c>
      <c r="DS96" s="59">
        <f t="shared" si="71"/>
        <v>837.42921565543884</v>
      </c>
      <c r="DT96" s="59">
        <f ca="1">AVERAGE(OFFSET($DS$3,0,0,'Données projet'!$E$14+1,1))-AVERAGE(OFFSET($H$3,0,0,'Données projet'!$E$14+1,1))</f>
        <v>405.29179902613089</v>
      </c>
      <c r="DU96" s="59">
        <f t="shared" si="98"/>
        <v>249.61049717638238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30.482320144013251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30.482320144013251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68.674164926744282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-5.6843418860808015E-13</v>
      </c>
      <c r="EK96" s="17">
        <f>EJ96*VLOOKUP('Données projet'!$B$15,Paramètres!$A$1:$I$89,3,0)*VLOOKUP('Données projet'!$B$15,Paramètres!$A$1:$I$89,5,0)</f>
        <v>-3.39923644787632E-13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444.77624981561257</v>
      </c>
      <c r="EP96" s="59">
        <f t="shared" si="100"/>
        <v>382.10319641527587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168.93315426673462</v>
      </c>
      <c r="EW96" s="21">
        <f>EXP(-LN(2)/25)*EW95+(1-EXP(-LN(2)/25))/(LN(2)/25)*Calculateur!ER96*Calculateur!ET96*VLOOKUP('Données projet'!$B$15,Paramètres!$A$1:$I$89,3,0)*0.475*44/12</f>
        <v>28.965317354842419</v>
      </c>
      <c r="EX96" s="21">
        <f>EXP(-LN(2)/2)*EX95+(1-EXP(-LN(2)/2))/(LN(2)/2)*ER96*EU96*VLOOKUP('Données projet'!$B$15,Paramètres!$A$1:$I$89,3,0)*0.475*44/12</f>
        <v>0.1135200367869923</v>
      </c>
      <c r="EY96" s="22">
        <f t="shared" si="75"/>
        <v>198.01199165836402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68.674164926744282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3.4106051316484809E-13</v>
      </c>
      <c r="FF96" s="17">
        <f>FE96*VLOOKUP('Données projet'!$B$16,Paramètres!$A$1:$I$89,3,0)*VLOOKUP('Données projet'!$B$16,Paramètres!$A$1:$I$89,5,0)</f>
        <v>1.5074874681886286E-13</v>
      </c>
      <c r="FG96" s="13">
        <f t="shared" si="101"/>
        <v>2.1590218794584103E-12</v>
      </c>
      <c r="FH96" s="20">
        <f t="shared" si="76"/>
        <v>4.0228505074329168E-12</v>
      </c>
      <c r="FI96" s="59">
        <f t="shared" si="77"/>
        <v>288.47193806473308</v>
      </c>
      <c r="FJ96" s="59">
        <f ca="1">AVERAGE(OFFSET($FI$3,0,0,'Données projet'!$E$16+1,1))-AVERAGE(OFFSET($H$3,0,0,'Données projet'!$E$16+1,1))</f>
        <v>508.71179785154317</v>
      </c>
      <c r="FK96" s="59">
        <f t="shared" si="102"/>
        <v>422.73937290731442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214.80242957407992</v>
      </c>
      <c r="FR96" s="21">
        <f>EXP(-LN(2)/25)*FR95+(1-EXP(-LN(2)/25))/(LN(2)/25)*Calculateur!FM96*Calculateur!FO96*VLOOKUP('Données projet'!$B$16,Paramètres!$A$1:$I$89,3,0)*0.475*44/12</f>
        <v>47.457480416050416</v>
      </c>
      <c r="FS96" s="21">
        <f>EXP(-LN(2)/2)*FS95+(1-EXP(-LN(2)/2))/(LN(2)/2)*FM96*FP96*VLOOKUP('Données projet'!$B$16,Paramètres!$A$1:$I$89,3,0)*0.475*44/12</f>
        <v>0.47584863473461747</v>
      </c>
      <c r="FT96" s="22">
        <f t="shared" si="78"/>
        <v>262.73575862486496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68.674164926744282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68.674164926744282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1.35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4.95</v>
      </c>
      <c r="H97" s="67">
        <f t="shared" si="56"/>
        <v>236.86666666666665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68.697165201142113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6</v>
      </c>
      <c r="N97" s="13">
        <f>IF('Données projet'!$A$36&gt;35,N96+M97-V96,IF(A97&lt;'Données projet'!$A$36,$K$205^A97,IF(A97='Données projet'!$A$36,'Données projet'!$B$36,N96+M97-V96)))</f>
        <v>326.00000000000017</v>
      </c>
      <c r="O97" s="13">
        <f>N97*VLOOKUP('Données projet'!$B$9,Paramètres!$A$1:$I$89,3,0)*VLOOKUP('Données projet'!$B$9,Paramètres!$A$1:$I$89,5,0)</f>
        <v>294.96480000000014</v>
      </c>
      <c r="P97" s="13">
        <f t="shared" si="87"/>
        <v>70.119854541045058</v>
      </c>
      <c r="Q97" s="20">
        <f t="shared" si="54"/>
        <v>635.85577332565367</v>
      </c>
      <c r="R97" s="59">
        <f t="shared" si="55"/>
        <v>924.41204572984134</v>
      </c>
      <c r="S97" s="59">
        <f ca="1">AVERAGE(OFFSET($R$3,0,0,'Données projet'!$E$9+1,1))-AVERAGE(OFFSET($H$3,0,0,'Données projet'!$E$9+1,1))</f>
        <v>466.90449882701591</v>
      </c>
      <c r="T97" s="59">
        <f t="shared" si="88"/>
        <v>283.37641704892053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39.017276405483848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39.017276405483848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68.697165201142113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2.8</v>
      </c>
      <c r="AI97" s="13">
        <f>IF('Données projet'!$A$62&gt;35,AI96+AH97-AQ96,IF(A97&lt;'Données projet'!$A$62,$AF$205^A97,IF(A97='Données projet'!$A$62,'Données projet'!$B$62,AI96+AH97-AQ96)))</f>
        <v>265.19999999999993</v>
      </c>
      <c r="AJ97" s="13">
        <f>AI97*VLOOKUP('Données projet'!$B$10,Paramètres!$A$1:$I$89,3,0)*VLOOKUP('Données projet'!$B$10,Paramètres!$A$1:$I$89,5,0)</f>
        <v>252.36431999999996</v>
      </c>
      <c r="AK97" s="13">
        <f t="shared" si="89"/>
        <v>61.091946706239845</v>
      </c>
      <c r="AL97" s="20">
        <f t="shared" si="58"/>
        <v>545.93633118003436</v>
      </c>
      <c r="AM97" s="59">
        <f t="shared" si="59"/>
        <v>834.49260358422202</v>
      </c>
      <c r="AN97" s="59">
        <f ca="1">AVERAGE(OFFSET($AM$3,0,0,'Données projet'!$E$10+1,1))-AVERAGE(OFFSET($H$3,0,0,'Données projet'!$E$10+1,1))</f>
        <v>399.5572791581468</v>
      </c>
      <c r="AO97" s="59">
        <f t="shared" si="90"/>
        <v>246.34185986079777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29.402571076459409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29.402571076459409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68.697165201142113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5.6843418860808015E-14</v>
      </c>
      <c r="BE97" s="13">
        <f>BD97*VLOOKUP('Données projet'!$B$11,Paramètres!$A$1:$I$89,3,0)*VLOOKUP('Données projet'!$B$11,Paramètres!$A$1:$I$89,5,0)</f>
        <v>4.4337866711430253E-14</v>
      </c>
      <c r="BF97" s="13">
        <f t="shared" si="91"/>
        <v>7.3222115536967035E-13</v>
      </c>
      <c r="BG97" s="20">
        <f t="shared" si="61"/>
        <v>1.3525069634579169E-12</v>
      </c>
      <c r="BH97" s="59">
        <f t="shared" si="62"/>
        <v>288.55627240418909</v>
      </c>
      <c r="BI97" s="59">
        <f ca="1">AVERAGE(OFFSET($BH$3,0,0,'Données projet'!$E$11+1,1))-AVERAGE(OFFSET($H$3,0,0,'Données projet'!$E$11+1,1))</f>
        <v>294.23449029791681</v>
      </c>
      <c r="BJ97" s="59">
        <f t="shared" si="92"/>
        <v>288.64639202306159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57.341919427312639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57.341919427312639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68.697165201142113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2.8</v>
      </c>
      <c r="BY97" s="12">
        <f>IF('Données projet'!$A$114&gt;35,BY96+BX97-CG96,IF(A97&lt;'Données projet'!$A$114,$BV$205^A97,IF(A97='Données projet'!$A$114,'Données projet'!$B$114,BY96+BX97-CG96)))</f>
        <v>265.19999999999993</v>
      </c>
      <c r="BZ97" s="13">
        <f>BY97*VLOOKUP('Données projet'!$B$12,Paramètres!$A$1:$I$89,3,0)*VLOOKUP('Données projet'!$B$12,Paramètres!$A$1:$I$89,5,0)</f>
        <v>285.46127999999993</v>
      </c>
      <c r="CA97" s="13">
        <f t="shared" si="93"/>
        <v>68.119833626599871</v>
      </c>
      <c r="CB97" s="20">
        <f t="shared" si="64"/>
        <v>615.82043956632799</v>
      </c>
      <c r="CC97" s="59">
        <f t="shared" si="65"/>
        <v>904.37671197051577</v>
      </c>
      <c r="CD97" s="59">
        <f ca="1">AVERAGE(OFFSET($CC$3,0,0,'Données projet'!$E$12+1,1))-AVERAGE(OFFSET($H$3,0,0,'Données projet'!$E$12+1,1))</f>
        <v>445.38112098358147</v>
      </c>
      <c r="CE97" s="59">
        <f t="shared" si="94"/>
        <v>272.45883568548516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33.258645971732783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33.258645971732783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68.697165201142113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2.8</v>
      </c>
      <c r="CT97" s="12">
        <f>IF('Données projet'!$A$140&gt;35,CT96+CS97-DB96,IF(A97&lt;'Données projet'!$A$140,$CQ$205^A97,IF(A97='Données projet'!$A$140,'Données projet'!$B$140,CT96+CS97-DB96)))</f>
        <v>265.19999999999993</v>
      </c>
      <c r="CU97" s="17">
        <f>CT97*VLOOKUP('Données projet'!$B$13,Paramètres!$A$1:$I$89,3,0)*VLOOKUP('Données projet'!$B$13,Paramètres!$A$1:$I$89,5,0)</f>
        <v>285.46127999999993</v>
      </c>
      <c r="CV97" s="13">
        <f t="shared" si="95"/>
        <v>68.119833626599871</v>
      </c>
      <c r="CW97" s="20">
        <f t="shared" si="67"/>
        <v>615.82043956632799</v>
      </c>
      <c r="CX97" s="59">
        <f t="shared" si="68"/>
        <v>904.37671197051577</v>
      </c>
      <c r="CY97" s="59">
        <f ca="1">AVERAGE(OFFSET($CX$3,0,0,'Données projet'!$E$13+1,1))-AVERAGE(OFFSET($H$3,0,0,'Données projet'!$E$13+1,1))</f>
        <v>445.38112098358147</v>
      </c>
      <c r="CZ97" s="59">
        <f t="shared" si="96"/>
        <v>272.45883568548516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33.258645971732783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33.258645971732783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68.697165201142113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2.8</v>
      </c>
      <c r="DO97" s="12">
        <f>IF('Données projet'!$A$166&gt;35,DO96+DN97-DW96,IF(A97&lt;'Données projet'!$A$166,$DL$205^A97,IF(A97='Données projet'!$A$166,'Données projet'!$B$166,DO96+DN97-DW96)))</f>
        <v>265.19999999999993</v>
      </c>
      <c r="DP97" s="17">
        <f>DO97*VLOOKUP('Données projet'!$B$14,Paramètres!$A$1:$I$89,3,0)*VLOOKUP('Données projet'!$B$14,Paramètres!$A$1:$I$89,5,0)</f>
        <v>256.50143999999995</v>
      </c>
      <c r="DQ97" s="13">
        <f t="shared" si="97"/>
        <v>61.976039371382214</v>
      </c>
      <c r="DR97" s="20">
        <f t="shared" si="70"/>
        <v>554.68160990515719</v>
      </c>
      <c r="DS97" s="59">
        <f t="shared" si="71"/>
        <v>843.23788230934497</v>
      </c>
      <c r="DT97" s="59">
        <f ca="1">AVERAGE(OFFSET($DS$3,0,0,'Données projet'!$E$14+1,1))-AVERAGE(OFFSET($H$3,0,0,'Données projet'!$E$14+1,1))</f>
        <v>405.29179902613089</v>
      </c>
      <c r="DU97" s="59">
        <f t="shared" si="98"/>
        <v>249.61049717638238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29.884580438368594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29.884580438368594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68.697165201142113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-5.6843418860808015E-13</v>
      </c>
      <c r="EK97" s="17">
        <f>EJ97*VLOOKUP('Données projet'!$B$15,Paramètres!$A$1:$I$89,3,0)*VLOOKUP('Données projet'!$B$15,Paramètres!$A$1:$I$89,5,0)</f>
        <v>-3.39923644787632E-13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444.77624981561257</v>
      </c>
      <c r="EP97" s="59">
        <f t="shared" si="100"/>
        <v>382.10319641527587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165.62047815061379</v>
      </c>
      <c r="EW97" s="21">
        <f>EXP(-LN(2)/25)*EW96+(1-EXP(-LN(2)/25))/(LN(2)/25)*Calculateur!ER97*Calculateur!ET97*VLOOKUP('Données projet'!$B$15,Paramètres!$A$1:$I$89,3,0)*0.475*44/12</f>
        <v>28.173259228554414</v>
      </c>
      <c r="EX97" s="21">
        <f>EXP(-LN(2)/2)*EX96+(1-EXP(-LN(2)/2))/(LN(2)/2)*ER97*EU97*VLOOKUP('Données projet'!$B$15,Paramètres!$A$1:$I$89,3,0)*0.475*44/12</f>
        <v>8.0270787812628586E-2</v>
      </c>
      <c r="EY97" s="22">
        <f t="shared" si="75"/>
        <v>193.87400816698081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68.697165201142113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3.4106051316484809E-13</v>
      </c>
      <c r="FF97" s="17">
        <f>FE97*VLOOKUP('Données projet'!$B$16,Paramètres!$A$1:$I$89,3,0)*VLOOKUP('Données projet'!$B$16,Paramètres!$A$1:$I$89,5,0)</f>
        <v>1.5074874681886286E-13</v>
      </c>
      <c r="FG97" s="13">
        <f t="shared" si="101"/>
        <v>2.1590218794584103E-12</v>
      </c>
      <c r="FH97" s="20">
        <f t="shared" si="76"/>
        <v>4.0228505074329168E-12</v>
      </c>
      <c r="FI97" s="59">
        <f t="shared" si="77"/>
        <v>288.55627240419176</v>
      </c>
      <c r="FJ97" s="59">
        <f ca="1">AVERAGE(OFFSET($FI$3,0,0,'Données projet'!$E$16+1,1))-AVERAGE(OFFSET($H$3,0,0,'Données projet'!$E$16+1,1))</f>
        <v>508.71179785154317</v>
      </c>
      <c r="FK97" s="59">
        <f t="shared" si="102"/>
        <v>422.73937290731442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210.59028494667746</v>
      </c>
      <c r="FR97" s="21">
        <f>EXP(-LN(2)/25)*FR96+(1-EXP(-LN(2)/25))/(LN(2)/25)*Calculateur!FM97*Calculateur!FO97*VLOOKUP('Données projet'!$B$16,Paramètres!$A$1:$I$89,3,0)*0.475*44/12</f>
        <v>46.159753118393091</v>
      </c>
      <c r="FS97" s="21">
        <f>EXP(-LN(2)/2)*FS96+(1-EXP(-LN(2)/2))/(LN(2)/2)*FM97*FP97*VLOOKUP('Données projet'!$B$16,Paramètres!$A$1:$I$89,3,0)*0.475*44/12</f>
        <v>0.33647579643920855</v>
      </c>
      <c r="FT97" s="22">
        <f t="shared" si="78"/>
        <v>257.08651386150979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68.697165201142113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68.697165201142113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1.35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4.95</v>
      </c>
      <c r="H98" s="67">
        <f t="shared" si="56"/>
        <v>236.86666666666665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68.719766472200035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6</v>
      </c>
      <c r="N98" s="13">
        <f>IF('Données projet'!$A$36&gt;35,N97+M98-V97,IF(A98&lt;'Données projet'!$A$36,$K$205^A98,IF(A98='Données projet'!$A$36,'Données projet'!$B$36,N97+M98-V97)))</f>
        <v>332.00000000000017</v>
      </c>
      <c r="O98" s="13">
        <f>N98*VLOOKUP('Données projet'!$B$9,Paramètres!$A$1:$I$89,3,0)*VLOOKUP('Données projet'!$B$9,Paramètres!$A$1:$I$89,5,0)</f>
        <v>300.39360000000016</v>
      </c>
      <c r="P98" s="13">
        <f t="shared" si="87"/>
        <v>71.258970856492738</v>
      </c>
      <c r="Q98" s="20">
        <f t="shared" si="54"/>
        <v>647.29489424172516</v>
      </c>
      <c r="R98" s="59">
        <f t="shared" si="55"/>
        <v>935.93403797312521</v>
      </c>
      <c r="S98" s="59">
        <f ca="1">AVERAGE(OFFSET($R$3,0,0,'Données projet'!$E$9+1,1))-AVERAGE(OFFSET($H$3,0,0,'Données projet'!$E$9+1,1))</f>
        <v>466.90449882701591</v>
      </c>
      <c r="T98" s="59">
        <f t="shared" si="88"/>
        <v>283.37641704892053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38.25217141336104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38.25217141336104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68.719766472200035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2.8</v>
      </c>
      <c r="AI98" s="13">
        <f>IF('Données projet'!$A$62&gt;35,AI97+AH98-AQ97,IF(A98&lt;'Données projet'!$A$62,$AF$205^A98,IF(A98='Données projet'!$A$62,'Données projet'!$B$62,AI97+AH98-AQ97)))</f>
        <v>267.99999999999994</v>
      </c>
      <c r="AJ98" s="13">
        <f>AI98*VLOOKUP('Données projet'!$B$10,Paramètres!$A$1:$I$89,3,0)*VLOOKUP('Données projet'!$B$10,Paramètres!$A$1:$I$89,5,0)</f>
        <v>255.02879999999996</v>
      </c>
      <c r="AK98" s="13">
        <f t="shared" si="89"/>
        <v>61.661531359449384</v>
      </c>
      <c r="AL98" s="20">
        <f t="shared" si="58"/>
        <v>551.56899378437436</v>
      </c>
      <c r="AM98" s="59">
        <f t="shared" si="59"/>
        <v>840.20813751577452</v>
      </c>
      <c r="AN98" s="59">
        <f ca="1">AVERAGE(OFFSET($AM$3,0,0,'Données projet'!$E$10+1,1))-AVERAGE(OFFSET($H$3,0,0,'Données projet'!$E$10+1,1))</f>
        <v>399.5572791581468</v>
      </c>
      <c r="AO98" s="59">
        <f t="shared" si="90"/>
        <v>246.34185986079777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28.826004591447582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28.826004591447582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68.719766472200035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5.6843418860808015E-14</v>
      </c>
      <c r="BE98" s="13">
        <f>BD98*VLOOKUP('Données projet'!$B$11,Paramètres!$A$1:$I$89,3,0)*VLOOKUP('Données projet'!$B$11,Paramètres!$A$1:$I$89,5,0)</f>
        <v>4.4337866711430253E-14</v>
      </c>
      <c r="BF98" s="13">
        <f t="shared" si="91"/>
        <v>7.3222115536967035E-13</v>
      </c>
      <c r="BG98" s="20">
        <f t="shared" si="61"/>
        <v>1.3525069634579169E-12</v>
      </c>
      <c r="BH98" s="59">
        <f t="shared" si="62"/>
        <v>288.63914373140148</v>
      </c>
      <c r="BI98" s="59">
        <f ca="1">AVERAGE(OFFSET($BH$3,0,0,'Données projet'!$E$11+1,1))-AVERAGE(OFFSET($H$3,0,0,'Données projet'!$E$11+1,1))</f>
        <v>294.23449029791681</v>
      </c>
      <c r="BJ98" s="59">
        <f t="shared" si="92"/>
        <v>288.64639202306159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56.217479362460381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56.217479362460381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68.719766472200035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2.8</v>
      </c>
      <c r="BY98" s="12">
        <f>IF('Données projet'!$A$114&gt;35,BY97+BX98-CG97,IF(A98&lt;'Données projet'!$A$114,$BV$205^A98,IF(A98='Données projet'!$A$114,'Données projet'!$B$114,BY97+BX98-CG97)))</f>
        <v>267.99999999999994</v>
      </c>
      <c r="BZ98" s="13">
        <f>BY98*VLOOKUP('Données projet'!$B$12,Paramètres!$A$1:$I$89,3,0)*VLOOKUP('Données projet'!$B$12,Paramètres!$A$1:$I$89,5,0)</f>
        <v>288.47519999999997</v>
      </c>
      <c r="CA98" s="13">
        <f t="shared" si="93"/>
        <v>68.754942080410842</v>
      </c>
      <c r="CB98" s="20">
        <f t="shared" si="64"/>
        <v>622.17583079004874</v>
      </c>
      <c r="CC98" s="59">
        <f t="shared" si="65"/>
        <v>910.8149745214489</v>
      </c>
      <c r="CD98" s="59">
        <f ca="1">AVERAGE(OFFSET($CC$3,0,0,'Données projet'!$E$12+1,1))-AVERAGE(OFFSET($H$3,0,0,'Données projet'!$E$12+1,1))</f>
        <v>445.38112098358147</v>
      </c>
      <c r="CE98" s="59">
        <f t="shared" si="94"/>
        <v>272.45883568548516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32.606464209998094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32.606464209998094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68.719766472200035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2.8</v>
      </c>
      <c r="CT98" s="12">
        <f>IF('Données projet'!$A$140&gt;35,CT97+CS98-DB97,IF(A98&lt;'Données projet'!$A$140,$CQ$205^A98,IF(A98='Données projet'!$A$140,'Données projet'!$B$140,CT97+CS98-DB97)))</f>
        <v>267.99999999999994</v>
      </c>
      <c r="CU98" s="17">
        <f>CT98*VLOOKUP('Données projet'!$B$13,Paramètres!$A$1:$I$89,3,0)*VLOOKUP('Données projet'!$B$13,Paramètres!$A$1:$I$89,5,0)</f>
        <v>288.47519999999997</v>
      </c>
      <c r="CV98" s="13">
        <f t="shared" si="95"/>
        <v>68.754942080410842</v>
      </c>
      <c r="CW98" s="20">
        <f t="shared" si="67"/>
        <v>622.17583079004874</v>
      </c>
      <c r="CX98" s="59">
        <f t="shared" si="68"/>
        <v>910.8149745214489</v>
      </c>
      <c r="CY98" s="59">
        <f ca="1">AVERAGE(OFFSET($CX$3,0,0,'Données projet'!$E$13+1,1))-AVERAGE(OFFSET($H$3,0,0,'Données projet'!$E$13+1,1))</f>
        <v>445.38112098358147</v>
      </c>
      <c r="CZ98" s="59">
        <f t="shared" si="96"/>
        <v>272.45883568548516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32.606464209998094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32.606464209998094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68.719766472200035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2.8</v>
      </c>
      <c r="DO98" s="12">
        <f>IF('Données projet'!$A$166&gt;35,DO97+DN98-DW97,IF(A98&lt;'Données projet'!$A$166,$DL$205^A98,IF(A98='Données projet'!$A$166,'Données projet'!$B$166,DO97+DN98-DW97)))</f>
        <v>267.99999999999994</v>
      </c>
      <c r="DP98" s="17">
        <f>DO98*VLOOKUP('Données projet'!$B$14,Paramètres!$A$1:$I$89,3,0)*VLOOKUP('Données projet'!$B$14,Paramètres!$A$1:$I$89,5,0)</f>
        <v>259.20959999999997</v>
      </c>
      <c r="DQ98" s="13">
        <f t="shared" si="97"/>
        <v>62.553866774106702</v>
      </c>
      <c r="DR98" s="20">
        <f t="shared" si="70"/>
        <v>560.40470463156907</v>
      </c>
      <c r="DS98" s="59">
        <f t="shared" si="71"/>
        <v>849.04384836296913</v>
      </c>
      <c r="DT98" s="59">
        <f ca="1">AVERAGE(OFFSET($DS$3,0,0,'Données projet'!$E$14+1,1))-AVERAGE(OFFSET($H$3,0,0,'Données projet'!$E$14+1,1))</f>
        <v>405.29179902613089</v>
      </c>
      <c r="DU98" s="59">
        <f t="shared" si="98"/>
        <v>249.61049717638238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29.29856204376641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29.29856204376641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68.719766472200035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-5.6843418860808015E-13</v>
      </c>
      <c r="EK98" s="17">
        <f>EJ98*VLOOKUP('Données projet'!$B$15,Paramètres!$A$1:$I$89,3,0)*VLOOKUP('Données projet'!$B$15,Paramètres!$A$1:$I$89,5,0)</f>
        <v>-3.39923644787632E-13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444.77624981561257</v>
      </c>
      <c r="EP98" s="59">
        <f t="shared" si="100"/>
        <v>382.10319641527587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162.37276159259719</v>
      </c>
      <c r="EW98" s="21">
        <f>EXP(-LN(2)/25)*EW97+(1-EXP(-LN(2)/25))/(LN(2)/25)*Calculateur!ER98*Calculateur!ET98*VLOOKUP('Données projet'!$B$15,Paramètres!$A$1:$I$89,3,0)*0.475*44/12</f>
        <v>27.402859973382281</v>
      </c>
      <c r="EX98" s="21">
        <f>EXP(-LN(2)/2)*EX97+(1-EXP(-LN(2)/2))/(LN(2)/2)*ER98*EU98*VLOOKUP('Données projet'!$B$15,Paramètres!$A$1:$I$89,3,0)*0.475*44/12</f>
        <v>5.6760018393496148E-2</v>
      </c>
      <c r="EY98" s="22">
        <f t="shared" si="75"/>
        <v>189.83238158437297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68.719766472200035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3.4106051316484809E-13</v>
      </c>
      <c r="FF98" s="17">
        <f>FE98*VLOOKUP('Données projet'!$B$16,Paramètres!$A$1:$I$89,3,0)*VLOOKUP('Données projet'!$B$16,Paramètres!$A$1:$I$89,5,0)</f>
        <v>1.5074874681886286E-13</v>
      </c>
      <c r="FG98" s="13">
        <f t="shared" si="101"/>
        <v>2.1590218794584103E-12</v>
      </c>
      <c r="FH98" s="20">
        <f t="shared" si="76"/>
        <v>4.0228505074329168E-12</v>
      </c>
      <c r="FI98" s="59">
        <f t="shared" si="77"/>
        <v>288.63914373140415</v>
      </c>
      <c r="FJ98" s="59">
        <f ca="1">AVERAGE(OFFSET($FI$3,0,0,'Données projet'!$E$16+1,1))-AVERAGE(OFFSET($H$3,0,0,'Données projet'!$E$16+1,1))</f>
        <v>508.71179785154317</v>
      </c>
      <c r="FK98" s="59">
        <f t="shared" si="102"/>
        <v>422.73937290731442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206.4607379062638</v>
      </c>
      <c r="FR98" s="21">
        <f>EXP(-LN(2)/25)*FR97+(1-EXP(-LN(2)/25))/(LN(2)/25)*Calculateur!FM98*Calculateur!FO98*VLOOKUP('Données projet'!$B$16,Paramètres!$A$1:$I$89,3,0)*0.475*44/12</f>
        <v>44.897512241934713</v>
      </c>
      <c r="FS98" s="21">
        <f>EXP(-LN(2)/2)*FS97+(1-EXP(-LN(2)/2))/(LN(2)/2)*FM98*FP98*VLOOKUP('Données projet'!$B$16,Paramètres!$A$1:$I$89,3,0)*0.475*44/12</f>
        <v>0.23792431736730876</v>
      </c>
      <c r="FT98" s="22">
        <f t="shared" si="78"/>
        <v>251.59617446556584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68.719766472200035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68.719766472200035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1.35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4.95</v>
      </c>
      <c r="H99" s="67">
        <f t="shared" si="56"/>
        <v>236.86666666666665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68.741975661733989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6</v>
      </c>
      <c r="N99" s="13">
        <f>IF('Données projet'!$A$36&gt;35,N98+M99-V98,IF(A99&lt;'Données projet'!$A$36,$K$205^A99,IF(A99='Données projet'!$A$36,'Données projet'!$B$36,N98+M99-V98)))</f>
        <v>338.00000000000017</v>
      </c>
      <c r="O99" s="13">
        <f>N99*VLOOKUP('Données projet'!$B$9,Paramètres!$A$1:$I$89,3,0)*VLOOKUP('Données projet'!$B$9,Paramètres!$A$1:$I$89,5,0)</f>
        <v>305.82240000000013</v>
      </c>
      <c r="P99" s="13">
        <f t="shared" si="87"/>
        <v>72.395693291268998</v>
      </c>
      <c r="Q99" s="20">
        <f t="shared" ref="Q99:Q130" si="107">(O99+P99)*0.475*44/12</f>
        <v>658.72984581562707</v>
      </c>
      <c r="R99" s="59">
        <f t="shared" si="55"/>
        <v>947.45042324198505</v>
      </c>
      <c r="S99" s="59">
        <f ca="1">AVERAGE(OFFSET($R$3,0,0,'Données projet'!$E$9+1,1))-AVERAGE(OFFSET($H$3,0,0,'Données projet'!$E$9+1,1))</f>
        <v>466.90449882701591</v>
      </c>
      <c r="T99" s="59">
        <f t="shared" si="88"/>
        <v>283.37641704892053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37.502069663465797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37.502069663465797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68.741975661733989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2.8</v>
      </c>
      <c r="AI99" s="13">
        <f>IF('Données projet'!$A$62&gt;35,AI98+AH99-AQ98,IF(A99&lt;'Données projet'!$A$62,$AF$205^A99,IF(A99='Données projet'!$A$62,'Données projet'!$B$62,AI98+AH99-AQ98)))</f>
        <v>270.79999999999995</v>
      </c>
      <c r="AJ99" s="13">
        <f>AI99*VLOOKUP('Données projet'!$B$10,Paramètres!$A$1:$I$89,3,0)*VLOOKUP('Données projet'!$B$10,Paramètres!$A$1:$I$89,5,0)</f>
        <v>257.69327999999996</v>
      </c>
      <c r="AK99" s="13">
        <f t="shared" si="89"/>
        <v>62.230423737412906</v>
      </c>
      <c r="AL99" s="20">
        <f t="shared" si="58"/>
        <v>557.20045067599415</v>
      </c>
      <c r="AM99" s="59">
        <f t="shared" si="59"/>
        <v>845.92102810235212</v>
      </c>
      <c r="AN99" s="59">
        <f ca="1">AVERAGE(OFFSET($AM$3,0,0,'Données projet'!$E$10+1,1))-AVERAGE(OFFSET($H$3,0,0,'Données projet'!$E$10+1,1))</f>
        <v>399.5572791581468</v>
      </c>
      <c r="AO99" s="59">
        <f t="shared" si="90"/>
        <v>246.34185986079777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28.260744223536005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28.260744223536005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68.741975661733989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5.6843418860808015E-14</v>
      </c>
      <c r="BE99" s="13">
        <f>BD99*VLOOKUP('Données projet'!$B$11,Paramètres!$A$1:$I$89,3,0)*VLOOKUP('Données projet'!$B$11,Paramètres!$A$1:$I$89,5,0)</f>
        <v>4.4337866711430253E-14</v>
      </c>
      <c r="BF99" s="13">
        <f t="shared" si="91"/>
        <v>7.3222115536967035E-13</v>
      </c>
      <c r="BG99" s="20">
        <f t="shared" si="61"/>
        <v>1.3525069634579169E-12</v>
      </c>
      <c r="BH99" s="59">
        <f t="shared" si="62"/>
        <v>288.72057742635934</v>
      </c>
      <c r="BI99" s="59">
        <f ca="1">AVERAGE(OFFSET($BH$3,0,0,'Données projet'!$E$11+1,1))-AVERAGE(OFFSET($H$3,0,0,'Données projet'!$E$11+1,1))</f>
        <v>294.23449029791681</v>
      </c>
      <c r="BJ99" s="59">
        <f t="shared" si="92"/>
        <v>288.64639202306159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55.115088881439156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55.115088881439156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68.741975661733989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2.8</v>
      </c>
      <c r="BY99" s="12">
        <f>IF('Données projet'!$A$114&gt;35,BY98+BX99-CG98,IF(A99&lt;'Données projet'!$A$114,$BV$205^A99,IF(A99='Données projet'!$A$114,'Données projet'!$B$114,BY98+BX99-CG98)))</f>
        <v>270.79999999999995</v>
      </c>
      <c r="BZ99" s="13">
        <f>BY99*VLOOKUP('Données projet'!$B$12,Paramètres!$A$1:$I$89,3,0)*VLOOKUP('Données projet'!$B$12,Paramètres!$A$1:$I$89,5,0)</f>
        <v>291.4891199999999</v>
      </c>
      <c r="CA99" s="13">
        <f t="shared" si="93"/>
        <v>69.389278621111629</v>
      </c>
      <c r="CB99" s="20">
        <f t="shared" si="64"/>
        <v>628.52987759843575</v>
      </c>
      <c r="CC99" s="59">
        <f t="shared" si="65"/>
        <v>917.25045502479372</v>
      </c>
      <c r="CD99" s="59">
        <f ca="1">AVERAGE(OFFSET($CC$3,0,0,'Données projet'!$E$12+1,1))-AVERAGE(OFFSET($H$3,0,0,'Données projet'!$E$12+1,1))</f>
        <v>445.38112098358147</v>
      </c>
      <c r="CE99" s="59">
        <f t="shared" si="94"/>
        <v>272.45883568548516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31.967071334819426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31.967071334819426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68.741975661733989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2.8</v>
      </c>
      <c r="CT99" s="12">
        <f>IF('Données projet'!$A$140&gt;35,CT98+CS99-DB98,IF(A99&lt;'Données projet'!$A$140,$CQ$205^A99,IF(A99='Données projet'!$A$140,'Données projet'!$B$140,CT98+CS99-DB98)))</f>
        <v>270.79999999999995</v>
      </c>
      <c r="CU99" s="17">
        <f>CT99*VLOOKUP('Données projet'!$B$13,Paramètres!$A$1:$I$89,3,0)*VLOOKUP('Données projet'!$B$13,Paramètres!$A$1:$I$89,5,0)</f>
        <v>291.4891199999999</v>
      </c>
      <c r="CV99" s="13">
        <f t="shared" si="95"/>
        <v>69.389278621111629</v>
      </c>
      <c r="CW99" s="20">
        <f t="shared" si="67"/>
        <v>628.52987759843575</v>
      </c>
      <c r="CX99" s="59">
        <f t="shared" si="68"/>
        <v>917.25045502479372</v>
      </c>
      <c r="CY99" s="59">
        <f ca="1">AVERAGE(OFFSET($CX$3,0,0,'Données projet'!$E$13+1,1))-AVERAGE(OFFSET($H$3,0,0,'Données projet'!$E$13+1,1))</f>
        <v>445.38112098358147</v>
      </c>
      <c r="CZ99" s="59">
        <f t="shared" si="96"/>
        <v>272.45883568548516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31.967071334819426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31.967071334819426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68.741975661733989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2.8</v>
      </c>
      <c r="DO99" s="12">
        <f>IF('Données projet'!$A$166&gt;35,DO98+DN99-DW98,IF(A99&lt;'Données projet'!$A$166,$DL$205^A99,IF(A99='Données projet'!$A$166,'Données projet'!$B$166,DO98+DN99-DW98)))</f>
        <v>270.79999999999995</v>
      </c>
      <c r="DP99" s="17">
        <f>DO99*VLOOKUP('Données projet'!$B$14,Paramètres!$A$1:$I$89,3,0)*VLOOKUP('Données projet'!$B$14,Paramètres!$A$1:$I$89,5,0)</f>
        <v>261.91775999999993</v>
      </c>
      <c r="DQ99" s="13">
        <f t="shared" si="97"/>
        <v>63.130991883317634</v>
      </c>
      <c r="DR99" s="20">
        <f t="shared" si="70"/>
        <v>566.12657619677805</v>
      </c>
      <c r="DS99" s="59">
        <f t="shared" si="71"/>
        <v>854.84715362313602</v>
      </c>
      <c r="DT99" s="59">
        <f ca="1">AVERAGE(OFFSET($DS$3,0,0,'Données projet'!$E$14+1,1))-AVERAGE(OFFSET($H$3,0,0,'Données projet'!$E$14+1,1))</f>
        <v>405.29179902613089</v>
      </c>
      <c r="DU99" s="59">
        <f t="shared" si="98"/>
        <v>249.61049717638238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28.724035112446444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28.724035112446444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68.741975661733989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-5.6843418860808015E-13</v>
      </c>
      <c r="EK99" s="17">
        <f>EJ99*VLOOKUP('Données projet'!$B$15,Paramètres!$A$1:$I$89,3,0)*VLOOKUP('Données projet'!$B$15,Paramètres!$A$1:$I$89,5,0)</f>
        <v>-3.39923644787632E-13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444.77624981561257</v>
      </c>
      <c r="EP99" s="59">
        <f t="shared" si="100"/>
        <v>382.10319641527587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159.18873077537177</v>
      </c>
      <c r="EW99" s="21">
        <f>EXP(-LN(2)/25)*EW98+(1-EXP(-LN(2)/25))/(LN(2)/25)*Calculateur!ER99*Calculateur!ET99*VLOOKUP('Données projet'!$B$15,Paramètres!$A$1:$I$89,3,0)*0.475*44/12</f>
        <v>26.653527326356368</v>
      </c>
      <c r="EX99" s="21">
        <f>EXP(-LN(2)/2)*EX98+(1-EXP(-LN(2)/2))/(LN(2)/2)*ER99*EU99*VLOOKUP('Données projet'!$B$15,Paramètres!$A$1:$I$89,3,0)*0.475*44/12</f>
        <v>4.0135393906314293E-2</v>
      </c>
      <c r="EY99" s="22">
        <f t="shared" si="75"/>
        <v>185.88239349563446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68.741975661733989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3.4106051316484809E-13</v>
      </c>
      <c r="FF99" s="17">
        <f>FE99*VLOOKUP('Données projet'!$B$16,Paramètres!$A$1:$I$89,3,0)*VLOOKUP('Données projet'!$B$16,Paramètres!$A$1:$I$89,5,0)</f>
        <v>1.5074874681886286E-13</v>
      </c>
      <c r="FG99" s="13">
        <f t="shared" si="101"/>
        <v>2.1590218794584103E-12</v>
      </c>
      <c r="FH99" s="20">
        <f t="shared" si="76"/>
        <v>4.0228505074329168E-12</v>
      </c>
      <c r="FI99" s="59">
        <f t="shared" si="77"/>
        <v>288.72057742636201</v>
      </c>
      <c r="FJ99" s="59">
        <f ca="1">AVERAGE(OFFSET($FI$3,0,0,'Données projet'!$E$16+1,1))-AVERAGE(OFFSET($H$3,0,0,'Données projet'!$E$16+1,1))</f>
        <v>508.71179785154317</v>
      </c>
      <c r="FK99" s="59">
        <f t="shared" si="102"/>
        <v>422.73937290731442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202.41216876453768</v>
      </c>
      <c r="FR99" s="21">
        <f>EXP(-LN(2)/25)*FR98+(1-EXP(-LN(2)/25))/(LN(2)/25)*Calculateur!FM99*Calculateur!FO99*VLOOKUP('Données projet'!$B$16,Paramètres!$A$1:$I$89,3,0)*0.475*44/12</f>
        <v>43.669787408621453</v>
      </c>
      <c r="FS99" s="21">
        <f>EXP(-LN(2)/2)*FS98+(1-EXP(-LN(2)/2))/(LN(2)/2)*FM99*FP99*VLOOKUP('Données projet'!$B$16,Paramètres!$A$1:$I$89,3,0)*0.475*44/12</f>
        <v>0.1682378982196043</v>
      </c>
      <c r="FT99" s="22">
        <f t="shared" si="78"/>
        <v>246.25019407137876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68.741975661733989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68.741975661733989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1.35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4.95</v>
      </c>
      <c r="H100" s="67">
        <f t="shared" si="56"/>
        <v>236.86666666666665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68.763799571481826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6</v>
      </c>
      <c r="N100" s="13">
        <f>IF('Données projet'!$A$36&gt;35,N99+M100-V99,IF(A100&lt;'Données projet'!$A$36,$K$205^A100,IF(A100='Données projet'!$A$36,'Données projet'!$B$36,N99+M100-V99)))</f>
        <v>344.00000000000017</v>
      </c>
      <c r="O100" s="13">
        <f>N100*VLOOKUP('Données projet'!$B$9,Paramètres!$A$1:$I$89,3,0)*VLOOKUP('Données projet'!$B$9,Paramètres!$A$1:$I$89,5,0)</f>
        <v>311.25120000000015</v>
      </c>
      <c r="P100" s="13">
        <f t="shared" si="87"/>
        <v>73.530069242745114</v>
      </c>
      <c r="Q100" s="20">
        <f t="shared" si="107"/>
        <v>670.1607105977813</v>
      </c>
      <c r="R100" s="59">
        <f t="shared" si="55"/>
        <v>958.96130902654795</v>
      </c>
      <c r="S100" s="59">
        <f ca="1">AVERAGE(OFFSET($R$3,0,0,'Données projet'!$E$9+1,1))-AVERAGE(OFFSET($H$3,0,0,'Données projet'!$E$9+1,1))</f>
        <v>466.90449882701591</v>
      </c>
      <c r="T100" s="59">
        <f t="shared" si="88"/>
        <v>283.37641704892053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36.766676951369107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36.766676951369107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68.763799571481826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2.8</v>
      </c>
      <c r="AI100" s="13">
        <f>IF('Données projet'!$A$62&gt;35,AI99+AH100-AQ99,IF(A100&lt;'Données projet'!$A$62,$AF$205^A100,IF(A100='Données projet'!$A$62,'Données projet'!$B$62,AI99+AH100-AQ99)))</f>
        <v>273.59999999999997</v>
      </c>
      <c r="AJ100" s="13">
        <f>AI100*VLOOKUP('Données projet'!$B$10,Paramètres!$A$1:$I$89,3,0)*VLOOKUP('Données projet'!$B$10,Paramètres!$A$1:$I$89,5,0)</f>
        <v>260.35775999999998</v>
      </c>
      <c r="AK100" s="13">
        <f t="shared" si="89"/>
        <v>62.7986318267358</v>
      </c>
      <c r="AL100" s="20">
        <f t="shared" si="58"/>
        <v>562.83071576489817</v>
      </c>
      <c r="AM100" s="59">
        <f t="shared" si="59"/>
        <v>851.63131419366482</v>
      </c>
      <c r="AN100" s="59">
        <f ca="1">AVERAGE(OFFSET($AM$3,0,0,'Données projet'!$E$10+1,1))-AVERAGE(OFFSET($H$3,0,0,'Données projet'!$E$10+1,1))</f>
        <v>399.5572791581468</v>
      </c>
      <c r="AO100" s="59">
        <f t="shared" si="90"/>
        <v>246.34185986079777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27.706568266664394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27.706568266664394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68.763799571481826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5.6843418860808015E-14</v>
      </c>
      <c r="BE100" s="13">
        <f>BD100*VLOOKUP('Données projet'!$B$11,Paramètres!$A$1:$I$89,3,0)*VLOOKUP('Données projet'!$B$11,Paramètres!$A$1:$I$89,5,0)</f>
        <v>4.4337866711430253E-14</v>
      </c>
      <c r="BF100" s="13">
        <f t="shared" si="91"/>
        <v>7.3222115536967035E-13</v>
      </c>
      <c r="BG100" s="20">
        <f t="shared" si="61"/>
        <v>1.3525069634579169E-12</v>
      </c>
      <c r="BH100" s="59">
        <f t="shared" si="62"/>
        <v>288.80059842876807</v>
      </c>
      <c r="BI100" s="59">
        <f ca="1">AVERAGE(OFFSET($BH$3,0,0,'Données projet'!$E$11+1,1))-AVERAGE(OFFSET($H$3,0,0,'Données projet'!$E$11+1,1))</f>
        <v>294.23449029791681</v>
      </c>
      <c r="BJ100" s="59">
        <f t="shared" si="92"/>
        <v>288.64639202306159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54.034315605358962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54.034315605358962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68.763799571481826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2.8</v>
      </c>
      <c r="BY100" s="12">
        <f>IF('Données projet'!$A$114&gt;35,BY99+BX100-CG99,IF(A100&lt;'Données projet'!$A$114,$BV$205^A100,IF(A100='Données projet'!$A$114,'Données projet'!$B$114,BY99+BX100-CG99)))</f>
        <v>273.59999999999997</v>
      </c>
      <c r="BZ100" s="13">
        <f>BY100*VLOOKUP('Données projet'!$B$12,Paramètres!$A$1:$I$89,3,0)*VLOOKUP('Données projet'!$B$12,Paramètres!$A$1:$I$89,5,0)</f>
        <v>294.50303999999994</v>
      </c>
      <c r="CA100" s="13">
        <f t="shared" si="93"/>
        <v>70.022852154069838</v>
      </c>
      <c r="CB100" s="20">
        <f t="shared" si="64"/>
        <v>634.88259550167152</v>
      </c>
      <c r="CC100" s="59">
        <f t="shared" si="65"/>
        <v>923.68319393043816</v>
      </c>
      <c r="CD100" s="59">
        <f ca="1">AVERAGE(OFFSET($CC$3,0,0,'Données projet'!$E$12+1,1))-AVERAGE(OFFSET($H$3,0,0,'Données projet'!$E$12+1,1))</f>
        <v>445.38112098358147</v>
      </c>
      <c r="CE100" s="59">
        <f t="shared" si="94"/>
        <v>272.45883568548516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31.340216563931865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31.340216563931865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68.763799571481826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2.8</v>
      </c>
      <c r="CT100" s="12">
        <f>IF('Données projet'!$A$140&gt;35,CT99+CS100-DB99,IF(A100&lt;'Données projet'!$A$140,$CQ$205^A100,IF(A100='Données projet'!$A$140,'Données projet'!$B$140,CT99+CS100-DB99)))</f>
        <v>273.59999999999997</v>
      </c>
      <c r="CU100" s="17">
        <f>CT100*VLOOKUP('Données projet'!$B$13,Paramètres!$A$1:$I$89,3,0)*VLOOKUP('Données projet'!$B$13,Paramètres!$A$1:$I$89,5,0)</f>
        <v>294.50303999999994</v>
      </c>
      <c r="CV100" s="13">
        <f t="shared" si="95"/>
        <v>70.022852154069838</v>
      </c>
      <c r="CW100" s="20">
        <f t="shared" si="67"/>
        <v>634.88259550167152</v>
      </c>
      <c r="CX100" s="59">
        <f t="shared" si="68"/>
        <v>923.68319393043816</v>
      </c>
      <c r="CY100" s="59">
        <f ca="1">AVERAGE(OFFSET($CX$3,0,0,'Données projet'!$E$13+1,1))-AVERAGE(OFFSET($H$3,0,0,'Données projet'!$E$13+1,1))</f>
        <v>445.38112098358147</v>
      </c>
      <c r="CZ100" s="59">
        <f t="shared" si="96"/>
        <v>272.45883568548516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31.340216563931865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31.340216563931865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68.763799571481826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2.8</v>
      </c>
      <c r="DO100" s="12">
        <f>IF('Données projet'!$A$166&gt;35,DO99+DN100-DW99,IF(A100&lt;'Données projet'!$A$166,$DL$205^A100,IF(A100='Données projet'!$A$166,'Données projet'!$B$166,DO99+DN100-DW99)))</f>
        <v>273.59999999999997</v>
      </c>
      <c r="DP100" s="17">
        <f>DO100*VLOOKUP('Données projet'!$B$14,Paramètres!$A$1:$I$89,3,0)*VLOOKUP('Données projet'!$B$14,Paramètres!$A$1:$I$89,5,0)</f>
        <v>264.62591999999995</v>
      </c>
      <c r="DQ100" s="13">
        <f t="shared" si="97"/>
        <v>63.707422801198604</v>
      </c>
      <c r="DR100" s="20">
        <f t="shared" si="70"/>
        <v>571.84723871208746</v>
      </c>
      <c r="DS100" s="59">
        <f t="shared" si="71"/>
        <v>860.64783714085411</v>
      </c>
      <c r="DT100" s="59">
        <f ca="1">AVERAGE(OFFSET($DS$3,0,0,'Données projet'!$E$14+1,1))-AVERAGE(OFFSET($H$3,0,0,'Données projet'!$E$14+1,1))</f>
        <v>405.29179902613089</v>
      </c>
      <c r="DU100" s="59">
        <f t="shared" si="98"/>
        <v>249.61049717638238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28.160774303822837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28.160774303822837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68.763799571481826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-5.6843418860808015E-13</v>
      </c>
      <c r="EK100" s="17">
        <f>EJ100*VLOOKUP('Données projet'!$B$15,Paramètres!$A$1:$I$89,3,0)*VLOOKUP('Données projet'!$B$15,Paramètres!$A$1:$I$89,5,0)</f>
        <v>-3.39923644787632E-13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444.77624981561257</v>
      </c>
      <c r="EP100" s="59">
        <f t="shared" si="100"/>
        <v>382.10319641527587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156.0671368604051</v>
      </c>
      <c r="EW100" s="21">
        <f>EXP(-LN(2)/25)*EW99+(1-EXP(-LN(2)/25))/(LN(2)/25)*Calculateur!ER100*Calculateur!ET100*VLOOKUP('Données projet'!$B$15,Paramètres!$A$1:$I$89,3,0)*0.475*44/12</f>
        <v>25.924685219969067</v>
      </c>
      <c r="EX100" s="21">
        <f>EXP(-LN(2)/2)*EX99+(1-EXP(-LN(2)/2))/(LN(2)/2)*ER100*EU100*VLOOKUP('Données projet'!$B$15,Paramètres!$A$1:$I$89,3,0)*0.475*44/12</f>
        <v>2.8380009196748074E-2</v>
      </c>
      <c r="EY100" s="22">
        <f t="shared" si="75"/>
        <v>182.02020208957092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68.763799571481826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3.4106051316484809E-13</v>
      </c>
      <c r="FF100" s="17">
        <f>FE100*VLOOKUP('Données projet'!$B$16,Paramètres!$A$1:$I$89,3,0)*VLOOKUP('Données projet'!$B$16,Paramètres!$A$1:$I$89,5,0)</f>
        <v>1.5074874681886286E-13</v>
      </c>
      <c r="FG100" s="13">
        <f t="shared" si="101"/>
        <v>2.1590218794584103E-12</v>
      </c>
      <c r="FH100" s="20">
        <f t="shared" si="76"/>
        <v>4.0228505074329168E-12</v>
      </c>
      <c r="FI100" s="59">
        <f t="shared" si="77"/>
        <v>288.80059842877074</v>
      </c>
      <c r="FJ100" s="59">
        <f ca="1">AVERAGE(OFFSET($FI$3,0,0,'Données projet'!$E$16+1,1))-AVERAGE(OFFSET($H$3,0,0,'Données projet'!$E$16+1,1))</f>
        <v>508.71179785154317</v>
      </c>
      <c r="FK100" s="59">
        <f t="shared" si="102"/>
        <v>422.73937290731442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198.44298959429744</v>
      </c>
      <c r="FR100" s="21">
        <f>EXP(-LN(2)/25)*FR99+(1-EXP(-LN(2)/25))/(LN(2)/25)*Calculateur!FM100*Calculateur!FO100*VLOOKUP('Données projet'!$B$16,Paramètres!$A$1:$I$89,3,0)*0.475*44/12</f>
        <v>42.475634775438387</v>
      </c>
      <c r="FS100" s="21">
        <f>EXP(-LN(2)/2)*FS99+(1-EXP(-LN(2)/2))/(LN(2)/2)*FM100*FP100*VLOOKUP('Données projet'!$B$16,Paramètres!$A$1:$I$89,3,0)*0.475*44/12</f>
        <v>0.1189621586836544</v>
      </c>
      <c r="FT100" s="22">
        <f t="shared" si="78"/>
        <v>241.03758652841947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68.763799571481826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68.763799571481826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1.35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4.95</v>
      </c>
      <c r="H101" s="67">
        <f t="shared" si="56"/>
        <v>236.86666666666665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68.785244885186501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6</v>
      </c>
      <c r="N101" s="13">
        <f>IF('Données projet'!$A$36&gt;35,N100+M101-V100,IF(A101&lt;'Données projet'!$A$36,$K$205^A101,IF(A101='Données projet'!$A$36,'Données projet'!$B$36,N100+M101-V100)))</f>
        <v>350.00000000000017</v>
      </c>
      <c r="O101" s="13">
        <f>N101*VLOOKUP('Données projet'!$B$9,Paramètres!$A$1:$I$89,3,0)*VLOOKUP('Données projet'!$B$9,Paramètres!$A$1:$I$89,5,0)</f>
        <v>316.68000000000012</v>
      </c>
      <c r="P101" s="13">
        <f t="shared" si="87"/>
        <v>74.662144360177763</v>
      </c>
      <c r="Q101" s="20">
        <f t="shared" si="107"/>
        <v>681.58756809397642</v>
      </c>
      <c r="R101" s="59">
        <f t="shared" si="55"/>
        <v>970.46679933966016</v>
      </c>
      <c r="S101" s="59">
        <f ca="1">AVERAGE(OFFSET($R$3,0,0,'Données projet'!$E$9+1,1))-AVERAGE(OFFSET($H$3,0,0,'Données projet'!$E$9+1,1))</f>
        <v>466.90449882701591</v>
      </c>
      <c r="T101" s="59">
        <f t="shared" si="88"/>
        <v>283.37641704892053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36.045704841811371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36.045704841811371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68.785244885186501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2.8</v>
      </c>
      <c r="AI101" s="13">
        <f>IF('Données projet'!$A$62&gt;35,AI100+AH101-AQ100,IF(A101&lt;'Données projet'!$A$62,$AF$205^A101,IF(A101='Données projet'!$A$62,'Données projet'!$B$62,AI100+AH101-AQ100)))</f>
        <v>276.39999999999998</v>
      </c>
      <c r="AJ101" s="13">
        <f>AI101*VLOOKUP('Données projet'!$B$10,Paramètres!$A$1:$I$89,3,0)*VLOOKUP('Données projet'!$B$10,Paramètres!$A$1:$I$89,5,0)</f>
        <v>263.02224000000001</v>
      </c>
      <c r="AK101" s="13">
        <f t="shared" si="89"/>
        <v>63.3661634411352</v>
      </c>
      <c r="AL101" s="20">
        <f t="shared" si="58"/>
        <v>568.45980265997707</v>
      </c>
      <c r="AM101" s="59">
        <f t="shared" si="59"/>
        <v>857.33903390566093</v>
      </c>
      <c r="AN101" s="59">
        <f ca="1">AVERAGE(OFFSET($AM$3,0,0,'Données projet'!$E$10+1,1))-AVERAGE(OFFSET($H$3,0,0,'Données projet'!$E$10+1,1))</f>
        <v>399.5572791581468</v>
      </c>
      <c r="AO101" s="59">
        <f t="shared" si="90"/>
        <v>246.34185986079777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27.163259362293076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27.163259362293076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68.785244885186501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5.6843418860808015E-14</v>
      </c>
      <c r="BE101" s="13">
        <f>BD101*VLOOKUP('Données projet'!$B$11,Paramètres!$A$1:$I$89,3,0)*VLOOKUP('Données projet'!$B$11,Paramètres!$A$1:$I$89,5,0)</f>
        <v>4.4337866711430253E-14</v>
      </c>
      <c r="BF101" s="13">
        <f t="shared" si="91"/>
        <v>7.3222115536967035E-13</v>
      </c>
      <c r="BG101" s="20">
        <f t="shared" si="61"/>
        <v>1.3525069634579169E-12</v>
      </c>
      <c r="BH101" s="59">
        <f t="shared" si="62"/>
        <v>288.87923124568516</v>
      </c>
      <c r="BI101" s="59">
        <f ca="1">AVERAGE(OFFSET($BH$3,0,0,'Données projet'!$E$11+1,1))-AVERAGE(OFFSET($H$3,0,0,'Données projet'!$E$11+1,1))</f>
        <v>294.23449029791681</v>
      </c>
      <c r="BJ101" s="59">
        <f t="shared" si="92"/>
        <v>288.64639202306159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52.974735634016092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52.974735634016092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68.785244885186501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2.8</v>
      </c>
      <c r="BY101" s="12">
        <f>IF('Données projet'!$A$114&gt;35,BY100+BX101-CG100,IF(A101&lt;'Données projet'!$A$114,$BV$205^A101,IF(A101='Données projet'!$A$114,'Données projet'!$B$114,BY100+BX101-CG100)))</f>
        <v>276.39999999999998</v>
      </c>
      <c r="BZ101" s="13">
        <f>BY101*VLOOKUP('Données projet'!$B$12,Paramètres!$A$1:$I$89,3,0)*VLOOKUP('Données projet'!$B$12,Paramètres!$A$1:$I$89,5,0)</f>
        <v>297.51695999999998</v>
      </c>
      <c r="CA101" s="13">
        <f t="shared" si="93"/>
        <v>70.6556713918757</v>
      </c>
      <c r="CB101" s="20">
        <f t="shared" si="64"/>
        <v>641.23399967418345</v>
      </c>
      <c r="CC101" s="59">
        <f t="shared" si="65"/>
        <v>930.11323091986719</v>
      </c>
      <c r="CD101" s="59">
        <f ca="1">AVERAGE(OFFSET($CC$3,0,0,'Données projet'!$E$12+1,1))-AVERAGE(OFFSET($H$3,0,0,'Données projet'!$E$12+1,1))</f>
        <v>445.38112098358147</v>
      </c>
      <c r="CE101" s="59">
        <f t="shared" si="94"/>
        <v>272.45883568548516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30.725654032757753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30.725654032757753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68.785244885186501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2.8</v>
      </c>
      <c r="CT101" s="12">
        <f>IF('Données projet'!$A$140&gt;35,CT100+CS101-DB100,IF(A101&lt;'Données projet'!$A$140,$CQ$205^A101,IF(A101='Données projet'!$A$140,'Données projet'!$B$140,CT100+CS101-DB100)))</f>
        <v>276.39999999999998</v>
      </c>
      <c r="CU101" s="17">
        <f>CT101*VLOOKUP('Données projet'!$B$13,Paramètres!$A$1:$I$89,3,0)*VLOOKUP('Données projet'!$B$13,Paramètres!$A$1:$I$89,5,0)</f>
        <v>297.51695999999998</v>
      </c>
      <c r="CV101" s="13">
        <f t="shared" si="95"/>
        <v>70.6556713918757</v>
      </c>
      <c r="CW101" s="20">
        <f t="shared" si="67"/>
        <v>641.23399967418345</v>
      </c>
      <c r="CX101" s="59">
        <f t="shared" si="68"/>
        <v>930.11323091986719</v>
      </c>
      <c r="CY101" s="59">
        <f ca="1">AVERAGE(OFFSET($CX$3,0,0,'Données projet'!$E$13+1,1))-AVERAGE(OFFSET($H$3,0,0,'Données projet'!$E$13+1,1))</f>
        <v>445.38112098358147</v>
      </c>
      <c r="CZ101" s="59">
        <f t="shared" si="96"/>
        <v>272.45883568548516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30.725654032757753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30.725654032757753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68.785244885186501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2.8</v>
      </c>
      <c r="DO101" s="12">
        <f>IF('Données projet'!$A$166&gt;35,DO100+DN101-DW100,IF(A101&lt;'Données projet'!$A$166,$DL$205^A101,IF(A101='Données projet'!$A$166,'Données projet'!$B$166,DO100+DN101-DW100)))</f>
        <v>276.39999999999998</v>
      </c>
      <c r="DP101" s="17">
        <f>DO101*VLOOKUP('Données projet'!$B$14,Paramètres!$A$1:$I$89,3,0)*VLOOKUP('Données projet'!$B$14,Paramètres!$A$1:$I$89,5,0)</f>
        <v>267.33408000000003</v>
      </c>
      <c r="DQ101" s="13">
        <f t="shared" si="97"/>
        <v>64.283167454543104</v>
      </c>
      <c r="DR101" s="20">
        <f t="shared" si="70"/>
        <v>577.56670598332937</v>
      </c>
      <c r="DS101" s="59">
        <f t="shared" si="71"/>
        <v>866.44593722901323</v>
      </c>
      <c r="DT101" s="59">
        <f ca="1">AVERAGE(OFFSET($DS$3,0,0,'Données projet'!$E$14+1,1))-AVERAGE(OFFSET($H$3,0,0,'Données projet'!$E$14+1,1))</f>
        <v>405.29179902613089</v>
      </c>
      <c r="DU101" s="59">
        <f t="shared" si="98"/>
        <v>249.61049717638238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27.60855869610117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27.60855869610117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68.785244885186501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-5.6843418860808015E-13</v>
      </c>
      <c r="EK101" s="17">
        <f>EJ101*VLOOKUP('Données projet'!$B$15,Paramètres!$A$1:$I$89,3,0)*VLOOKUP('Données projet'!$B$15,Paramètres!$A$1:$I$89,5,0)</f>
        <v>-3.39923644787632E-13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444.77624981561257</v>
      </c>
      <c r="EP101" s="59">
        <f t="shared" si="100"/>
        <v>382.10319641527587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153.00675549812667</v>
      </c>
      <c r="EW101" s="21">
        <f>EXP(-LN(2)/25)*EW100+(1-EXP(-LN(2)/25))/(LN(2)/25)*Calculateur!ER101*Calculateur!ET101*VLOOKUP('Données projet'!$B$15,Paramètres!$A$1:$I$89,3,0)*0.475*44/12</f>
        <v>25.21577333930907</v>
      </c>
      <c r="EX101" s="21">
        <f>EXP(-LN(2)/2)*EX100+(1-EXP(-LN(2)/2))/(LN(2)/2)*ER101*EU101*VLOOKUP('Données projet'!$B$15,Paramètres!$A$1:$I$89,3,0)*0.475*44/12</f>
        <v>2.0067696953157146E-2</v>
      </c>
      <c r="EY101" s="22">
        <f t="shared" si="75"/>
        <v>178.24259653438889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68.785244885186501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3.4106051316484809E-13</v>
      </c>
      <c r="FF101" s="17">
        <f>FE101*VLOOKUP('Données projet'!$B$16,Paramètres!$A$1:$I$89,3,0)*VLOOKUP('Données projet'!$B$16,Paramètres!$A$1:$I$89,5,0)</f>
        <v>1.5074874681886286E-13</v>
      </c>
      <c r="FG101" s="13">
        <f t="shared" si="101"/>
        <v>2.1590218794584103E-12</v>
      </c>
      <c r="FH101" s="20">
        <f t="shared" si="76"/>
        <v>4.0228505074329168E-12</v>
      </c>
      <c r="FI101" s="59">
        <f t="shared" si="77"/>
        <v>288.87923124568783</v>
      </c>
      <c r="FJ101" s="59">
        <f ca="1">AVERAGE(OFFSET($FI$3,0,0,'Données projet'!$E$16+1,1))-AVERAGE(OFFSET($H$3,0,0,'Données projet'!$E$16+1,1))</f>
        <v>508.71179785154317</v>
      </c>
      <c r="FK101" s="59">
        <f t="shared" si="102"/>
        <v>422.73937290731442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194.55164360662539</v>
      </c>
      <c r="FR101" s="21">
        <f>EXP(-LN(2)/25)*FR100+(1-EXP(-LN(2)/25))/(LN(2)/25)*Calculateur!FM101*Calculateur!FO101*VLOOKUP('Données projet'!$B$16,Paramètres!$A$1:$I$89,3,0)*0.475*44/12</f>
        <v>41.31413630880747</v>
      </c>
      <c r="FS101" s="21">
        <f>EXP(-LN(2)/2)*FS100+(1-EXP(-LN(2)/2))/(LN(2)/2)*FM101*FP101*VLOOKUP('Données projet'!$B$16,Paramètres!$A$1:$I$89,3,0)*0.475*44/12</f>
        <v>8.4118949109802152E-2</v>
      </c>
      <c r="FT101" s="22">
        <f t="shared" si="78"/>
        <v>235.94989886454266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68.785244885186501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68.785244885186501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1.35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4.95</v>
      </c>
      <c r="H102" s="67">
        <f t="shared" si="56"/>
        <v>236.86666666666665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68.806318170642925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6</v>
      </c>
      <c r="N102" s="13">
        <f>IF('Données projet'!$A$36&gt;35,N101+M102-V101,IF(A102&lt;'Données projet'!$A$36,$K$205^A102,IF(A102='Données projet'!$A$36,'Données projet'!$B$36,N101+M102-V101)))</f>
        <v>356.00000000000017</v>
      </c>
      <c r="O102" s="13">
        <f>N102*VLOOKUP('Données projet'!$B$9,Paramètres!$A$1:$I$89,3,0)*VLOOKUP('Données projet'!$B$9,Paramètres!$A$1:$I$89,5,0)</f>
        <v>322.10880000000014</v>
      </c>
      <c r="P102" s="13">
        <f t="shared" si="87"/>
        <v>75.791962638025339</v>
      </c>
      <c r="Q102" s="20">
        <f t="shared" si="107"/>
        <v>693.01049492789434</v>
      </c>
      <c r="R102" s="59">
        <f t="shared" si="55"/>
        <v>981.96699488691843</v>
      </c>
      <c r="S102" s="59">
        <f ca="1">AVERAGE(OFFSET($R$3,0,0,'Données projet'!$E$9+1,1))-AVERAGE(OFFSET($H$3,0,0,'Données projet'!$E$9+1,1))</f>
        <v>466.90449882701591</v>
      </c>
      <c r="T102" s="59">
        <f t="shared" si="88"/>
        <v>283.37641704892053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35.338870555572498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35.338870555572498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68.806318170642925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2.8</v>
      </c>
      <c r="AI102" s="13">
        <f>IF('Données projet'!$A$62&gt;35,AI101+AH102-AQ101,IF(A102&lt;'Données projet'!$A$62,$AF$205^A102,IF(A102='Données projet'!$A$62,'Données projet'!$B$62,AI101+AH102-AQ101)))</f>
        <v>279.2</v>
      </c>
      <c r="AJ102" s="13">
        <f>AI102*VLOOKUP('Données projet'!$B$10,Paramètres!$A$1:$I$89,3,0)*VLOOKUP('Données projet'!$B$10,Paramètres!$A$1:$I$89,5,0)</f>
        <v>265.68671999999998</v>
      </c>
      <c r="AK102" s="13">
        <f t="shared" si="89"/>
        <v>63.933026226895024</v>
      </c>
      <c r="AL102" s="20">
        <f t="shared" si="58"/>
        <v>574.08772467850872</v>
      </c>
      <c r="AM102" s="59">
        <f t="shared" si="59"/>
        <v>863.04422463753281</v>
      </c>
      <c r="AN102" s="59">
        <f ca="1">AVERAGE(OFFSET($AM$3,0,0,'Données projet'!$E$10+1,1))-AVERAGE(OFFSET($H$3,0,0,'Données projet'!$E$10+1,1))</f>
        <v>399.5572791581468</v>
      </c>
      <c r="AO102" s="59">
        <f t="shared" si="90"/>
        <v>246.34185986079777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26.630604414150771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26.630604414150771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68.806318170642925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5.6843418860808015E-14</v>
      </c>
      <c r="BE102" s="13">
        <f>BD102*VLOOKUP('Données projet'!$B$11,Paramètres!$A$1:$I$89,3,0)*VLOOKUP('Données projet'!$B$11,Paramètres!$A$1:$I$89,5,0)</f>
        <v>4.4337866711430253E-14</v>
      </c>
      <c r="BF102" s="13">
        <f t="shared" si="91"/>
        <v>7.3222115536967035E-13</v>
      </c>
      <c r="BG102" s="20">
        <f t="shared" si="61"/>
        <v>1.3525069634579169E-12</v>
      </c>
      <c r="BH102" s="59">
        <f t="shared" si="62"/>
        <v>288.95649995902539</v>
      </c>
      <c r="BI102" s="59">
        <f ca="1">AVERAGE(OFFSET($BH$3,0,0,'Données projet'!$E$11+1,1))-AVERAGE(OFFSET($H$3,0,0,'Données projet'!$E$11+1,1))</f>
        <v>294.23449029791681</v>
      </c>
      <c r="BJ102" s="59">
        <f t="shared" si="92"/>
        <v>288.64639202306159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51.935933379631287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51.935933379631287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68.806318170642925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2.8</v>
      </c>
      <c r="BY102" s="12">
        <f>IF('Données projet'!$A$114&gt;35,BY101+BX102-CG101,IF(A102&lt;'Données projet'!$A$114,$BV$205^A102,IF(A102='Données projet'!$A$114,'Données projet'!$B$114,BY101+BX102-CG101)))</f>
        <v>279.2</v>
      </c>
      <c r="BZ102" s="13">
        <f>BY102*VLOOKUP('Données projet'!$B$12,Paramètres!$A$1:$I$89,3,0)*VLOOKUP('Données projet'!$B$12,Paramètres!$A$1:$I$89,5,0)</f>
        <v>300.53087999999997</v>
      </c>
      <c r="CA102" s="13">
        <f t="shared" si="93"/>
        <v>71.287744860425462</v>
      </c>
      <c r="CB102" s="20">
        <f t="shared" si="64"/>
        <v>647.58410496524095</v>
      </c>
      <c r="CC102" s="59">
        <f t="shared" si="65"/>
        <v>936.54060492426493</v>
      </c>
      <c r="CD102" s="59">
        <f ca="1">AVERAGE(OFFSET($CC$3,0,0,'Données projet'!$E$12+1,1))-AVERAGE(OFFSET($H$3,0,0,'Données projet'!$E$12+1,1))</f>
        <v>445.38112098358147</v>
      </c>
      <c r="CE102" s="59">
        <f t="shared" si="94"/>
        <v>272.45883568548516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30.123142697973833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30.123142697973833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68.806318170642925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2.8</v>
      </c>
      <c r="CT102" s="12">
        <f>IF('Données projet'!$A$140&gt;35,CT101+CS102-DB101,IF(A102&lt;'Données projet'!$A$140,$CQ$205^A102,IF(A102='Données projet'!$A$140,'Données projet'!$B$140,CT101+CS102-DB101)))</f>
        <v>279.2</v>
      </c>
      <c r="CU102" s="17">
        <f>CT102*VLOOKUP('Données projet'!$B$13,Paramètres!$A$1:$I$89,3,0)*VLOOKUP('Données projet'!$B$13,Paramètres!$A$1:$I$89,5,0)</f>
        <v>300.53087999999997</v>
      </c>
      <c r="CV102" s="13">
        <f t="shared" si="95"/>
        <v>71.287744860425462</v>
      </c>
      <c r="CW102" s="20">
        <f t="shared" si="67"/>
        <v>647.58410496524095</v>
      </c>
      <c r="CX102" s="59">
        <f t="shared" si="68"/>
        <v>936.54060492426493</v>
      </c>
      <c r="CY102" s="59">
        <f ca="1">AVERAGE(OFFSET($CX$3,0,0,'Données projet'!$E$13+1,1))-AVERAGE(OFFSET($H$3,0,0,'Données projet'!$E$13+1,1))</f>
        <v>445.38112098358147</v>
      </c>
      <c r="CZ102" s="59">
        <f t="shared" si="96"/>
        <v>272.45883568548516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30.123142697973833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30.123142697973833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68.806318170642925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2.8</v>
      </c>
      <c r="DO102" s="12">
        <f>IF('Données projet'!$A$166&gt;35,DO101+DN102-DW101,IF(A102&lt;'Données projet'!$A$166,$DL$205^A102,IF(A102='Données projet'!$A$166,'Données projet'!$B$166,DO101+DN102-DW101)))</f>
        <v>279.2</v>
      </c>
      <c r="DP102" s="17">
        <f>DO102*VLOOKUP('Données projet'!$B$14,Paramètres!$A$1:$I$89,3,0)*VLOOKUP('Données projet'!$B$14,Paramètres!$A$1:$I$89,5,0)</f>
        <v>270.04223999999999</v>
      </c>
      <c r="DQ102" s="13">
        <f t="shared" si="97"/>
        <v>64.858233600288145</v>
      </c>
      <c r="DR102" s="20">
        <f t="shared" si="70"/>
        <v>583.28499152050188</v>
      </c>
      <c r="DS102" s="59">
        <f t="shared" si="71"/>
        <v>872.24149147952585</v>
      </c>
      <c r="DT102" s="59">
        <f ca="1">AVERAGE(OFFSET($DS$3,0,0,'Données projet'!$E$14+1,1))-AVERAGE(OFFSET($H$3,0,0,'Données projet'!$E$14+1,1))</f>
        <v>405.29179902613089</v>
      </c>
      <c r="DU102" s="59">
        <f t="shared" si="98"/>
        <v>249.61049717638238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27.067171699628663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27.067171699628663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68.806318170642925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-5.6843418860808015E-13</v>
      </c>
      <c r="EK102" s="17">
        <f>EJ102*VLOOKUP('Données projet'!$B$15,Paramètres!$A$1:$I$89,3,0)*VLOOKUP('Données projet'!$B$15,Paramètres!$A$1:$I$89,5,0)</f>
        <v>-3.39923644787632E-13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444.77624981561257</v>
      </c>
      <c r="EP102" s="59">
        <f t="shared" si="100"/>
        <v>382.10319641527587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150.0063863477142</v>
      </c>
      <c r="EW102" s="21">
        <f>EXP(-LN(2)/25)*EW101+(1-EXP(-LN(2)/25))/(LN(2)/25)*Calculateur!ER102*Calculateur!ET102*VLOOKUP('Données projet'!$B$15,Paramètres!$A$1:$I$89,3,0)*0.475*44/12</f>
        <v>24.526246691305776</v>
      </c>
      <c r="EX102" s="21">
        <f>EXP(-LN(2)/2)*EX101+(1-EXP(-LN(2)/2))/(LN(2)/2)*ER102*EU102*VLOOKUP('Données projet'!$B$15,Paramètres!$A$1:$I$89,3,0)*0.475*44/12</f>
        <v>1.4190004598374037E-2</v>
      </c>
      <c r="EY102" s="22">
        <f t="shared" si="75"/>
        <v>174.54682304361833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68.806318170642925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3.4106051316484809E-13</v>
      </c>
      <c r="FF102" s="17">
        <f>FE102*VLOOKUP('Données projet'!$B$16,Paramètres!$A$1:$I$89,3,0)*VLOOKUP('Données projet'!$B$16,Paramètres!$A$1:$I$89,5,0)</f>
        <v>1.5074874681886286E-13</v>
      </c>
      <c r="FG102" s="13">
        <f t="shared" si="101"/>
        <v>2.1590218794584103E-12</v>
      </c>
      <c r="FH102" s="20">
        <f t="shared" si="76"/>
        <v>4.0228505074329168E-12</v>
      </c>
      <c r="FI102" s="59">
        <f t="shared" si="77"/>
        <v>288.95649995902806</v>
      </c>
      <c r="FJ102" s="59">
        <f ca="1">AVERAGE(OFFSET($FI$3,0,0,'Données projet'!$E$16+1,1))-AVERAGE(OFFSET($H$3,0,0,'Données projet'!$E$16+1,1))</f>
        <v>508.71179785154317</v>
      </c>
      <c r="FK102" s="59">
        <f t="shared" si="102"/>
        <v>422.73937290731442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190.7366045402849</v>
      </c>
      <c r="FR102" s="21">
        <f>EXP(-LN(2)/25)*FR101+(1-EXP(-LN(2)/25))/(LN(2)/25)*Calculateur!FM102*Calculateur!FO102*VLOOKUP('Données projet'!$B$16,Paramètres!$A$1:$I$89,3,0)*0.475*44/12</f>
        <v>40.184399078827127</v>
      </c>
      <c r="FS102" s="21">
        <f>EXP(-LN(2)/2)*FS101+(1-EXP(-LN(2)/2))/(LN(2)/2)*FM102*FP102*VLOOKUP('Données projet'!$B$16,Paramètres!$A$1:$I$89,3,0)*0.475*44/12</f>
        <v>5.9481079341827198E-2</v>
      </c>
      <c r="FT102" s="22">
        <f t="shared" si="78"/>
        <v>230.98048469845384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68.806318170642925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68.806318170642925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1.35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4.95</v>
      </c>
      <c r="H103" s="67">
        <f t="shared" si="56"/>
        <v>236.86666666666665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68.827025881709488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362</v>
      </c>
      <c r="L103" s="12">
        <f>VLOOKUP(A103,'Données projet'!$A$35:$I$55,9,0)</f>
        <v>6</v>
      </c>
      <c r="M103" s="12">
        <f t="array" ref="M103">INDEX(L:L,MIN(IF(ISNUMBER(L103:L299),ROW(L103:L299),"")))</f>
        <v>6</v>
      </c>
      <c r="N103" s="13">
        <f>IF('Données projet'!$A$36&gt;35,N102+M103-V102,IF(A103&lt;'Données projet'!$A$36,$K$205^A103,IF(A103='Données projet'!$A$36,'Données projet'!$B$36,N102+M103-V102)))</f>
        <v>362.00000000000017</v>
      </c>
      <c r="O103" s="13">
        <f>N103*VLOOKUP('Données projet'!$B$9,Paramètres!$A$1:$I$89,3,0)*VLOOKUP('Données projet'!$B$9,Paramètres!$A$1:$I$89,5,0)</f>
        <v>327.53760000000017</v>
      </c>
      <c r="P103" s="13">
        <f t="shared" si="87"/>
        <v>76.919566502794808</v>
      </c>
      <c r="Q103" s="20">
        <f t="shared" si="107"/>
        <v>704.42956499236789</v>
      </c>
      <c r="R103" s="59">
        <f t="shared" si="55"/>
        <v>993.46199322530265</v>
      </c>
      <c r="S103" s="59">
        <f ca="1">AVERAGE(OFFSET($R$3,0,0,'Données projet'!$E$9+1,1))-AVERAGE(OFFSET($H$3,0,0,'Données projet'!$E$9+1,1))</f>
        <v>466.90449882701591</v>
      </c>
      <c r="T103" s="59">
        <f t="shared" si="88"/>
        <v>283.37641704892053</v>
      </c>
      <c r="U103" s="15">
        <f>IF(ISNA(VLOOKUP(A103,'Données projet'!$A$35:$I$55,3,0)),0,VLOOKUP(A103,'Données projet'!$A$35:$I$55,3,0))</f>
        <v>17</v>
      </c>
      <c r="V103" s="15">
        <f>IF(ISNA(VLOOKUP(A103,'Données projet'!$A$35:$I$55,4,0)),0,VLOOKUP(A103,'Données projet'!$A$35:$I$55,4,0))</f>
        <v>56</v>
      </c>
      <c r="W103" s="16">
        <f>IF(ISNA(VLOOKUP(A103,'Données projet'!$A$35:$I$55,5,0)),0%,VLOOKUP(A103,'Données projet'!$A$35:$I$55,5,0)*VLOOKUP('Données projet'!$B$9,Paramètres!$A$1:$I$89,7,0))</f>
        <v>0.34400000000000003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53.914319861429249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53.914319861429249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68.827025881709488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282</v>
      </c>
      <c r="AG103" s="12">
        <f>VLOOKUP(A103,'Données projet'!$A$61:$I$81,9,0)</f>
        <v>2.8</v>
      </c>
      <c r="AH103" s="12">
        <f t="array" ref="AH103">INDEX(AG:AG,MIN(IF(ISNUMBER(AG103:AG299),ROW(AG103:AG299),"")))</f>
        <v>2.8</v>
      </c>
      <c r="AI103" s="13">
        <f>IF('Données projet'!$A$62&gt;35,AI102+AH103-AQ102,IF(A103&lt;'Données projet'!$A$62,$AF$205^A103,IF(A103='Données projet'!$A$62,'Données projet'!$B$62,AI102+AH103-AQ102)))</f>
        <v>282</v>
      </c>
      <c r="AJ103" s="13">
        <f>AI103*VLOOKUP('Données projet'!$B$10,Paramètres!$A$1:$I$89,3,0)*VLOOKUP('Données projet'!$B$10,Paramètres!$A$1:$I$89,5,0)</f>
        <v>268.35120000000001</v>
      </c>
      <c r="AK103" s="13">
        <f t="shared" si="89"/>
        <v>64.499227668096125</v>
      </c>
      <c r="AL103" s="20">
        <f t="shared" si="58"/>
        <v>579.71449485526739</v>
      </c>
      <c r="AM103" s="59">
        <f t="shared" si="59"/>
        <v>868.74692308820227</v>
      </c>
      <c r="AN103" s="59">
        <f ca="1">AVERAGE(OFFSET($AM$3,0,0,'Données projet'!$E$10+1,1))-AVERAGE(OFFSET($H$3,0,0,'Données projet'!$E$10+1,1))</f>
        <v>399.5572791581468</v>
      </c>
      <c r="AO103" s="59">
        <f t="shared" si="90"/>
        <v>246.34185986079777</v>
      </c>
      <c r="AP103" s="15">
        <f>IF(ISNA(VLOOKUP(A103,'Données projet'!$A$61:$I$81,3,0)),0,VLOOKUP(A103,'Données projet'!$A$61:$I$81,3,0))</f>
        <v>16</v>
      </c>
      <c r="AQ103" s="15">
        <f>IF(ISNA(VLOOKUP(A103,'Données projet'!$A$61:$I$81,4,0)),0,VLOOKUP(A103,'Données projet'!$A$61:$I$81,4,0))</f>
        <v>21</v>
      </c>
      <c r="AR103" s="16">
        <f>IF(ISNA(VLOOKUP(A103,'Données projet'!$A$61:$I$81,5,0)),0%,VLOOKUP(A103,'Données projet'!$A$61:$I$81,5,0)*VLOOKUP('Données projet'!$B$10,Paramètres!$A$1:$I$89,7,0))</f>
        <v>0.30099999999999999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32.75786914546093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32.75786914546093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68.827025881709488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5.6843418860808015E-14</v>
      </c>
      <c r="BE103" s="13">
        <f>BD103*VLOOKUP('Données projet'!$B$11,Paramètres!$A$1:$I$89,3,0)*VLOOKUP('Données projet'!$B$11,Paramètres!$A$1:$I$89,5,0)</f>
        <v>4.4337866711430253E-14</v>
      </c>
      <c r="BF103" s="13">
        <f t="shared" si="91"/>
        <v>7.3222115536967035E-13</v>
      </c>
      <c r="BG103" s="20">
        <f t="shared" si="61"/>
        <v>1.3525069634579169E-12</v>
      </c>
      <c r="BH103" s="59">
        <f t="shared" si="62"/>
        <v>289.03242823293618</v>
      </c>
      <c r="BI103" s="59">
        <f ca="1">AVERAGE(OFFSET($BH$3,0,0,'Données projet'!$E$11+1,1))-AVERAGE(OFFSET($H$3,0,0,'Données projet'!$E$11+1,1))</f>
        <v>294.23449029791681</v>
      </c>
      <c r="BJ103" s="59">
        <f t="shared" si="92"/>
        <v>288.64639202306159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50.917501403848156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50.917501403848156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68.827025881709488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282</v>
      </c>
      <c r="BW103" s="12">
        <f>VLOOKUP(A103,'Données projet'!$A$113:$I$133,9,0)</f>
        <v>2.8</v>
      </c>
      <c r="BX103" s="12">
        <f t="array" ref="BX103">INDEX(BW:BW,MIN(IF(ISNUMBER(BW103:BW299),ROW(BW103:BW299),"")))</f>
        <v>2.8</v>
      </c>
      <c r="BY103" s="12">
        <f>IF('Données projet'!$A$114&gt;35,BY102+BX103-CG102,IF(A103&lt;'Données projet'!$A$114,$BV$205^A103,IF(A103='Données projet'!$A$114,'Données projet'!$B$114,BY102+BX103-CG102)))</f>
        <v>282</v>
      </c>
      <c r="BZ103" s="13">
        <f>BY103*VLOOKUP('Données projet'!$B$12,Paramètres!$A$1:$I$89,3,0)*VLOOKUP('Données projet'!$B$12,Paramètres!$A$1:$I$89,5,0)</f>
        <v>303.54480000000001</v>
      </c>
      <c r="CA103" s="13">
        <f t="shared" si="93"/>
        <v>71.919080904752505</v>
      </c>
      <c r="CB103" s="20">
        <f t="shared" si="64"/>
        <v>653.93292590911062</v>
      </c>
      <c r="CC103" s="59">
        <f t="shared" si="65"/>
        <v>942.9653541420455</v>
      </c>
      <c r="CD103" s="59">
        <f ca="1">AVERAGE(OFFSET($CC$3,0,0,'Données projet'!$E$12+1,1))-AVERAGE(OFFSET($H$3,0,0,'Données projet'!$E$12+1,1))</f>
        <v>445.38112098358147</v>
      </c>
      <c r="CE103" s="59">
        <f t="shared" si="94"/>
        <v>272.45883568548516</v>
      </c>
      <c r="CF103" s="15">
        <f>IF(ISNA(VLOOKUP(A103,'Données projet'!$A$113:$I$133,3,0)),0,VLOOKUP(A103,'Données projet'!$A$113:$I$133,3,0))</f>
        <v>16</v>
      </c>
      <c r="CG103" s="15">
        <f>IF(ISNA(VLOOKUP(A103,'Données projet'!$A$113:$I$133,4,0)),0,VLOOKUP(A103,'Données projet'!$A$113:$I$133,4,0))</f>
        <v>21</v>
      </c>
      <c r="CH103" s="16">
        <f>IF(ISNA(VLOOKUP(A103,'Données projet'!$A$113:$I$133,5,0)),0%,VLOOKUP(A103,'Données projet'!$A$113:$I$133,5,0)*VLOOKUP('Données projet'!$B$12,Paramètres!$A$1:$I$89,7,0))</f>
        <v>0.30099999999999999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37.053983131750897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37.053983131750897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68.827025881709488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282</v>
      </c>
      <c r="CR103" s="12">
        <f>VLOOKUP(A103,'Données projet'!$A$139:$I$159,9,0)</f>
        <v>2.8</v>
      </c>
      <c r="CS103" s="12">
        <f t="array" ref="CS103">INDEX(CR:CR,MIN(IF(ISNUMBER(CR103:CR299),ROW(CR103:CR299),"")))</f>
        <v>2.8</v>
      </c>
      <c r="CT103" s="12">
        <f>IF('Données projet'!$A$140&gt;35,CT102+CS103-DB102,IF(A103&lt;'Données projet'!$A$140,$CQ$205^A103,IF(A103='Données projet'!$A$140,'Données projet'!$B$140,CT102+CS103-DB102)))</f>
        <v>282</v>
      </c>
      <c r="CU103" s="17">
        <f>CT103*VLOOKUP('Données projet'!$B$13,Paramètres!$A$1:$I$89,3,0)*VLOOKUP('Données projet'!$B$13,Paramètres!$A$1:$I$89,5,0)</f>
        <v>303.54480000000001</v>
      </c>
      <c r="CV103" s="13">
        <f t="shared" si="95"/>
        <v>71.919080904752505</v>
      </c>
      <c r="CW103" s="20">
        <f t="shared" si="67"/>
        <v>653.93292590911062</v>
      </c>
      <c r="CX103" s="59">
        <f t="shared" si="68"/>
        <v>942.9653541420455</v>
      </c>
      <c r="CY103" s="59">
        <f ca="1">AVERAGE(OFFSET($CX$3,0,0,'Données projet'!$E$13+1,1))-AVERAGE(OFFSET($H$3,0,0,'Données projet'!$E$13+1,1))</f>
        <v>445.38112098358147</v>
      </c>
      <c r="CZ103" s="59">
        <f t="shared" si="96"/>
        <v>272.45883568548516</v>
      </c>
      <c r="DA103" s="15">
        <f>IF(ISNA(VLOOKUP(A103,'Données projet'!$A$139:$I$159,3,0)),0,VLOOKUP(A103,'Données projet'!$A$139:$I$159,3,0))</f>
        <v>16</v>
      </c>
      <c r="DB103" s="15">
        <f>IF(ISNA(VLOOKUP(A103,'Données projet'!$A$139:$I$159,4,0)),0,VLOOKUP(A103,'Données projet'!$A$139:$I$159,4,0))</f>
        <v>21</v>
      </c>
      <c r="DC103" s="16">
        <f>IF(ISNA(VLOOKUP(A103,'Données projet'!$A$139:$I$159,5,0)),0%,VLOOKUP(A103,'Données projet'!$A$139:$I$159,5,0)*VLOOKUP('Données projet'!$B$13,Paramètres!$A$1:$I$89,7,0))</f>
        <v>0.30099999999999999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37.053983131750897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37.053983131750897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68.827025881709488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>
        <f>VLOOKUP(A103,'Données projet'!$A$165:$I$185,2,0)</f>
        <v>282</v>
      </c>
      <c r="DM103" s="12">
        <f>VLOOKUP(A103,'Données projet'!$A$165:$I$185,9,0)</f>
        <v>2.8</v>
      </c>
      <c r="DN103" s="12">
        <f t="array" ref="DN103">INDEX(DM:DM,MIN(IF(ISNUMBER(DM103:DM299),ROW(DM103:DM299),"")))</f>
        <v>2.8</v>
      </c>
      <c r="DO103" s="12">
        <f>IF('Données projet'!$A$166&gt;35,DO102+DN103-DW102,IF(A103&lt;'Données projet'!$A$166,$DL$205^A103,IF(A103='Données projet'!$A$166,'Données projet'!$B$166,DO102+DN103-DW102)))</f>
        <v>282</v>
      </c>
      <c r="DP103" s="17">
        <f>DO103*VLOOKUP('Données projet'!$B$14,Paramètres!$A$1:$I$89,3,0)*VLOOKUP('Données projet'!$B$14,Paramètres!$A$1:$I$89,5,0)</f>
        <v>272.75040000000001</v>
      </c>
      <c r="DQ103" s="13">
        <f t="shared" si="97"/>
        <v>65.43262883082069</v>
      </c>
      <c r="DR103" s="20">
        <f t="shared" si="70"/>
        <v>589.00210854701277</v>
      </c>
      <c r="DS103" s="59">
        <f t="shared" si="71"/>
        <v>878.03453677994753</v>
      </c>
      <c r="DT103" s="59">
        <f ca="1">AVERAGE(OFFSET($DS$3,0,0,'Données projet'!$E$14+1,1))-AVERAGE(OFFSET($H$3,0,0,'Données projet'!$E$14+1,1))</f>
        <v>405.29179902613089</v>
      </c>
      <c r="DU103" s="59">
        <f t="shared" si="98"/>
        <v>249.61049717638238</v>
      </c>
      <c r="DV103" s="15">
        <f>IF(ISNA(VLOOKUP(A103,'Données projet'!$A$165:$I$185,3,0)),0,VLOOKUP(A103,'Données projet'!$A$165:$I$185,3,0))</f>
        <v>16</v>
      </c>
      <c r="DW103" s="15">
        <f>IF(ISNA(VLOOKUP(A103,'Données projet'!$A$165:$I$185,4,0)),0,VLOOKUP(A103,'Données projet'!$A$165:$I$185,4,0))</f>
        <v>21</v>
      </c>
      <c r="DX103" s="16">
        <f>IF(ISNA(VLOOKUP(A103,'Données projet'!$A$165:$I$185,5,0)),0%,VLOOKUP(A103,'Données projet'!$A$165:$I$185,5,0)*VLOOKUP('Données projet'!$B$14,Paramètres!$A$1:$I$89,7,0))</f>
        <v>0.30099999999999999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33.294883393747185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33.294883393747185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68.827025881709488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-5.6843418860808015E-13</v>
      </c>
      <c r="EK103" s="17">
        <f>EJ103*VLOOKUP('Données projet'!$B$15,Paramètres!$A$1:$I$89,3,0)*VLOOKUP('Données projet'!$B$15,Paramètres!$A$1:$I$89,5,0)</f>
        <v>-3.39923644787632E-13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444.77624981561257</v>
      </c>
      <c r="EP103" s="59">
        <f t="shared" si="100"/>
        <v>382.10319641527587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147.06485260629682</v>
      </c>
      <c r="EW103" s="21">
        <f>EXP(-LN(2)/25)*EW102+(1-EXP(-LN(2)/25))/(LN(2)/25)*Calculateur!ER103*Calculateur!ET103*VLOOKUP('Données projet'!$B$15,Paramètres!$A$1:$I$89,3,0)*0.475*44/12</f>
        <v>23.855575185752762</v>
      </c>
      <c r="EX103" s="21">
        <f>EXP(-LN(2)/2)*EX102+(1-EXP(-LN(2)/2))/(LN(2)/2)*ER103*EU103*VLOOKUP('Données projet'!$B$15,Paramètres!$A$1:$I$89,3,0)*0.475*44/12</f>
        <v>1.0033848476578573E-2</v>
      </c>
      <c r="EY103" s="22">
        <f t="shared" si="75"/>
        <v>170.93046164052618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68.827025881709488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3.4106051316484809E-13</v>
      </c>
      <c r="FF103" s="17">
        <f>FE103*VLOOKUP('Données projet'!$B$16,Paramètres!$A$1:$I$89,3,0)*VLOOKUP('Données projet'!$B$16,Paramètres!$A$1:$I$89,5,0)</f>
        <v>1.5074874681886286E-13</v>
      </c>
      <c r="FG103" s="13">
        <f t="shared" si="101"/>
        <v>2.1590218794584103E-12</v>
      </c>
      <c r="FH103" s="20">
        <f t="shared" si="76"/>
        <v>4.0228505074329168E-12</v>
      </c>
      <c r="FI103" s="59">
        <f t="shared" si="77"/>
        <v>289.03242823293886</v>
      </c>
      <c r="FJ103" s="59">
        <f ca="1">AVERAGE(OFFSET($FI$3,0,0,'Données projet'!$E$16+1,1))-AVERAGE(OFFSET($H$3,0,0,'Données projet'!$E$16+1,1))</f>
        <v>508.71179785154317</v>
      </c>
      <c r="FK103" s="59">
        <f t="shared" si="102"/>
        <v>422.73937290731442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186.99637606309128</v>
      </c>
      <c r="FR103" s="21">
        <f>EXP(-LN(2)/25)*FR102+(1-EXP(-LN(2)/25))/(LN(2)/25)*Calculateur!FM103*Calculateur!FO103*VLOOKUP('Données projet'!$B$16,Paramètres!$A$1:$I$89,3,0)*0.475*44/12</f>
        <v>39.085554572810892</v>
      </c>
      <c r="FS103" s="21">
        <f>EXP(-LN(2)/2)*FS102+(1-EXP(-LN(2)/2))/(LN(2)/2)*FM103*FP103*VLOOKUP('Données projet'!$B$16,Paramètres!$A$1:$I$89,3,0)*0.475*44/12</f>
        <v>4.2059474554901076E-2</v>
      </c>
      <c r="FT103" s="22">
        <f t="shared" si="78"/>
        <v>226.12399011045704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68.827025881709488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68.827025881709488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1.35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4.95</v>
      </c>
      <c r="H104" s="67">
        <f t="shared" si="56"/>
        <v>236.86666666666665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68.847374360284576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5.2</v>
      </c>
      <c r="N104" s="13">
        <f>IF('Données projet'!$A$36&gt;35,N103+M104-V103,IF(A104&lt;'Données projet'!$A$36,$K$205^A104,IF(A104='Données projet'!$A$36,'Données projet'!$B$36,N103+M104-V103)))</f>
        <v>311.20000000000016</v>
      </c>
      <c r="O104" s="13">
        <f>N104*VLOOKUP('Données projet'!$B$9,Paramètres!$A$1:$I$89,3,0)*VLOOKUP('Données projet'!$B$9,Paramètres!$A$1:$I$89,5,0)</f>
        <v>281.57376000000011</v>
      </c>
      <c r="P104" s="13">
        <f t="shared" si="87"/>
        <v>67.299481043335049</v>
      </c>
      <c r="Q104" s="20">
        <f t="shared" si="107"/>
        <v>607.62089481714213</v>
      </c>
      <c r="R104" s="59">
        <f t="shared" si="55"/>
        <v>896.72793413818556</v>
      </c>
      <c r="S104" s="59">
        <f ca="1">AVERAGE(OFFSET($R$3,0,0,'Données projet'!$E$9+1,1))-AVERAGE(OFFSET($H$3,0,0,'Données projet'!$E$9+1,1))</f>
        <v>466.90449882701591</v>
      </c>
      <c r="T104" s="59">
        <f t="shared" si="88"/>
        <v>283.37641704892053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52.857092933434664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52.857092933434664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68.847374360284576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2.4</v>
      </c>
      <c r="AI104" s="13">
        <f>IF('Données projet'!$A$62&gt;35,AI103+AH104-AQ103,IF(A104&lt;'Données projet'!$A$62,$AF$205^A104,IF(A104='Données projet'!$A$62,'Données projet'!$B$62,AI103+AH104-AQ103)))</f>
        <v>263.39999999999998</v>
      </c>
      <c r="AJ104" s="13">
        <f>AI104*VLOOKUP('Données projet'!$B$10,Paramètres!$A$1:$I$89,3,0)*VLOOKUP('Données projet'!$B$10,Paramètres!$A$1:$I$89,5,0)</f>
        <v>250.65143999999998</v>
      </c>
      <c r="AK104" s="13">
        <f t="shared" si="89"/>
        <v>60.725415788925126</v>
      </c>
      <c r="AL104" s="20">
        <f t="shared" si="58"/>
        <v>542.31469049904456</v>
      </c>
      <c r="AM104" s="59">
        <f t="shared" si="59"/>
        <v>831.42172982008799</v>
      </c>
      <c r="AN104" s="59">
        <f ca="1">AVERAGE(OFFSET($AM$3,0,0,'Données projet'!$E$10+1,1))-AVERAGE(OFFSET($H$3,0,0,'Données projet'!$E$10+1,1))</f>
        <v>399.5572791581468</v>
      </c>
      <c r="AO104" s="59">
        <f t="shared" si="90"/>
        <v>246.34185986079777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32.115507311845725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32.115507311845725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68.847374360284576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5.6843418860808015E-14</v>
      </c>
      <c r="BE104" s="13">
        <f>BD104*VLOOKUP('Données projet'!$B$11,Paramètres!$A$1:$I$89,3,0)*VLOOKUP('Données projet'!$B$11,Paramètres!$A$1:$I$89,5,0)</f>
        <v>4.4337866711430253E-14</v>
      </c>
      <c r="BF104" s="13">
        <f t="shared" si="91"/>
        <v>7.3222115536967035E-13</v>
      </c>
      <c r="BG104" s="20">
        <f t="shared" si="61"/>
        <v>1.3525069634579169E-12</v>
      </c>
      <c r="BH104" s="59">
        <f t="shared" si="62"/>
        <v>289.10703932104479</v>
      </c>
      <c r="BI104" s="59">
        <f ca="1">AVERAGE(OFFSET($BH$3,0,0,'Données projet'!$E$11+1,1))-AVERAGE(OFFSET($H$3,0,0,'Données projet'!$E$11+1,1))</f>
        <v>294.23449029791681</v>
      </c>
      <c r="BJ104" s="59">
        <f t="shared" si="92"/>
        <v>288.64639202306159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49.919040257927968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49.919040257927968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68.847374360284576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2.4</v>
      </c>
      <c r="BY104" s="12">
        <f>IF('Données projet'!$A$114&gt;35,BY103+BX104-CG103,IF(A104&lt;'Données projet'!$A$114,$BV$205^A104,IF(A104='Données projet'!$A$114,'Données projet'!$B$114,BY103+BX104-CG103)))</f>
        <v>263.39999999999998</v>
      </c>
      <c r="BZ104" s="13">
        <f>BY104*VLOOKUP('Données projet'!$B$12,Paramètres!$A$1:$I$89,3,0)*VLOOKUP('Données projet'!$B$12,Paramètres!$A$1:$I$89,5,0)</f>
        <v>283.52375999999998</v>
      </c>
      <c r="CA104" s="13">
        <f t="shared" si="93"/>
        <v>67.711137776285298</v>
      </c>
      <c r="CB104" s="20">
        <f t="shared" si="64"/>
        <v>611.73411362703007</v>
      </c>
      <c r="CC104" s="59">
        <f t="shared" si="65"/>
        <v>900.8411529480735</v>
      </c>
      <c r="CD104" s="59">
        <f ca="1">AVERAGE(OFFSET($CC$3,0,0,'Données projet'!$E$12+1,1))-AVERAGE(OFFSET($H$3,0,0,'Données projet'!$E$12+1,1))</f>
        <v>445.38112098358147</v>
      </c>
      <c r="CE104" s="59">
        <f t="shared" si="94"/>
        <v>272.45883568548516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36.327377123235337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36.327377123235337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68.847374360284576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2.4</v>
      </c>
      <c r="CT104" s="12">
        <f>IF('Données projet'!$A$140&gt;35,CT103+CS104-DB103,IF(A104&lt;'Données projet'!$A$140,$CQ$205^A104,IF(A104='Données projet'!$A$140,'Données projet'!$B$140,CT103+CS104-DB103)))</f>
        <v>263.39999999999998</v>
      </c>
      <c r="CU104" s="17">
        <f>CT104*VLOOKUP('Données projet'!$B$13,Paramètres!$A$1:$I$89,3,0)*VLOOKUP('Données projet'!$B$13,Paramètres!$A$1:$I$89,5,0)</f>
        <v>283.52375999999998</v>
      </c>
      <c r="CV104" s="13">
        <f t="shared" si="95"/>
        <v>67.711137776285298</v>
      </c>
      <c r="CW104" s="20">
        <f t="shared" si="67"/>
        <v>611.73411362703007</v>
      </c>
      <c r="CX104" s="59">
        <f t="shared" si="68"/>
        <v>900.8411529480735</v>
      </c>
      <c r="CY104" s="59">
        <f ca="1">AVERAGE(OFFSET($CX$3,0,0,'Données projet'!$E$13+1,1))-AVERAGE(OFFSET($H$3,0,0,'Données projet'!$E$13+1,1))</f>
        <v>445.38112098358147</v>
      </c>
      <c r="CZ104" s="59">
        <f t="shared" si="96"/>
        <v>272.45883568548516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36.327377123235337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36.327377123235337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68.847374360284576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2.4</v>
      </c>
      <c r="DO104" s="12">
        <f>IF('Données projet'!$A$166&gt;35,DO103+DN104-DW103,IF(A104&lt;'Données projet'!$A$166,$DL$205^A104,IF(A104='Données projet'!$A$166,'Données projet'!$B$166,DO103+DN104-DW103)))</f>
        <v>263.39999999999998</v>
      </c>
      <c r="DP104" s="17">
        <f>DO104*VLOOKUP('Données projet'!$B$14,Paramètres!$A$1:$I$89,3,0)*VLOOKUP('Données projet'!$B$14,Paramètres!$A$1:$I$89,5,0)</f>
        <v>254.76048</v>
      </c>
      <c r="DQ104" s="13">
        <f t="shared" si="97"/>
        <v>61.604204198547471</v>
      </c>
      <c r="DR104" s="20">
        <f t="shared" si="70"/>
        <v>551.00182497913681</v>
      </c>
      <c r="DS104" s="59">
        <f t="shared" si="71"/>
        <v>840.10886430018024</v>
      </c>
      <c r="DT104" s="59">
        <f ca="1">AVERAGE(OFFSET($DS$3,0,0,'Données projet'!$E$14+1,1))-AVERAGE(OFFSET($H$3,0,0,'Données projet'!$E$14+1,1))</f>
        <v>405.29179902613089</v>
      </c>
      <c r="DU104" s="59">
        <f t="shared" si="98"/>
        <v>249.61049717638238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32.641991038269438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32.641991038269438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68.847374360284576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-5.6843418860808015E-13</v>
      </c>
      <c r="EK104" s="17">
        <f>EJ104*VLOOKUP('Données projet'!$B$15,Paramètres!$A$1:$I$89,3,0)*VLOOKUP('Données projet'!$B$15,Paramètres!$A$1:$I$89,5,0)</f>
        <v>-3.39923644787632E-13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444.77624981561257</v>
      </c>
      <c r="EP104" s="59">
        <f t="shared" si="100"/>
        <v>382.10319641527587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144.18100054739023</v>
      </c>
      <c r="EW104" s="21">
        <f>EXP(-LN(2)/25)*EW103+(1-EXP(-LN(2)/25))/(LN(2)/25)*Calculateur!ER104*Calculateur!ET104*VLOOKUP('Données projet'!$B$15,Paramètres!$A$1:$I$89,3,0)*0.475*44/12</f>
        <v>23.203243227788178</v>
      </c>
      <c r="EX104" s="21">
        <f>EXP(-LN(2)/2)*EX103+(1-EXP(-LN(2)/2))/(LN(2)/2)*ER104*EU104*VLOOKUP('Données projet'!$B$15,Paramètres!$A$1:$I$89,3,0)*0.475*44/12</f>
        <v>7.0950022991870185E-3</v>
      </c>
      <c r="EY104" s="22">
        <f t="shared" si="75"/>
        <v>167.39133877747759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68.847374360284576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3.4106051316484809E-13</v>
      </c>
      <c r="FF104" s="17">
        <f>FE104*VLOOKUP('Données projet'!$B$16,Paramètres!$A$1:$I$89,3,0)*VLOOKUP('Données projet'!$B$16,Paramètres!$A$1:$I$89,5,0)</f>
        <v>1.5074874681886286E-13</v>
      </c>
      <c r="FG104" s="13">
        <f t="shared" si="101"/>
        <v>2.1590218794584103E-12</v>
      </c>
      <c r="FH104" s="20">
        <f t="shared" si="76"/>
        <v>4.0228505074329168E-12</v>
      </c>
      <c r="FI104" s="59">
        <f t="shared" si="77"/>
        <v>289.10703932104747</v>
      </c>
      <c r="FJ104" s="59">
        <f ca="1">AVERAGE(OFFSET($FI$3,0,0,'Données projet'!$E$16+1,1))-AVERAGE(OFFSET($H$3,0,0,'Données projet'!$E$16+1,1))</f>
        <v>508.71179785154317</v>
      </c>
      <c r="FK104" s="59">
        <f t="shared" si="102"/>
        <v>422.73937290731442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183.32949118502131</v>
      </c>
      <c r="FR104" s="21">
        <f>EXP(-LN(2)/25)*FR103+(1-EXP(-LN(2)/25))/(LN(2)/25)*Calculateur!FM104*Calculateur!FO104*VLOOKUP('Données projet'!$B$16,Paramètres!$A$1:$I$89,3,0)*0.475*44/12</f>
        <v>38.016758027597398</v>
      </c>
      <c r="FS104" s="21">
        <f>EXP(-LN(2)/2)*FS103+(1-EXP(-LN(2)/2))/(LN(2)/2)*FM104*FP104*VLOOKUP('Données projet'!$B$16,Paramètres!$A$1:$I$89,3,0)*0.475*44/12</f>
        <v>2.9740539670913599E-2</v>
      </c>
      <c r="FT104" s="22">
        <f t="shared" si="78"/>
        <v>221.37598975228963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68.847374360284576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68.847374360284576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1.35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4.95</v>
      </c>
      <c r="H105" s="67">
        <f t="shared" si="56"/>
        <v>236.86666666666665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68.867369838248749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5.2</v>
      </c>
      <c r="N105" s="13">
        <f>IF('Données projet'!$A$36&gt;35,N104+M105-V104,IF(A105&lt;'Données projet'!$A$36,$K$205^A105,IF(A105='Données projet'!$A$36,'Données projet'!$B$36,N104+M105-V104)))</f>
        <v>316.40000000000015</v>
      </c>
      <c r="O105" s="13">
        <f>N105*VLOOKUP('Données projet'!$B$9,Paramètres!$A$1:$I$89,3,0)*VLOOKUP('Données projet'!$B$9,Paramètres!$A$1:$I$89,5,0)</f>
        <v>286.27872000000013</v>
      </c>
      <c r="P105" s="13">
        <f t="shared" si="87"/>
        <v>68.292165517667613</v>
      </c>
      <c r="Q105" s="20">
        <f t="shared" si="107"/>
        <v>617.54429227660466</v>
      </c>
      <c r="R105" s="59">
        <f t="shared" si="55"/>
        <v>906.72464835018332</v>
      </c>
      <c r="S105" s="59">
        <f ca="1">AVERAGE(OFFSET($R$3,0,0,'Données projet'!$E$9+1,1))-AVERAGE(OFFSET($H$3,0,0,'Données projet'!$E$9+1,1))</f>
        <v>466.90449882701591</v>
      </c>
      <c r="T105" s="59">
        <f t="shared" si="88"/>
        <v>283.37641704892053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51.820597580653299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51.820597580653299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68.867369838248749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2.4</v>
      </c>
      <c r="AI105" s="13">
        <f>IF('Données projet'!$A$62&gt;35,AI104+AH105-AQ104,IF(A105&lt;'Données projet'!$A$62,$AF$205^A105,IF(A105='Données projet'!$A$62,'Données projet'!$B$62,AI104+AH105-AQ104)))</f>
        <v>265.79999999999995</v>
      </c>
      <c r="AJ105" s="13">
        <f>AI105*VLOOKUP('Données projet'!$B$10,Paramètres!$A$1:$I$89,3,0)*VLOOKUP('Données projet'!$B$10,Paramètres!$A$1:$I$89,5,0)</f>
        <v>252.93527999999998</v>
      </c>
      <c r="AK105" s="13">
        <f t="shared" si="89"/>
        <v>61.214059245158197</v>
      </c>
      <c r="AL105" s="20">
        <f t="shared" si="58"/>
        <v>547.14343251865046</v>
      </c>
      <c r="AM105" s="59">
        <f t="shared" si="59"/>
        <v>836.32378859222922</v>
      </c>
      <c r="AN105" s="59">
        <f ca="1">AVERAGE(OFFSET($AM$3,0,0,'Données projet'!$E$10+1,1))-AVERAGE(OFFSET($H$3,0,0,'Données projet'!$E$10+1,1))</f>
        <v>399.5572791581468</v>
      </c>
      <c r="AO105" s="59">
        <f t="shared" si="90"/>
        <v>246.34185986079777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31.485741801985686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31.485741801985686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68.867369838248749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5.6843418860808015E-14</v>
      </c>
      <c r="BE105" s="13">
        <f>BD105*VLOOKUP('Données projet'!$B$11,Paramètres!$A$1:$I$89,3,0)*VLOOKUP('Données projet'!$B$11,Paramètres!$A$1:$I$89,5,0)</f>
        <v>4.4337866711430253E-14</v>
      </c>
      <c r="BF105" s="13">
        <f t="shared" si="91"/>
        <v>7.3222115536967035E-13</v>
      </c>
      <c r="BG105" s="20">
        <f t="shared" si="61"/>
        <v>1.3525069634579169E-12</v>
      </c>
      <c r="BH105" s="59">
        <f t="shared" si="62"/>
        <v>289.18035607358007</v>
      </c>
      <c r="BI105" s="59">
        <f ca="1">AVERAGE(OFFSET($BH$3,0,0,'Données projet'!$E$11+1,1))-AVERAGE(OFFSET($H$3,0,0,'Données projet'!$E$11+1,1))</f>
        <v>294.23449029791681</v>
      </c>
      <c r="BJ105" s="59">
        <f t="shared" si="92"/>
        <v>288.64639202306159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48.940158326078105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48.940158326078105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68.867369838248749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2.4</v>
      </c>
      <c r="BY105" s="12">
        <f>IF('Données projet'!$A$114&gt;35,BY104+BX105-CG104,IF(A105&lt;'Données projet'!$A$114,$BV$205^A105,IF(A105='Données projet'!$A$114,'Données projet'!$B$114,BY104+BX105-CG104)))</f>
        <v>265.79999999999995</v>
      </c>
      <c r="BZ105" s="13">
        <f>BY105*VLOOKUP('Données projet'!$B$12,Paramètres!$A$1:$I$89,3,0)*VLOOKUP('Données projet'!$B$12,Paramètres!$A$1:$I$89,5,0)</f>
        <v>286.10711999999995</v>
      </c>
      <c r="CA105" s="13">
        <f t="shared" si="93"/>
        <v>68.255993730890523</v>
      </c>
      <c r="CB105" s="20">
        <f t="shared" si="64"/>
        <v>617.18242308130084</v>
      </c>
      <c r="CC105" s="59">
        <f t="shared" si="65"/>
        <v>906.36277915487949</v>
      </c>
      <c r="CD105" s="59">
        <f ca="1">AVERAGE(OFFSET($CC$3,0,0,'Données projet'!$E$12+1,1))-AVERAGE(OFFSET($H$3,0,0,'Données projet'!$E$12+1,1))</f>
        <v>445.38112098358147</v>
      </c>
      <c r="CE105" s="59">
        <f t="shared" si="94"/>
        <v>272.45883568548516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35.615019415360862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35.615019415360862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68.867369838248749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2.4</v>
      </c>
      <c r="CT105" s="12">
        <f>IF('Données projet'!$A$140&gt;35,CT104+CS105-DB104,IF(A105&lt;'Données projet'!$A$140,$CQ$205^A105,IF(A105='Données projet'!$A$140,'Données projet'!$B$140,CT104+CS105-DB104)))</f>
        <v>265.79999999999995</v>
      </c>
      <c r="CU105" s="17">
        <f>CT105*VLOOKUP('Données projet'!$B$13,Paramètres!$A$1:$I$89,3,0)*VLOOKUP('Données projet'!$B$13,Paramètres!$A$1:$I$89,5,0)</f>
        <v>286.10711999999995</v>
      </c>
      <c r="CV105" s="13">
        <f t="shared" si="95"/>
        <v>68.255993730890523</v>
      </c>
      <c r="CW105" s="20">
        <f t="shared" si="67"/>
        <v>617.18242308130084</v>
      </c>
      <c r="CX105" s="59">
        <f t="shared" si="68"/>
        <v>906.36277915487949</v>
      </c>
      <c r="CY105" s="59">
        <f ca="1">AVERAGE(OFFSET($CX$3,0,0,'Données projet'!$E$13+1,1))-AVERAGE(OFFSET($H$3,0,0,'Données projet'!$E$13+1,1))</f>
        <v>445.38112098358147</v>
      </c>
      <c r="CZ105" s="59">
        <f t="shared" si="96"/>
        <v>272.45883568548516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35.615019415360862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35.615019415360862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68.867369838248749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2.4</v>
      </c>
      <c r="DO105" s="12">
        <f>IF('Données projet'!$A$166&gt;35,DO104+DN105-DW104,IF(A105&lt;'Données projet'!$A$166,$DL$205^A105,IF(A105='Données projet'!$A$166,'Données projet'!$B$166,DO104+DN105-DW104)))</f>
        <v>265.79999999999995</v>
      </c>
      <c r="DP105" s="17">
        <f>DO105*VLOOKUP('Données projet'!$B$14,Paramètres!$A$1:$I$89,3,0)*VLOOKUP('Données projet'!$B$14,Paramètres!$A$1:$I$89,5,0)</f>
        <v>257.08175999999997</v>
      </c>
      <c r="DQ105" s="13">
        <f t="shared" si="97"/>
        <v>62.099919063023641</v>
      </c>
      <c r="DR105" s="20">
        <f t="shared" si="70"/>
        <v>555.90809103476613</v>
      </c>
      <c r="DS105" s="59">
        <f t="shared" si="71"/>
        <v>845.08844710834478</v>
      </c>
      <c r="DT105" s="59">
        <f ca="1">AVERAGE(OFFSET($DS$3,0,0,'Données projet'!$E$14+1,1))-AVERAGE(OFFSET($H$3,0,0,'Données projet'!$E$14+1,1))</f>
        <v>405.29179902613089</v>
      </c>
      <c r="DU105" s="59">
        <f t="shared" si="98"/>
        <v>249.61049717638238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32.001901503657592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32.001901503657592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68.867369838248749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-5.6843418860808015E-13</v>
      </c>
      <c r="EK105" s="17">
        <f>EJ105*VLOOKUP('Données projet'!$B$15,Paramètres!$A$1:$I$89,3,0)*VLOOKUP('Données projet'!$B$15,Paramètres!$A$1:$I$89,5,0)</f>
        <v>-3.39923644787632E-13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444.77624981561257</v>
      </c>
      <c r="EP105" s="59">
        <f t="shared" si="100"/>
        <v>382.10319641527587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141.35369906838272</v>
      </c>
      <c r="EW105" s="21">
        <f>EXP(-LN(2)/25)*EW104+(1-EXP(-LN(2)/25))/(LN(2)/25)*Calculateur!ER105*Calculateur!ET105*VLOOKUP('Données projet'!$B$15,Paramètres!$A$1:$I$89,3,0)*0.475*44/12</f>
        <v>22.56874932151878</v>
      </c>
      <c r="EX105" s="21">
        <f>EXP(-LN(2)/2)*EX104+(1-EXP(-LN(2)/2))/(LN(2)/2)*ER105*EU105*VLOOKUP('Données projet'!$B$15,Paramètres!$A$1:$I$89,3,0)*0.475*44/12</f>
        <v>5.0169242382892866E-3</v>
      </c>
      <c r="EY105" s="22">
        <f t="shared" si="75"/>
        <v>163.92746531413977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68.867369838248749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3.4106051316484809E-13</v>
      </c>
      <c r="FF105" s="17">
        <f>FE105*VLOOKUP('Données projet'!$B$16,Paramètres!$A$1:$I$89,3,0)*VLOOKUP('Données projet'!$B$16,Paramètres!$A$1:$I$89,5,0)</f>
        <v>1.5074874681886286E-13</v>
      </c>
      <c r="FG105" s="13">
        <f t="shared" si="101"/>
        <v>2.1590218794584103E-12</v>
      </c>
      <c r="FH105" s="20">
        <f t="shared" si="76"/>
        <v>4.0228505074329168E-12</v>
      </c>
      <c r="FI105" s="59">
        <f t="shared" si="77"/>
        <v>289.18035607358274</v>
      </c>
      <c r="FJ105" s="59">
        <f ca="1">AVERAGE(OFFSET($FI$3,0,0,'Données projet'!$E$16+1,1))-AVERAGE(OFFSET($H$3,0,0,'Données projet'!$E$16+1,1))</f>
        <v>508.71179785154317</v>
      </c>
      <c r="FK105" s="59">
        <f t="shared" si="102"/>
        <v>422.73937290731442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179.73451168283137</v>
      </c>
      <c r="FR105" s="21">
        <f>EXP(-LN(2)/25)*FR104+(1-EXP(-LN(2)/25))/(LN(2)/25)*Calculateur!FM105*Calculateur!FO105*VLOOKUP('Données projet'!$B$16,Paramètres!$A$1:$I$89,3,0)*0.475*44/12</f>
        <v>36.977187780118328</v>
      </c>
      <c r="FS105" s="21">
        <f>EXP(-LN(2)/2)*FS104+(1-EXP(-LN(2)/2))/(LN(2)/2)*FM105*FP105*VLOOKUP('Données projet'!$B$16,Paramètres!$A$1:$I$89,3,0)*0.475*44/12</f>
        <v>2.1029737277450538E-2</v>
      </c>
      <c r="FT105" s="22">
        <f t="shared" si="78"/>
        <v>216.73272920022714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68.867369838248749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68.867369838248749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1.35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4.95</v>
      </c>
      <c r="H106" s="67">
        <f t="shared" si="56"/>
        <v>236.86666666666665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68.887018439373435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5.2</v>
      </c>
      <c r="N106" s="13">
        <f>IF('Données projet'!$A$36&gt;35,N105+M106-V105,IF(A106&lt;'Données projet'!$A$36,$K$205^A106,IF(A106='Données projet'!$A$36,'Données projet'!$B$36,N105+M106-V105)))</f>
        <v>321.60000000000014</v>
      </c>
      <c r="O106" s="13">
        <f>N106*VLOOKUP('Données projet'!$B$9,Paramètres!$A$1:$I$89,3,0)*VLOOKUP('Données projet'!$B$9,Paramètres!$A$1:$I$89,5,0)</f>
        <v>290.98368000000011</v>
      </c>
      <c r="P106" s="13">
        <f t="shared" si="87"/>
        <v>69.282952690245423</v>
      </c>
      <c r="Q106" s="20">
        <f t="shared" si="107"/>
        <v>627.46438526884424</v>
      </c>
      <c r="R106" s="59">
        <f t="shared" si="55"/>
        <v>916.71678621321348</v>
      </c>
      <c r="S106" s="59">
        <f ca="1">AVERAGE(OFFSET($R$3,0,0,'Données projet'!$E$9+1,1))-AVERAGE(OFFSET($H$3,0,0,'Données projet'!$E$9+1,1))</f>
        <v>466.90449882701591</v>
      </c>
      <c r="T106" s="59">
        <f t="shared" si="88"/>
        <v>283.37641704892053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50.804427269540234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50.804427269540234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68.887018439373435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2.4</v>
      </c>
      <c r="AI106" s="13">
        <f>IF('Données projet'!$A$62&gt;35,AI105+AH106-AQ105,IF(A106&lt;'Données projet'!$A$62,$AF$205^A106,IF(A106='Données projet'!$A$62,'Données projet'!$B$62,AI105+AH106-AQ105)))</f>
        <v>268.19999999999993</v>
      </c>
      <c r="AJ106" s="13">
        <f>AI106*VLOOKUP('Données projet'!$B$10,Paramètres!$A$1:$I$89,3,0)*VLOOKUP('Données projet'!$B$10,Paramètres!$A$1:$I$89,5,0)</f>
        <v>255.21911999999992</v>
      </c>
      <c r="AK106" s="13">
        <f t="shared" si="89"/>
        <v>61.702189391811984</v>
      </c>
      <c r="AL106" s="20">
        <f t="shared" si="58"/>
        <v>551.97128052407243</v>
      </c>
      <c r="AM106" s="59">
        <f t="shared" si="59"/>
        <v>841.22368146844178</v>
      </c>
      <c r="AN106" s="59">
        <f ca="1">AVERAGE(OFFSET($AM$3,0,0,'Données projet'!$E$10+1,1))-AVERAGE(OFFSET($H$3,0,0,'Données projet'!$E$10+1,1))</f>
        <v>399.5572791581468</v>
      </c>
      <c r="AO106" s="59">
        <f t="shared" si="90"/>
        <v>246.34185986079777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30.868325609654967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30.868325609654967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68.887018439373435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5.6843418860808015E-14</v>
      </c>
      <c r="BE106" s="13">
        <f>BD106*VLOOKUP('Données projet'!$B$11,Paramètres!$A$1:$I$89,3,0)*VLOOKUP('Données projet'!$B$11,Paramètres!$A$1:$I$89,5,0)</f>
        <v>4.4337866711430253E-14</v>
      </c>
      <c r="BF106" s="13">
        <f t="shared" si="91"/>
        <v>7.3222115536967035E-13</v>
      </c>
      <c r="BG106" s="20">
        <f t="shared" si="61"/>
        <v>1.3525069634579169E-12</v>
      </c>
      <c r="BH106" s="59">
        <f t="shared" si="62"/>
        <v>289.25240094437066</v>
      </c>
      <c r="BI106" s="59">
        <f ca="1">AVERAGE(OFFSET($BH$3,0,0,'Données projet'!$E$11+1,1))-AVERAGE(OFFSET($H$3,0,0,'Données projet'!$E$11+1,1))</f>
        <v>294.23449029791681</v>
      </c>
      <c r="BJ106" s="59">
        <f t="shared" si="92"/>
        <v>288.64639202306159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47.980471671852797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47.980471671852797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68.887018439373435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2.4</v>
      </c>
      <c r="BY106" s="12">
        <f>IF('Données projet'!$A$114&gt;35,BY105+BX106-CG105,IF(A106&lt;'Données projet'!$A$114,$BV$205^A106,IF(A106='Données projet'!$A$114,'Données projet'!$B$114,BY105+BX106-CG105)))</f>
        <v>268.19999999999993</v>
      </c>
      <c r="BZ106" s="13">
        <f>BY106*VLOOKUP('Données projet'!$B$12,Paramètres!$A$1:$I$89,3,0)*VLOOKUP('Données projet'!$B$12,Paramètres!$A$1:$I$89,5,0)</f>
        <v>288.69047999999992</v>
      </c>
      <c r="CA106" s="13">
        <f t="shared" si="93"/>
        <v>68.80027732588016</v>
      </c>
      <c r="CB106" s="20">
        <f t="shared" si="64"/>
        <v>622.62973567590768</v>
      </c>
      <c r="CC106" s="59">
        <f t="shared" si="65"/>
        <v>911.88213662027692</v>
      </c>
      <c r="CD106" s="59">
        <f ca="1">AVERAGE(OFFSET($CC$3,0,0,'Données projet'!$E$12+1,1))-AVERAGE(OFFSET($H$3,0,0,'Données projet'!$E$12+1,1))</f>
        <v>445.38112098358147</v>
      </c>
      <c r="CE106" s="59">
        <f t="shared" si="94"/>
        <v>272.45883568548516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34.91663060764251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34.91663060764251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68.887018439373435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2.4</v>
      </c>
      <c r="CT106" s="12">
        <f>IF('Données projet'!$A$140&gt;35,CT105+CS106-DB105,IF(A106&lt;'Données projet'!$A$140,$CQ$205^A106,IF(A106='Données projet'!$A$140,'Données projet'!$B$140,CT105+CS106-DB105)))</f>
        <v>268.19999999999993</v>
      </c>
      <c r="CU106" s="17">
        <f>CT106*VLOOKUP('Données projet'!$B$13,Paramètres!$A$1:$I$89,3,0)*VLOOKUP('Données projet'!$B$13,Paramètres!$A$1:$I$89,5,0)</f>
        <v>288.69047999999992</v>
      </c>
      <c r="CV106" s="13">
        <f t="shared" si="95"/>
        <v>68.80027732588016</v>
      </c>
      <c r="CW106" s="20">
        <f t="shared" si="67"/>
        <v>622.62973567590768</v>
      </c>
      <c r="CX106" s="59">
        <f t="shared" si="68"/>
        <v>911.88213662027692</v>
      </c>
      <c r="CY106" s="59">
        <f ca="1">AVERAGE(OFFSET($CX$3,0,0,'Données projet'!$E$13+1,1))-AVERAGE(OFFSET($H$3,0,0,'Données projet'!$E$13+1,1))</f>
        <v>445.38112098358147</v>
      </c>
      <c r="CZ106" s="59">
        <f t="shared" si="96"/>
        <v>272.45883568548516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34.91663060764251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34.91663060764251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68.887018439373435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2.4</v>
      </c>
      <c r="DO106" s="12">
        <f>IF('Données projet'!$A$166&gt;35,DO105+DN106-DW105,IF(A106&lt;'Données projet'!$A$166,$DL$205^A106,IF(A106='Données projet'!$A$166,'Données projet'!$B$166,DO105+DN106-DW105)))</f>
        <v>268.19999999999993</v>
      </c>
      <c r="DP106" s="17">
        <f>DO106*VLOOKUP('Données projet'!$B$14,Paramètres!$A$1:$I$89,3,0)*VLOOKUP('Données projet'!$B$14,Paramètres!$A$1:$I$89,5,0)</f>
        <v>259.40303999999998</v>
      </c>
      <c r="DQ106" s="13">
        <f t="shared" si="97"/>
        <v>62.595113189556258</v>
      </c>
      <c r="DR106" s="20">
        <f t="shared" si="70"/>
        <v>560.81345013847704</v>
      </c>
      <c r="DS106" s="59">
        <f t="shared" si="71"/>
        <v>850.06585108284639</v>
      </c>
      <c r="DT106" s="59">
        <f ca="1">AVERAGE(OFFSET($DS$3,0,0,'Données projet'!$E$14+1,1))-AVERAGE(OFFSET($H$3,0,0,'Données projet'!$E$14+1,1))</f>
        <v>405.29179902613089</v>
      </c>
      <c r="DU106" s="59">
        <f t="shared" si="98"/>
        <v>249.61049717638238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31.374363734403421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31.374363734403421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68.887018439373435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-5.6843418860808015E-13</v>
      </c>
      <c r="EK106" s="17">
        <f>EJ106*VLOOKUP('Données projet'!$B$15,Paramètres!$A$1:$I$89,3,0)*VLOOKUP('Données projet'!$B$15,Paramètres!$A$1:$I$89,5,0)</f>
        <v>-3.39923644787632E-13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444.77624981561257</v>
      </c>
      <c r="EP106" s="59">
        <f t="shared" si="100"/>
        <v>382.10319641527587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138.58183924689493</v>
      </c>
      <c r="EW106" s="21">
        <f>EXP(-LN(2)/25)*EW105+(1-EXP(-LN(2)/25))/(LN(2)/25)*Calculateur!ER106*Calculateur!ET106*VLOOKUP('Données projet'!$B$15,Paramètres!$A$1:$I$89,3,0)*0.475*44/12</f>
        <v>21.951605684482903</v>
      </c>
      <c r="EX106" s="21">
        <f>EXP(-LN(2)/2)*EX105+(1-EXP(-LN(2)/2))/(LN(2)/2)*ER106*EU106*VLOOKUP('Données projet'!$B$15,Paramètres!$A$1:$I$89,3,0)*0.475*44/12</f>
        <v>3.5475011495935092E-3</v>
      </c>
      <c r="EY106" s="22">
        <f t="shared" si="75"/>
        <v>160.53699243252743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68.887018439373435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3.4106051316484809E-13</v>
      </c>
      <c r="FF106" s="17">
        <f>FE106*VLOOKUP('Données projet'!$B$16,Paramètres!$A$1:$I$89,3,0)*VLOOKUP('Données projet'!$B$16,Paramètres!$A$1:$I$89,5,0)</f>
        <v>1.5074874681886286E-13</v>
      </c>
      <c r="FG106" s="13">
        <f t="shared" si="101"/>
        <v>2.1590218794584103E-12</v>
      </c>
      <c r="FH106" s="20">
        <f t="shared" si="76"/>
        <v>4.0228505074329168E-12</v>
      </c>
      <c r="FI106" s="59">
        <f t="shared" si="77"/>
        <v>289.25240094437333</v>
      </c>
      <c r="FJ106" s="59">
        <f ca="1">AVERAGE(OFFSET($FI$3,0,0,'Données projet'!$E$16+1,1))-AVERAGE(OFFSET($H$3,0,0,'Données projet'!$E$16+1,1))</f>
        <v>508.71179785154317</v>
      </c>
      <c r="FK106" s="59">
        <f t="shared" si="102"/>
        <v>422.73937290731442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176.21002753595837</v>
      </c>
      <c r="FR106" s="21">
        <f>EXP(-LN(2)/25)*FR105+(1-EXP(-LN(2)/25))/(LN(2)/25)*Calculateur!FM106*Calculateur!FO106*VLOOKUP('Données projet'!$B$16,Paramètres!$A$1:$I$89,3,0)*0.475*44/12</f>
        <v>35.966044635725197</v>
      </c>
      <c r="FS106" s="21">
        <f>EXP(-LN(2)/2)*FS105+(1-EXP(-LN(2)/2))/(LN(2)/2)*FM106*FP106*VLOOKUP('Données projet'!$B$16,Paramètres!$A$1:$I$89,3,0)*0.475*44/12</f>
        <v>1.4870269835456799E-2</v>
      </c>
      <c r="FT106" s="22">
        <f t="shared" si="78"/>
        <v>212.19094244151904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68.887018439373435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68.887018439373435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1.35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4.95</v>
      </c>
      <c r="H107" s="67">
        <f t="shared" si="56"/>
        <v>236.86666666666665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68.906326181196306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5.2</v>
      </c>
      <c r="N107" s="13">
        <f>IF('Données projet'!$A$36&gt;35,N106+M107-V106,IF(A107&lt;'Données projet'!$A$36,$K$205^A107,IF(A107='Données projet'!$A$36,'Données projet'!$B$36,N106+M107-V106)))</f>
        <v>326.80000000000013</v>
      </c>
      <c r="O107" s="13">
        <f>N107*VLOOKUP('Données projet'!$B$9,Paramètres!$A$1:$I$89,3,0)*VLOOKUP('Données projet'!$B$9,Paramètres!$A$1:$I$89,5,0)</f>
        <v>295.68864000000013</v>
      </c>
      <c r="P107" s="13">
        <f t="shared" si="87"/>
        <v>70.271876780519804</v>
      </c>
      <c r="Q107" s="20">
        <f t="shared" si="107"/>
        <v>637.38123339273886</v>
      </c>
      <c r="R107" s="59">
        <f t="shared" si="55"/>
        <v>926.7044293904587</v>
      </c>
      <c r="S107" s="59">
        <f ca="1">AVERAGE(OFFSET($R$3,0,0,'Données projet'!$E$9+1,1))-AVERAGE(OFFSET($H$3,0,0,'Données projet'!$E$9+1,1))</f>
        <v>466.90449882701591</v>
      </c>
      <c r="T107" s="59">
        <f t="shared" si="88"/>
        <v>283.37641704892053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49.808183438425409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49.808183438425409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68.906326181196306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2.4</v>
      </c>
      <c r="AI107" s="13">
        <f>IF('Données projet'!$A$62&gt;35,AI106+AH107-AQ106,IF(A107&lt;'Données projet'!$A$62,$AF$205^A107,IF(A107='Données projet'!$A$62,'Données projet'!$B$62,AI106+AH107-AQ106)))</f>
        <v>270.59999999999991</v>
      </c>
      <c r="AJ107" s="13">
        <f>AI107*VLOOKUP('Données projet'!$B$10,Paramètres!$A$1:$I$89,3,0)*VLOOKUP('Données projet'!$B$10,Paramètres!$A$1:$I$89,5,0)</f>
        <v>257.50295999999992</v>
      </c>
      <c r="AK107" s="13">
        <f t="shared" si="89"/>
        <v>62.189811354397172</v>
      </c>
      <c r="AL107" s="20">
        <f t="shared" si="58"/>
        <v>556.79824344224164</v>
      </c>
      <c r="AM107" s="59">
        <f t="shared" si="59"/>
        <v>846.12143943996148</v>
      </c>
      <c r="AN107" s="59">
        <f ca="1">AVERAGE(OFFSET($AM$3,0,0,'Données projet'!$E$10+1,1))-AVERAGE(OFFSET($H$3,0,0,'Données projet'!$E$10+1,1))</f>
        <v>399.5572791581468</v>
      </c>
      <c r="AO107" s="59">
        <f t="shared" si="90"/>
        <v>246.34185986079777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30.263016572269162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30.263016572269162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68.906326181196306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5.6843418860808015E-14</v>
      </c>
      <c r="BE107" s="13">
        <f>BD107*VLOOKUP('Données projet'!$B$11,Paramètres!$A$1:$I$89,3,0)*VLOOKUP('Données projet'!$B$11,Paramètres!$A$1:$I$89,5,0)</f>
        <v>4.4337866711430253E-14</v>
      </c>
      <c r="BF107" s="13">
        <f t="shared" si="91"/>
        <v>7.3222115536967035E-13</v>
      </c>
      <c r="BG107" s="20">
        <f t="shared" si="61"/>
        <v>1.3525069634579169E-12</v>
      </c>
      <c r="BH107" s="59">
        <f t="shared" si="62"/>
        <v>289.32319599772114</v>
      </c>
      <c r="BI107" s="59">
        <f ca="1">AVERAGE(OFFSET($BH$3,0,0,'Données projet'!$E$11+1,1))-AVERAGE(OFFSET($H$3,0,0,'Données projet'!$E$11+1,1))</f>
        <v>294.23449029791681</v>
      </c>
      <c r="BJ107" s="59">
        <f t="shared" si="92"/>
        <v>288.64639202306159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47.039603887565782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47.039603887565782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68.906326181196306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2.4</v>
      </c>
      <c r="BY107" s="12">
        <f>IF('Données projet'!$A$114&gt;35,BY106+BX107-CG106,IF(A107&lt;'Données projet'!$A$114,$BV$205^A107,IF(A107='Données projet'!$A$114,'Données projet'!$B$114,BY106+BX107-CG106)))</f>
        <v>270.59999999999991</v>
      </c>
      <c r="BZ107" s="13">
        <f>BY107*VLOOKUP('Données projet'!$B$12,Paramètres!$A$1:$I$89,3,0)*VLOOKUP('Données projet'!$B$12,Paramètres!$A$1:$I$89,5,0)</f>
        <v>291.27383999999989</v>
      </c>
      <c r="CA107" s="13">
        <f t="shared" si="93"/>
        <v>69.343994276392436</v>
      </c>
      <c r="CB107" s="20">
        <f t="shared" si="64"/>
        <v>628.07606136471657</v>
      </c>
      <c r="CC107" s="59">
        <f t="shared" si="65"/>
        <v>917.3992573624364</v>
      </c>
      <c r="CD107" s="59">
        <f ca="1">AVERAGE(OFFSET($CC$3,0,0,'Données projet'!$E$12+1,1))-AVERAGE(OFFSET($H$3,0,0,'Données projet'!$E$12+1,1))</f>
        <v>445.38112098358147</v>
      </c>
      <c r="CE107" s="59">
        <f t="shared" si="94"/>
        <v>272.45883568548516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34.231936778468402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34.231936778468402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68.906326181196306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2.4</v>
      </c>
      <c r="CT107" s="12">
        <f>IF('Données projet'!$A$140&gt;35,CT106+CS107-DB106,IF(A107&lt;'Données projet'!$A$140,$CQ$205^A107,IF(A107='Données projet'!$A$140,'Données projet'!$B$140,CT106+CS107-DB106)))</f>
        <v>270.59999999999991</v>
      </c>
      <c r="CU107" s="17">
        <f>CT107*VLOOKUP('Données projet'!$B$13,Paramètres!$A$1:$I$89,3,0)*VLOOKUP('Données projet'!$B$13,Paramètres!$A$1:$I$89,5,0)</f>
        <v>291.27383999999989</v>
      </c>
      <c r="CV107" s="13">
        <f t="shared" si="95"/>
        <v>69.343994276392436</v>
      </c>
      <c r="CW107" s="20">
        <f t="shared" si="67"/>
        <v>628.07606136471657</v>
      </c>
      <c r="CX107" s="59">
        <f t="shared" si="68"/>
        <v>917.3992573624364</v>
      </c>
      <c r="CY107" s="59">
        <f ca="1">AVERAGE(OFFSET($CX$3,0,0,'Données projet'!$E$13+1,1))-AVERAGE(OFFSET($H$3,0,0,'Données projet'!$E$13+1,1))</f>
        <v>445.38112098358147</v>
      </c>
      <c r="CZ107" s="59">
        <f t="shared" si="96"/>
        <v>272.45883568548516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34.231936778468402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34.231936778468402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68.906326181196306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2.4</v>
      </c>
      <c r="DO107" s="12">
        <f>IF('Données projet'!$A$166&gt;35,DO106+DN107-DW106,IF(A107&lt;'Données projet'!$A$166,$DL$205^A107,IF(A107='Données projet'!$A$166,'Données projet'!$B$166,DO106+DN107-DW106)))</f>
        <v>270.59999999999991</v>
      </c>
      <c r="DP107" s="17">
        <f>DO107*VLOOKUP('Données projet'!$B$14,Paramètres!$A$1:$I$89,3,0)*VLOOKUP('Données projet'!$B$14,Paramètres!$A$1:$I$89,5,0)</f>
        <v>261.72431999999992</v>
      </c>
      <c r="DQ107" s="13">
        <f t="shared" si="97"/>
        <v>63.089791777829888</v>
      </c>
      <c r="DR107" s="20">
        <f t="shared" si="70"/>
        <v>565.71791134638681</v>
      </c>
      <c r="DS107" s="59">
        <f t="shared" si="71"/>
        <v>855.04110734410665</v>
      </c>
      <c r="DT107" s="59">
        <f ca="1">AVERAGE(OFFSET($DS$3,0,0,'Données projet'!$E$14+1,1))-AVERAGE(OFFSET($H$3,0,0,'Données projet'!$E$14+1,1))</f>
        <v>405.29179902613089</v>
      </c>
      <c r="DU107" s="59">
        <f t="shared" si="98"/>
        <v>249.61049717638238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30.759131598044078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30.759131598044078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68.906326181196306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-5.6843418860808015E-13</v>
      </c>
      <c r="EK107" s="17">
        <f>EJ107*VLOOKUP('Données projet'!$B$15,Paramètres!$A$1:$I$89,3,0)*VLOOKUP('Données projet'!$B$15,Paramètres!$A$1:$I$89,5,0)</f>
        <v>-3.39923644787632E-13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444.77624981561257</v>
      </c>
      <c r="EP107" s="59">
        <f t="shared" si="100"/>
        <v>382.10319641527587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135.86433390583895</v>
      </c>
      <c r="EW107" s="21">
        <f>EXP(-LN(2)/25)*EW106+(1-EXP(-LN(2)/25))/(LN(2)/25)*Calculateur!ER107*Calculateur!ET107*VLOOKUP('Données projet'!$B$15,Paramètres!$A$1:$I$89,3,0)*0.475*44/12</f>
        <v>21.351337872655947</v>
      </c>
      <c r="EX107" s="21">
        <f>EXP(-LN(2)/2)*EX106+(1-EXP(-LN(2)/2))/(LN(2)/2)*ER107*EU107*VLOOKUP('Données projet'!$B$15,Paramètres!$A$1:$I$89,3,0)*0.475*44/12</f>
        <v>2.5084621191446433E-3</v>
      </c>
      <c r="EY107" s="22">
        <f t="shared" si="75"/>
        <v>157.21818024061403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68.906326181196306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3.4106051316484809E-13</v>
      </c>
      <c r="FF107" s="17">
        <f>FE107*VLOOKUP('Données projet'!$B$16,Paramètres!$A$1:$I$89,3,0)*VLOOKUP('Données projet'!$B$16,Paramètres!$A$1:$I$89,5,0)</f>
        <v>1.5074874681886286E-13</v>
      </c>
      <c r="FG107" s="13">
        <f t="shared" si="101"/>
        <v>2.1590218794584103E-12</v>
      </c>
      <c r="FH107" s="20">
        <f t="shared" si="76"/>
        <v>4.0228505074329168E-12</v>
      </c>
      <c r="FI107" s="59">
        <f t="shared" si="77"/>
        <v>289.32319599772381</v>
      </c>
      <c r="FJ107" s="59">
        <f ca="1">AVERAGE(OFFSET($FI$3,0,0,'Données projet'!$E$16+1,1))-AVERAGE(OFFSET($H$3,0,0,'Données projet'!$E$16+1,1))</f>
        <v>508.71179785154317</v>
      </c>
      <c r="FK107" s="59">
        <f t="shared" si="102"/>
        <v>422.73937290731442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172.7546563734825</v>
      </c>
      <c r="FR107" s="21">
        <f>EXP(-LN(2)/25)*FR106+(1-EXP(-LN(2)/25))/(LN(2)/25)*Calculateur!FM107*Calculateur!FO107*VLOOKUP('Données projet'!$B$16,Paramètres!$A$1:$I$89,3,0)*0.475*44/12</f>
        <v>34.982551253789204</v>
      </c>
      <c r="FS107" s="21">
        <f>EXP(-LN(2)/2)*FS106+(1-EXP(-LN(2)/2))/(LN(2)/2)*FM107*FP107*VLOOKUP('Données projet'!$B$16,Paramètres!$A$1:$I$89,3,0)*0.475*44/12</f>
        <v>1.0514868638725269E-2</v>
      </c>
      <c r="FT107" s="22">
        <f t="shared" si="78"/>
        <v>207.74772249591044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68.906326181196306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68.906326181196306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1.35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4.95</v>
      </c>
      <c r="H108" s="67">
        <f t="shared" si="56"/>
        <v>236.86666666666665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68.925298976864198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5.2</v>
      </c>
      <c r="N108" s="13">
        <f>IF('Données projet'!$A$36&gt;35,N107+M108-V107,IF(A108&lt;'Données projet'!$A$36,$K$205^A108,IF(A108='Données projet'!$A$36,'Données projet'!$B$36,N107+M108-V107)))</f>
        <v>332.00000000000011</v>
      </c>
      <c r="O108" s="13">
        <f>N108*VLOOKUP('Données projet'!$B$9,Paramètres!$A$1:$I$89,3,0)*VLOOKUP('Données projet'!$B$9,Paramètres!$A$1:$I$89,5,0)</f>
        <v>300.39360000000011</v>
      </c>
      <c r="P108" s="13">
        <f t="shared" si="87"/>
        <v>71.258970856492738</v>
      </c>
      <c r="Q108" s="20">
        <f t="shared" si="107"/>
        <v>647.29489424172505</v>
      </c>
      <c r="R108" s="59">
        <f t="shared" si="55"/>
        <v>936.68765715689369</v>
      </c>
      <c r="S108" s="59">
        <f ca="1">AVERAGE(OFFSET($R$3,0,0,'Données projet'!$E$9+1,1))-AVERAGE(OFFSET($H$3,0,0,'Données projet'!$E$9+1,1))</f>
        <v>466.90449882701591</v>
      </c>
      <c r="T108" s="59">
        <f t="shared" si="88"/>
        <v>283.37641704892053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48.831475341190007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48.831475341190007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68.925298976864198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2.4</v>
      </c>
      <c r="AI108" s="13">
        <f>IF('Données projet'!$A$62&gt;35,AI107+AH108-AQ107,IF(A108&lt;'Données projet'!$A$62,$AF$205^A108,IF(A108='Données projet'!$A$62,'Données projet'!$B$62,AI107+AH108-AQ107)))</f>
        <v>272.99999999999989</v>
      </c>
      <c r="AJ108" s="13">
        <f>AI108*VLOOKUP('Données projet'!$B$10,Paramètres!$A$1:$I$89,3,0)*VLOOKUP('Données projet'!$B$10,Paramètres!$A$1:$I$89,5,0)</f>
        <v>259.78679999999986</v>
      </c>
      <c r="AK108" s="13">
        <f t="shared" si="89"/>
        <v>62.676930162260682</v>
      </c>
      <c r="AL108" s="20">
        <f t="shared" si="58"/>
        <v>561.62433003260378</v>
      </c>
      <c r="AM108" s="59">
        <f t="shared" si="59"/>
        <v>851.01709294777243</v>
      </c>
      <c r="AN108" s="59">
        <f ca="1">AVERAGE(OFFSET($AM$3,0,0,'Données projet'!$E$10+1,1))-AVERAGE(OFFSET($H$3,0,0,'Données projet'!$E$10+1,1))</f>
        <v>399.5572791581468</v>
      </c>
      <c r="AO108" s="59">
        <f t="shared" si="90"/>
        <v>246.34185986079777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29.669577275904437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29.669577275904437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68.925298976864198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5.6843418860808015E-14</v>
      </c>
      <c r="BE108" s="13">
        <f>BD108*VLOOKUP('Données projet'!$B$11,Paramètres!$A$1:$I$89,3,0)*VLOOKUP('Données projet'!$B$11,Paramètres!$A$1:$I$89,5,0)</f>
        <v>4.4337866711430253E-14</v>
      </c>
      <c r="BF108" s="13">
        <f t="shared" si="91"/>
        <v>7.3222115536967035E-13</v>
      </c>
      <c r="BG108" s="20">
        <f t="shared" si="61"/>
        <v>1.3525069634579169E-12</v>
      </c>
      <c r="BH108" s="59">
        <f t="shared" si="62"/>
        <v>289.39276291517007</v>
      </c>
      <c r="BI108" s="59">
        <f ca="1">AVERAGE(OFFSET($BH$3,0,0,'Données projet'!$E$11+1,1))-AVERAGE(OFFSET($H$3,0,0,'Données projet'!$E$11+1,1))</f>
        <v>294.23449029791681</v>
      </c>
      <c r="BJ108" s="59">
        <f t="shared" si="92"/>
        <v>288.64639202306159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46.117185946655958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46.117185946655958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68.925298976864198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2.4</v>
      </c>
      <c r="BY108" s="12">
        <f>IF('Données projet'!$A$114&gt;35,BY107+BX108-CG107,IF(A108&lt;'Données projet'!$A$114,$BV$205^A108,IF(A108='Données projet'!$A$114,'Données projet'!$B$114,BY107+BX108-CG107)))</f>
        <v>272.99999999999989</v>
      </c>
      <c r="BZ108" s="13">
        <f>BY108*VLOOKUP('Données projet'!$B$12,Paramètres!$A$1:$I$89,3,0)*VLOOKUP('Données projet'!$B$12,Paramètres!$A$1:$I$89,5,0)</f>
        <v>293.85719999999986</v>
      </c>
      <c r="CA108" s="13">
        <f t="shared" si="93"/>
        <v>69.887150190339781</v>
      </c>
      <c r="CB108" s="20">
        <f t="shared" si="64"/>
        <v>633.52140991484157</v>
      </c>
      <c r="CC108" s="59">
        <f t="shared" si="65"/>
        <v>922.91417283001033</v>
      </c>
      <c r="CD108" s="59">
        <f ca="1">AVERAGE(OFFSET($CC$3,0,0,'Données projet'!$E$12+1,1))-AVERAGE(OFFSET($H$3,0,0,'Données projet'!$E$12+1,1))</f>
        <v>445.38112098358147</v>
      </c>
      <c r="CE108" s="59">
        <f t="shared" si="94"/>
        <v>272.45883568548516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33.5606693776624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33.5606693776624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68.925298976864198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2.4</v>
      </c>
      <c r="CT108" s="12">
        <f>IF('Données projet'!$A$140&gt;35,CT107+CS108-DB107,IF(A108&lt;'Données projet'!$A$140,$CQ$205^A108,IF(A108='Données projet'!$A$140,'Données projet'!$B$140,CT107+CS108-DB107)))</f>
        <v>272.99999999999989</v>
      </c>
      <c r="CU108" s="17">
        <f>CT108*VLOOKUP('Données projet'!$B$13,Paramètres!$A$1:$I$89,3,0)*VLOOKUP('Données projet'!$B$13,Paramètres!$A$1:$I$89,5,0)</f>
        <v>293.85719999999986</v>
      </c>
      <c r="CV108" s="13">
        <f t="shared" si="95"/>
        <v>69.887150190339781</v>
      </c>
      <c r="CW108" s="20">
        <f t="shared" si="67"/>
        <v>633.52140991484157</v>
      </c>
      <c r="CX108" s="59">
        <f t="shared" si="68"/>
        <v>922.91417283001033</v>
      </c>
      <c r="CY108" s="59">
        <f ca="1">AVERAGE(OFFSET($CX$3,0,0,'Données projet'!$E$13+1,1))-AVERAGE(OFFSET($H$3,0,0,'Données projet'!$E$13+1,1))</f>
        <v>445.38112098358147</v>
      </c>
      <c r="CZ108" s="59">
        <f t="shared" si="96"/>
        <v>272.45883568548516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33.5606693776624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33.5606693776624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68.925298976864198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2.4</v>
      </c>
      <c r="DO108" s="12">
        <f>IF('Données projet'!$A$166&gt;35,DO107+DN108-DW107,IF(A108&lt;'Données projet'!$A$166,$DL$205^A108,IF(A108='Données projet'!$A$166,'Données projet'!$B$166,DO107+DN108-DW107)))</f>
        <v>272.99999999999989</v>
      </c>
      <c r="DP108" s="17">
        <f>DO108*VLOOKUP('Données projet'!$B$14,Paramètres!$A$1:$I$89,3,0)*VLOOKUP('Données projet'!$B$14,Paramètres!$A$1:$I$89,5,0)</f>
        <v>264.04559999999992</v>
      </c>
      <c r="DQ108" s="13">
        <f t="shared" si="97"/>
        <v>63.58395992997368</v>
      </c>
      <c r="DR108" s="20">
        <f t="shared" si="70"/>
        <v>570.62148354470401</v>
      </c>
      <c r="DS108" s="59">
        <f t="shared" si="71"/>
        <v>860.01424645987277</v>
      </c>
      <c r="DT108" s="59">
        <f ca="1">AVERAGE(OFFSET($DS$3,0,0,'Données projet'!$E$14+1,1))-AVERAGE(OFFSET($H$3,0,0,'Données projet'!$E$14+1,1))</f>
        <v>405.29179902613089</v>
      </c>
      <c r="DU108" s="59">
        <f t="shared" si="98"/>
        <v>249.61049717638238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30.155963788624192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30.155963788624192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68.925298976864198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-5.6843418860808015E-13</v>
      </c>
      <c r="EK108" s="17">
        <f>EJ108*VLOOKUP('Données projet'!$B$15,Paramètres!$A$1:$I$89,3,0)*VLOOKUP('Données projet'!$B$15,Paramètres!$A$1:$I$89,5,0)</f>
        <v>-3.39923644787632E-13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444.77624981561257</v>
      </c>
      <c r="EP108" s="59">
        <f t="shared" si="100"/>
        <v>382.10319641527587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133.2001171870065</v>
      </c>
      <c r="EW108" s="21">
        <f>EXP(-LN(2)/25)*EW107+(1-EXP(-LN(2)/25))/(LN(2)/25)*Calculateur!ER108*Calculateur!ET108*VLOOKUP('Données projet'!$B$15,Paramètres!$A$1:$I$89,3,0)*0.475*44/12</f>
        <v>20.767484415710111</v>
      </c>
      <c r="EX108" s="21">
        <f>EXP(-LN(2)/2)*EX107+(1-EXP(-LN(2)/2))/(LN(2)/2)*ER108*EU108*VLOOKUP('Données projet'!$B$15,Paramètres!$A$1:$I$89,3,0)*0.475*44/12</f>
        <v>1.7737505747967546E-3</v>
      </c>
      <c r="EY108" s="22">
        <f t="shared" si="75"/>
        <v>153.96937535329138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68.925298976864198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3.4106051316484809E-13</v>
      </c>
      <c r="FF108" s="17">
        <f>FE108*VLOOKUP('Données projet'!$B$16,Paramètres!$A$1:$I$89,3,0)*VLOOKUP('Données projet'!$B$16,Paramètres!$A$1:$I$89,5,0)</f>
        <v>1.5074874681886286E-13</v>
      </c>
      <c r="FG108" s="13">
        <f t="shared" si="101"/>
        <v>2.1590218794584103E-12</v>
      </c>
      <c r="FH108" s="20">
        <f t="shared" si="76"/>
        <v>4.0228505074329168E-12</v>
      </c>
      <c r="FI108" s="59">
        <f t="shared" si="77"/>
        <v>289.39276291517274</v>
      </c>
      <c r="FJ108" s="59">
        <f ca="1">AVERAGE(OFFSET($FI$3,0,0,'Données projet'!$E$16+1,1))-AVERAGE(OFFSET($H$3,0,0,'Données projet'!$E$16+1,1))</f>
        <v>508.71179785154317</v>
      </c>
      <c r="FK108" s="59">
        <f t="shared" si="102"/>
        <v>422.73937290731442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169.36704293193449</v>
      </c>
      <c r="FR108" s="21">
        <f>EXP(-LN(2)/25)*FR107+(1-EXP(-LN(2)/25))/(LN(2)/25)*Calculateur!FM108*Calculateur!FO108*VLOOKUP('Données projet'!$B$16,Paramètres!$A$1:$I$89,3,0)*0.475*44/12</f>
        <v>34.025951550101922</v>
      </c>
      <c r="FS108" s="21">
        <f>EXP(-LN(2)/2)*FS107+(1-EXP(-LN(2)/2))/(LN(2)/2)*FM108*FP108*VLOOKUP('Données projet'!$B$16,Paramètres!$A$1:$I$89,3,0)*0.475*44/12</f>
        <v>7.4351349177283997E-3</v>
      </c>
      <c r="FT108" s="22">
        <f t="shared" si="78"/>
        <v>203.40042961695414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68.925298976864198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68.925298976864198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1.35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4.95</v>
      </c>
      <c r="H109" s="67">
        <f t="shared" si="56"/>
        <v>236.86666666666665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68.943942636944058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5.2</v>
      </c>
      <c r="N109" s="13">
        <f>IF('Données projet'!$A$36&gt;35,N108+M109-V108,IF(A109&lt;'Données projet'!$A$36,$K$205^A109,IF(A109='Données projet'!$A$36,'Données projet'!$B$36,N108+M109-V108)))</f>
        <v>337.2000000000001</v>
      </c>
      <c r="O109" s="13">
        <f>N109*VLOOKUP('Données projet'!$B$9,Paramètres!$A$1:$I$89,3,0)*VLOOKUP('Données projet'!$B$9,Paramètres!$A$1:$I$89,5,0)</f>
        <v>305.09856000000008</v>
      </c>
      <c r="P109" s="13">
        <f t="shared" si="87"/>
        <v>72.244266890878862</v>
      </c>
      <c r="Q109" s="20">
        <f t="shared" si="107"/>
        <v>657.20542350161418</v>
      </c>
      <c r="R109" s="59">
        <f t="shared" si="55"/>
        <v>946.66654650374244</v>
      </c>
      <c r="S109" s="59">
        <f ca="1">AVERAGE(OFFSET($R$3,0,0,'Données projet'!$E$9+1,1))-AVERAGE(OFFSET($H$3,0,0,'Données projet'!$E$9+1,1))</f>
        <v>466.90449882701591</v>
      </c>
      <c r="T109" s="59">
        <f t="shared" si="88"/>
        <v>283.37641704892053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47.873919894008274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47.873919894008274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68.943942636944058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2.4</v>
      </c>
      <c r="AI109" s="13">
        <f>IF('Données projet'!$A$62&gt;35,AI108+AH109-AQ108,IF(A109&lt;'Données projet'!$A$62,$AF$205^A109,IF(A109='Données projet'!$A$62,'Données projet'!$B$62,AI108+AH109-AQ108)))</f>
        <v>275.39999999999986</v>
      </c>
      <c r="AJ109" s="13">
        <f>AI109*VLOOKUP('Données projet'!$B$10,Paramètres!$A$1:$I$89,3,0)*VLOOKUP('Données projet'!$B$10,Paramètres!$A$1:$I$89,5,0)</f>
        <v>262.07063999999986</v>
      </c>
      <c r="AK109" s="13">
        <f t="shared" si="89"/>
        <v>63.163550751219262</v>
      </c>
      <c r="AL109" s="20">
        <f t="shared" si="58"/>
        <v>566.44954889170651</v>
      </c>
      <c r="AM109" s="59">
        <f t="shared" si="59"/>
        <v>855.91067189383466</v>
      </c>
      <c r="AN109" s="59">
        <f ca="1">AVERAGE(OFFSET($AM$3,0,0,'Données projet'!$E$10+1,1))-AVERAGE(OFFSET($H$3,0,0,'Données projet'!$E$10+1,1))</f>
        <v>399.5572791581468</v>
      </c>
      <c r="AO109" s="59">
        <f t="shared" si="90"/>
        <v>246.34185986079777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29.087774962179193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29.087774962179193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68.943942636944058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5.6843418860808015E-14</v>
      </c>
      <c r="BE109" s="13">
        <f>BD109*VLOOKUP('Données projet'!$B$11,Paramètres!$A$1:$I$89,3,0)*VLOOKUP('Données projet'!$B$11,Paramètres!$A$1:$I$89,5,0)</f>
        <v>4.4337866711430253E-14</v>
      </c>
      <c r="BF109" s="13">
        <f t="shared" si="91"/>
        <v>7.3222115536967035E-13</v>
      </c>
      <c r="BG109" s="20">
        <f t="shared" si="61"/>
        <v>1.3525069634579169E-12</v>
      </c>
      <c r="BH109" s="59">
        <f t="shared" si="62"/>
        <v>289.46112300212957</v>
      </c>
      <c r="BI109" s="59">
        <f ca="1">AVERAGE(OFFSET($BH$3,0,0,'Données projet'!$E$11+1,1))-AVERAGE(OFFSET($H$3,0,0,'Données projet'!$E$11+1,1))</f>
        <v>294.23449029791681</v>
      </c>
      <c r="BJ109" s="59">
        <f t="shared" si="92"/>
        <v>288.64639202306159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45.212856058947985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45.212856058947985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68.943942636944058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2.4</v>
      </c>
      <c r="BY109" s="12">
        <f>IF('Données projet'!$A$114&gt;35,BY108+BX109-CG108,IF(A109&lt;'Données projet'!$A$114,$BV$205^A109,IF(A109='Données projet'!$A$114,'Données projet'!$B$114,BY108+BX109-CG108)))</f>
        <v>275.39999999999986</v>
      </c>
      <c r="BZ109" s="13">
        <f>BY109*VLOOKUP('Données projet'!$B$12,Paramètres!$A$1:$I$89,3,0)*VLOOKUP('Données projet'!$B$12,Paramètres!$A$1:$I$89,5,0)</f>
        <v>296.44055999999983</v>
      </c>
      <c r="CA109" s="13">
        <f t="shared" si="93"/>
        <v>70.42975057134467</v>
      </c>
      <c r="CB109" s="20">
        <f t="shared" si="64"/>
        <v>638.96579091175829</v>
      </c>
      <c r="CC109" s="59">
        <f t="shared" si="65"/>
        <v>928.42691391388644</v>
      </c>
      <c r="CD109" s="59">
        <f ca="1">AVERAGE(OFFSET($CC$3,0,0,'Données projet'!$E$12+1,1))-AVERAGE(OFFSET($H$3,0,0,'Données projet'!$E$12+1,1))</f>
        <v>445.38112098358147</v>
      </c>
      <c r="CE109" s="59">
        <f t="shared" si="94"/>
        <v>272.45883568548516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32.902565121153515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32.902565121153515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68.943942636944058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2.4</v>
      </c>
      <c r="CT109" s="12">
        <f>IF('Données projet'!$A$140&gt;35,CT108+CS109-DB108,IF(A109&lt;'Données projet'!$A$140,$CQ$205^A109,IF(A109='Données projet'!$A$140,'Données projet'!$B$140,CT108+CS109-DB108)))</f>
        <v>275.39999999999986</v>
      </c>
      <c r="CU109" s="17">
        <f>CT109*VLOOKUP('Données projet'!$B$13,Paramètres!$A$1:$I$89,3,0)*VLOOKUP('Données projet'!$B$13,Paramètres!$A$1:$I$89,5,0)</f>
        <v>296.44055999999983</v>
      </c>
      <c r="CV109" s="13">
        <f t="shared" si="95"/>
        <v>70.42975057134467</v>
      </c>
      <c r="CW109" s="20">
        <f t="shared" si="67"/>
        <v>638.96579091175829</v>
      </c>
      <c r="CX109" s="59">
        <f t="shared" si="68"/>
        <v>928.42691391388644</v>
      </c>
      <c r="CY109" s="59">
        <f ca="1">AVERAGE(OFFSET($CX$3,0,0,'Données projet'!$E$13+1,1))-AVERAGE(OFFSET($H$3,0,0,'Données projet'!$E$13+1,1))</f>
        <v>445.38112098358147</v>
      </c>
      <c r="CZ109" s="59">
        <f t="shared" si="96"/>
        <v>272.45883568548516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32.902565121153515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32.902565121153515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68.943942636944058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2.4</v>
      </c>
      <c r="DO109" s="12">
        <f>IF('Données projet'!$A$166&gt;35,DO108+DN109-DW108,IF(A109&lt;'Données projet'!$A$166,$DL$205^A109,IF(A109='Données projet'!$A$166,'Données projet'!$B$166,DO108+DN109-DW108)))</f>
        <v>275.39999999999986</v>
      </c>
      <c r="DP109" s="17">
        <f>DO109*VLOOKUP('Données projet'!$B$14,Paramètres!$A$1:$I$89,3,0)*VLOOKUP('Données projet'!$B$14,Paramètres!$A$1:$I$89,5,0)</f>
        <v>266.36687999999987</v>
      </c>
      <c r="DQ109" s="13">
        <f t="shared" si="97"/>
        <v>64.077622653233107</v>
      </c>
      <c r="DR109" s="20">
        <f t="shared" si="70"/>
        <v>575.52417545438072</v>
      </c>
      <c r="DS109" s="59">
        <f t="shared" si="71"/>
        <v>864.98529845650887</v>
      </c>
      <c r="DT109" s="59">
        <f ca="1">AVERAGE(OFFSET($DS$3,0,0,'Données projet'!$E$14+1,1))-AVERAGE(OFFSET($H$3,0,0,'Données projet'!$E$14+1,1))</f>
        <v>405.29179902613089</v>
      </c>
      <c r="DU109" s="59">
        <f t="shared" si="98"/>
        <v>249.61049717638238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29.564623732050993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29.564623732050993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68.943942636944058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-5.6843418860808015E-13</v>
      </c>
      <c r="EK109" s="17">
        <f>EJ109*VLOOKUP('Données projet'!$B$15,Paramètres!$A$1:$I$89,3,0)*VLOOKUP('Données projet'!$B$15,Paramètres!$A$1:$I$89,5,0)</f>
        <v>-3.39923644787632E-13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444.77624981561257</v>
      </c>
      <c r="EP109" s="59">
        <f t="shared" si="100"/>
        <v>382.10319641527587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130.5881441330186</v>
      </c>
      <c r="EW109" s="21">
        <f>EXP(-LN(2)/25)*EW108+(1-EXP(-LN(2)/25))/(LN(2)/25)*Calculateur!ER109*Calculateur!ET109*VLOOKUP('Données projet'!$B$15,Paramètres!$A$1:$I$89,3,0)*0.475*44/12</f>
        <v>20.199596462247978</v>
      </c>
      <c r="EX109" s="21">
        <f>EXP(-LN(2)/2)*EX108+(1-EXP(-LN(2)/2))/(LN(2)/2)*ER109*EU109*VLOOKUP('Données projet'!$B$15,Paramètres!$A$1:$I$89,3,0)*0.475*44/12</f>
        <v>1.2542310595723217E-3</v>
      </c>
      <c r="EY109" s="22">
        <f t="shared" si="75"/>
        <v>150.78899482632613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68.943942636944058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3.4106051316484809E-13</v>
      </c>
      <c r="FF109" s="17">
        <f>FE109*VLOOKUP('Données projet'!$B$16,Paramètres!$A$1:$I$89,3,0)*VLOOKUP('Données projet'!$B$16,Paramètres!$A$1:$I$89,5,0)</f>
        <v>1.5074874681886286E-13</v>
      </c>
      <c r="FG109" s="13">
        <f t="shared" si="101"/>
        <v>2.1590218794584103E-12</v>
      </c>
      <c r="FH109" s="20">
        <f t="shared" si="76"/>
        <v>4.0228505074329168E-12</v>
      </c>
      <c r="FI109" s="59">
        <f t="shared" si="77"/>
        <v>289.46112300213224</v>
      </c>
      <c r="FJ109" s="59">
        <f ca="1">AVERAGE(OFFSET($FI$3,0,0,'Données projet'!$E$16+1,1))-AVERAGE(OFFSET($H$3,0,0,'Données projet'!$E$16+1,1))</f>
        <v>508.71179785154317</v>
      </c>
      <c r="FK109" s="59">
        <f t="shared" si="102"/>
        <v>422.73937290731442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166.04585852373506</v>
      </c>
      <c r="FR109" s="21">
        <f>EXP(-LN(2)/25)*FR108+(1-EXP(-LN(2)/25))/(LN(2)/25)*Calculateur!FM109*Calculateur!FO109*VLOOKUP('Données projet'!$B$16,Paramètres!$A$1:$I$89,3,0)*0.475*44/12</f>
        <v>33.095510115617358</v>
      </c>
      <c r="FS109" s="21">
        <f>EXP(-LN(2)/2)*FS108+(1-EXP(-LN(2)/2))/(LN(2)/2)*FM109*FP109*VLOOKUP('Données projet'!$B$16,Paramètres!$A$1:$I$89,3,0)*0.475*44/12</f>
        <v>5.2574343193626345E-3</v>
      </c>
      <c r="FT109" s="22">
        <f t="shared" si="78"/>
        <v>199.1466260736718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68.943942636944058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68.943942636944058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1.35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4.95</v>
      </c>
      <c r="H110" s="67">
        <f t="shared" si="56"/>
        <v>236.86666666666665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68.962262871202512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5.2</v>
      </c>
      <c r="N110" s="13">
        <f>IF('Données projet'!$A$36&gt;35,N109+M110-V109,IF(A110&lt;'Données projet'!$A$36,$K$205^A110,IF(A110='Données projet'!$A$36,'Données projet'!$B$36,N109+M110-V109)))</f>
        <v>342.40000000000009</v>
      </c>
      <c r="O110" s="13">
        <f>N110*VLOOKUP('Données projet'!$B$9,Paramètres!$A$1:$I$89,3,0)*VLOOKUP('Données projet'!$B$9,Paramètres!$A$1:$I$89,5,0)</f>
        <v>309.80352000000005</v>
      </c>
      <c r="P110" s="13">
        <f t="shared" si="87"/>
        <v>73.227795813703821</v>
      </c>
      <c r="Q110" s="20">
        <f t="shared" si="107"/>
        <v>667.11287504220093</v>
      </c>
      <c r="R110" s="59">
        <f t="shared" si="55"/>
        <v>956.64117223661015</v>
      </c>
      <c r="S110" s="59">
        <f ca="1">AVERAGE(OFFSET($R$3,0,0,'Données projet'!$E$9+1,1))-AVERAGE(OFFSET($H$3,0,0,'Données projet'!$E$9+1,1))</f>
        <v>466.90449882701591</v>
      </c>
      <c r="T110" s="59">
        <f t="shared" si="88"/>
        <v>283.37641704892053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46.935141525094629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46.935141525094629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68.962262871202512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2.4</v>
      </c>
      <c r="AI110" s="13">
        <f>IF('Données projet'!$A$62&gt;35,AI109+AH110-AQ109,IF(A110&lt;'Données projet'!$A$62,$AF$205^A110,IF(A110='Données projet'!$A$62,'Données projet'!$B$62,AI109+AH110-AQ109)))</f>
        <v>277.79999999999984</v>
      </c>
      <c r="AJ110" s="13">
        <f>AI110*VLOOKUP('Données projet'!$B$10,Paramètres!$A$1:$I$89,3,0)*VLOOKUP('Données projet'!$B$10,Paramètres!$A$1:$I$89,5,0)</f>
        <v>264.35447999999985</v>
      </c>
      <c r="AK110" s="13">
        <f t="shared" si="89"/>
        <v>63.649677966098132</v>
      </c>
      <c r="AL110" s="20">
        <f t="shared" si="58"/>
        <v>571.27390845762056</v>
      </c>
      <c r="AM110" s="59">
        <f t="shared" si="59"/>
        <v>860.80220565202978</v>
      </c>
      <c r="AN110" s="59">
        <f ca="1">AVERAGE(OFFSET($AM$3,0,0,'Données projet'!$E$10+1,1))-AVERAGE(OFFSET($H$3,0,0,'Données projet'!$E$10+1,1))</f>
        <v>399.5572791581468</v>
      </c>
      <c r="AO110" s="59">
        <f t="shared" si="90"/>
        <v>246.34185986079777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28.517381436961731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28.517381436961731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68.962262871202512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5.6843418860808015E-14</v>
      </c>
      <c r="BE110" s="13">
        <f>BD110*VLOOKUP('Données projet'!$B$11,Paramètres!$A$1:$I$89,3,0)*VLOOKUP('Données projet'!$B$11,Paramètres!$A$1:$I$89,5,0)</f>
        <v>4.4337866711430253E-14</v>
      </c>
      <c r="BF110" s="13">
        <f t="shared" si="91"/>
        <v>7.3222115536967035E-13</v>
      </c>
      <c r="BG110" s="20">
        <f t="shared" si="61"/>
        <v>1.3525069634579169E-12</v>
      </c>
      <c r="BH110" s="59">
        <f t="shared" si="62"/>
        <v>289.52829719441058</v>
      </c>
      <c r="BI110" s="59">
        <f ca="1">AVERAGE(OFFSET($BH$3,0,0,'Données projet'!$E$11+1,1))-AVERAGE(OFFSET($H$3,0,0,'Données projet'!$E$11+1,1))</f>
        <v>294.23449029791681</v>
      </c>
      <c r="BJ110" s="59">
        <f t="shared" si="92"/>
        <v>288.64639202306159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44.326259528751194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44.326259528751194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68.962262871202512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2.4</v>
      </c>
      <c r="BY110" s="12">
        <f>IF('Données projet'!$A$114&gt;35,BY109+BX110-CG109,IF(A110&lt;'Données projet'!$A$114,$BV$205^A110,IF(A110='Données projet'!$A$114,'Données projet'!$B$114,BY109+BX110-CG109)))</f>
        <v>277.79999999999984</v>
      </c>
      <c r="BZ110" s="13">
        <f>BY110*VLOOKUP('Données projet'!$B$12,Paramètres!$A$1:$I$89,3,0)*VLOOKUP('Données projet'!$B$12,Paramètres!$A$1:$I$89,5,0)</f>
        <v>299.0239199999998</v>
      </c>
      <c r="CA110" s="13">
        <f t="shared" si="93"/>
        <v>70.971800821570739</v>
      </c>
      <c r="CB110" s="20">
        <f t="shared" si="64"/>
        <v>644.40921376423535</v>
      </c>
      <c r="CC110" s="59">
        <f t="shared" si="65"/>
        <v>933.93751095864457</v>
      </c>
      <c r="CD110" s="59">
        <f ca="1">AVERAGE(OFFSET($CC$3,0,0,'Données projet'!$E$12+1,1))-AVERAGE(OFFSET($H$3,0,0,'Données projet'!$E$12+1,1))</f>
        <v>445.38112098358147</v>
      </c>
      <c r="CE110" s="59">
        <f t="shared" si="94"/>
        <v>272.45883568548516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32.257365887710812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32.257365887710812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68.962262871202512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2.4</v>
      </c>
      <c r="CT110" s="12">
        <f>IF('Données projet'!$A$140&gt;35,CT109+CS110-DB109,IF(A110&lt;'Données projet'!$A$140,$CQ$205^A110,IF(A110='Données projet'!$A$140,'Données projet'!$B$140,CT109+CS110-DB109)))</f>
        <v>277.79999999999984</v>
      </c>
      <c r="CU110" s="17">
        <f>CT110*VLOOKUP('Données projet'!$B$13,Paramètres!$A$1:$I$89,3,0)*VLOOKUP('Données projet'!$B$13,Paramètres!$A$1:$I$89,5,0)</f>
        <v>299.0239199999998</v>
      </c>
      <c r="CV110" s="13">
        <f t="shared" si="95"/>
        <v>70.971800821570739</v>
      </c>
      <c r="CW110" s="20">
        <f t="shared" si="67"/>
        <v>644.40921376423535</v>
      </c>
      <c r="CX110" s="59">
        <f t="shared" si="68"/>
        <v>933.93751095864457</v>
      </c>
      <c r="CY110" s="59">
        <f ca="1">AVERAGE(OFFSET($CX$3,0,0,'Données projet'!$E$13+1,1))-AVERAGE(OFFSET($H$3,0,0,'Données projet'!$E$13+1,1))</f>
        <v>445.38112098358147</v>
      </c>
      <c r="CZ110" s="59">
        <f t="shared" si="96"/>
        <v>272.45883568548516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32.257365887710812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32.257365887710812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68.962262871202512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2.4</v>
      </c>
      <c r="DO110" s="12">
        <f>IF('Données projet'!$A$166&gt;35,DO109+DN110-DW109,IF(A110&lt;'Données projet'!$A$166,$DL$205^A110,IF(A110='Données projet'!$A$166,'Données projet'!$B$166,DO109+DN110-DW109)))</f>
        <v>277.79999999999984</v>
      </c>
      <c r="DP110" s="17">
        <f>DO110*VLOOKUP('Données projet'!$B$14,Paramètres!$A$1:$I$89,3,0)*VLOOKUP('Données projet'!$B$14,Paramètres!$A$1:$I$89,5,0)</f>
        <v>268.68815999999987</v>
      </c>
      <c r="DQ110" s="13">
        <f t="shared" si="97"/>
        <v>64.570784862545324</v>
      </c>
      <c r="DR110" s="20">
        <f t="shared" si="70"/>
        <v>580.42599563559952</v>
      </c>
      <c r="DS110" s="59">
        <f t="shared" si="71"/>
        <v>869.95429283000874</v>
      </c>
      <c r="DT110" s="59">
        <f ca="1">AVERAGE(OFFSET($DS$3,0,0,'Données projet'!$E$14+1,1))-AVERAGE(OFFSET($H$3,0,0,'Données projet'!$E$14+1,1))</f>
        <v>405.29179902613089</v>
      </c>
      <c r="DU110" s="59">
        <f t="shared" si="98"/>
        <v>249.61049717638238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28.984879493305375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28.984879493305375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68.962262871202512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-5.6843418860808015E-13</v>
      </c>
      <c r="EK110" s="17">
        <f>EJ110*VLOOKUP('Données projet'!$B$15,Paramètres!$A$1:$I$89,3,0)*VLOOKUP('Données projet'!$B$15,Paramètres!$A$1:$I$89,5,0)</f>
        <v>-3.39923644787632E-13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444.77624981561257</v>
      </c>
      <c r="EP110" s="59">
        <f t="shared" si="100"/>
        <v>382.10319641527587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128.02739027747316</v>
      </c>
      <c r="EW110" s="21">
        <f>EXP(-LN(2)/25)*EW109+(1-EXP(-LN(2)/25))/(LN(2)/25)*Calculateur!ER110*Calculateur!ET110*VLOOKUP('Données projet'!$B$15,Paramètres!$A$1:$I$89,3,0)*0.475*44/12</f>
        <v>19.647237434737196</v>
      </c>
      <c r="EX110" s="21">
        <f>EXP(-LN(2)/2)*EX109+(1-EXP(-LN(2)/2))/(LN(2)/2)*ER110*EU110*VLOOKUP('Données projet'!$B$15,Paramètres!$A$1:$I$89,3,0)*0.475*44/12</f>
        <v>8.8687528739837731E-4</v>
      </c>
      <c r="EY110" s="22">
        <f t="shared" si="75"/>
        <v>147.67551458749776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68.962262871202512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3.4106051316484809E-13</v>
      </c>
      <c r="FF110" s="17">
        <f>FE110*VLOOKUP('Données projet'!$B$16,Paramètres!$A$1:$I$89,3,0)*VLOOKUP('Données projet'!$B$16,Paramètres!$A$1:$I$89,5,0)</f>
        <v>1.5074874681886286E-13</v>
      </c>
      <c r="FG110" s="13">
        <f t="shared" si="101"/>
        <v>2.1590218794584103E-12</v>
      </c>
      <c r="FH110" s="20">
        <f t="shared" si="76"/>
        <v>4.0228505074329168E-12</v>
      </c>
      <c r="FI110" s="59">
        <f t="shared" si="77"/>
        <v>289.52829719441326</v>
      </c>
      <c r="FJ110" s="59">
        <f ca="1">AVERAGE(OFFSET($FI$3,0,0,'Données projet'!$E$16+1,1))-AVERAGE(OFFSET($H$3,0,0,'Données projet'!$E$16+1,1))</f>
        <v>508.71179785154317</v>
      </c>
      <c r="FK110" s="59">
        <f t="shared" si="102"/>
        <v>422.73937290731442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162.78980051605794</v>
      </c>
      <c r="FR110" s="21">
        <f>EXP(-LN(2)/25)*FR109+(1-EXP(-LN(2)/25))/(LN(2)/25)*Calculateur!FM110*Calculateur!FO110*VLOOKUP('Données projet'!$B$16,Paramètres!$A$1:$I$89,3,0)*0.475*44/12</f>
        <v>32.190511651088563</v>
      </c>
      <c r="FS110" s="21">
        <f>EXP(-LN(2)/2)*FS109+(1-EXP(-LN(2)/2))/(LN(2)/2)*FM110*FP110*VLOOKUP('Données projet'!$B$16,Paramètres!$A$1:$I$89,3,0)*0.475*44/12</f>
        <v>3.7175674588641999E-3</v>
      </c>
      <c r="FT110" s="22">
        <f t="shared" si="78"/>
        <v>194.98402973460537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68.962262871202512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68.962262871202512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1.35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4.95</v>
      </c>
      <c r="H111" s="67">
        <f t="shared" si="56"/>
        <v>236.86666666666665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68.980265290354509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5.2</v>
      </c>
      <c r="N111" s="13">
        <f>IF('Données projet'!$A$36&gt;35,N110+M111-V110,IF(A111&lt;'Données projet'!$A$36,$K$205^A111,IF(A111='Données projet'!$A$36,'Données projet'!$B$36,N110+M111-V110)))</f>
        <v>347.60000000000008</v>
      </c>
      <c r="O111" s="13">
        <f>N111*VLOOKUP('Données projet'!$B$9,Paramètres!$A$1:$I$89,3,0)*VLOOKUP('Données projet'!$B$9,Paramètres!$A$1:$I$89,5,0)</f>
        <v>314.50848000000008</v>
      </c>
      <c r="P111" s="13">
        <f t="shared" si="87"/>
        <v>74.20958756161744</v>
      </c>
      <c r="Q111" s="20">
        <f t="shared" si="107"/>
        <v>677.01730100315046</v>
      </c>
      <c r="R111" s="59">
        <f t="shared" si="55"/>
        <v>966.61160706778367</v>
      </c>
      <c r="S111" s="59">
        <f ca="1">AVERAGE(OFFSET($R$3,0,0,'Données projet'!$E$9+1,1))-AVERAGE(OFFSET($H$3,0,0,'Données projet'!$E$9+1,1))</f>
        <v>466.90449882701591</v>
      </c>
      <c r="T111" s="59">
        <f t="shared" si="88"/>
        <v>283.37641704892053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46.014772027397115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46.014772027397115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68.980265290354509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2.4</v>
      </c>
      <c r="AI111" s="13">
        <f>IF('Données projet'!$A$62&gt;35,AI110+AH111-AQ110,IF(A111&lt;'Données projet'!$A$62,$AF$205^A111,IF(A111='Données projet'!$A$62,'Données projet'!$B$62,AI110+AH111-AQ110)))</f>
        <v>280.19999999999982</v>
      </c>
      <c r="AJ111" s="13">
        <f>AI111*VLOOKUP('Données projet'!$B$10,Paramètres!$A$1:$I$89,3,0)*VLOOKUP('Données projet'!$B$10,Paramètres!$A$1:$I$89,5,0)</f>
        <v>266.63831999999985</v>
      </c>
      <c r="AK111" s="13">
        <f t="shared" si="89"/>
        <v>64.135316563180027</v>
      </c>
      <c r="AL111" s="20">
        <f t="shared" si="58"/>
        <v>576.09741701420501</v>
      </c>
      <c r="AM111" s="59">
        <f t="shared" si="59"/>
        <v>865.69172307883821</v>
      </c>
      <c r="AN111" s="59">
        <f ca="1">AVERAGE(OFFSET($AM$3,0,0,'Données projet'!$E$10+1,1))-AVERAGE(OFFSET($H$3,0,0,'Données projet'!$E$10+1,1))</f>
        <v>399.5572791581468</v>
      </c>
      <c r="AO111" s="59">
        <f t="shared" si="90"/>
        <v>246.34185986079777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27.958172980868085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27.958172980868085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68.980265290354509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5.6843418860808015E-14</v>
      </c>
      <c r="BE111" s="13">
        <f>BD111*VLOOKUP('Données projet'!$B$11,Paramètres!$A$1:$I$89,3,0)*VLOOKUP('Données projet'!$B$11,Paramètres!$A$1:$I$89,5,0)</f>
        <v>4.4337866711430253E-14</v>
      </c>
      <c r="BF111" s="13">
        <f t="shared" si="91"/>
        <v>7.3222115536967035E-13</v>
      </c>
      <c r="BG111" s="20">
        <f t="shared" si="61"/>
        <v>1.3525069634579169E-12</v>
      </c>
      <c r="BH111" s="59">
        <f t="shared" si="62"/>
        <v>289.59430606463457</v>
      </c>
      <c r="BI111" s="59">
        <f ca="1">AVERAGE(OFFSET($BH$3,0,0,'Données projet'!$E$11+1,1))-AVERAGE(OFFSET($H$3,0,0,'Données projet'!$E$11+1,1))</f>
        <v>294.23449029791681</v>
      </c>
      <c r="BJ111" s="59">
        <f t="shared" si="92"/>
        <v>288.64639202306159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43.45704861574108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43.45704861574108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68.980265290354509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2.4</v>
      </c>
      <c r="BY111" s="12">
        <f>IF('Données projet'!$A$114&gt;35,BY110+BX111-CG110,IF(A111&lt;'Données projet'!$A$114,$BV$205^A111,IF(A111='Données projet'!$A$114,'Données projet'!$B$114,BY110+BX111-CG110)))</f>
        <v>280.19999999999982</v>
      </c>
      <c r="BZ111" s="13">
        <f>BY111*VLOOKUP('Données projet'!$B$12,Paramètres!$A$1:$I$89,3,0)*VLOOKUP('Données projet'!$B$12,Paramètres!$A$1:$I$89,5,0)</f>
        <v>301.60727999999978</v>
      </c>
      <c r="CA111" s="13">
        <f t="shared" si="93"/>
        <v>71.513306244453119</v>
      </c>
      <c r="CB111" s="20">
        <f t="shared" si="64"/>
        <v>649.85168770908888</v>
      </c>
      <c r="CC111" s="59">
        <f t="shared" si="65"/>
        <v>939.44599377372208</v>
      </c>
      <c r="CD111" s="59">
        <f ca="1">AVERAGE(OFFSET($CC$3,0,0,'Données projet'!$E$12+1,1))-AVERAGE(OFFSET($H$3,0,0,'Données projet'!$E$12+1,1))</f>
        <v>445.38112098358147</v>
      </c>
      <c r="CE111" s="59">
        <f t="shared" si="94"/>
        <v>272.45883568548516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31.624818617703244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31.624818617703244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68.980265290354509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2.4</v>
      </c>
      <c r="CT111" s="12">
        <f>IF('Données projet'!$A$140&gt;35,CT110+CS111-DB110,IF(A111&lt;'Données projet'!$A$140,$CQ$205^A111,IF(A111='Données projet'!$A$140,'Données projet'!$B$140,CT110+CS111-DB110)))</f>
        <v>280.19999999999982</v>
      </c>
      <c r="CU111" s="17">
        <f>CT111*VLOOKUP('Données projet'!$B$13,Paramètres!$A$1:$I$89,3,0)*VLOOKUP('Données projet'!$B$13,Paramètres!$A$1:$I$89,5,0)</f>
        <v>301.60727999999978</v>
      </c>
      <c r="CV111" s="13">
        <f t="shared" si="95"/>
        <v>71.513306244453119</v>
      </c>
      <c r="CW111" s="20">
        <f t="shared" si="67"/>
        <v>649.85168770908888</v>
      </c>
      <c r="CX111" s="59">
        <f t="shared" si="68"/>
        <v>939.44599377372208</v>
      </c>
      <c r="CY111" s="59">
        <f ca="1">AVERAGE(OFFSET($CX$3,0,0,'Données projet'!$E$13+1,1))-AVERAGE(OFFSET($H$3,0,0,'Données projet'!$E$13+1,1))</f>
        <v>445.38112098358147</v>
      </c>
      <c r="CZ111" s="59">
        <f t="shared" si="96"/>
        <v>272.45883568548516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31.624818617703244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31.624818617703244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68.980265290354509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2.4</v>
      </c>
      <c r="DO111" s="12">
        <f>IF('Données projet'!$A$166&gt;35,DO110+DN111-DW110,IF(A111&lt;'Données projet'!$A$166,$DL$205^A111,IF(A111='Données projet'!$A$166,'Données projet'!$B$166,DO110+DN111-DW110)))</f>
        <v>280.19999999999982</v>
      </c>
      <c r="DP111" s="17">
        <f>DO111*VLOOKUP('Données projet'!$B$14,Paramètres!$A$1:$I$89,3,0)*VLOOKUP('Données projet'!$B$14,Paramètres!$A$1:$I$89,5,0)</f>
        <v>271.00943999999981</v>
      </c>
      <c r="DQ111" s="13">
        <f t="shared" si="97"/>
        <v>65.063451383023647</v>
      </c>
      <c r="DR111" s="20">
        <f t="shared" si="70"/>
        <v>585.32695249209928</v>
      </c>
      <c r="DS111" s="59">
        <f t="shared" si="71"/>
        <v>874.92125855673248</v>
      </c>
      <c r="DT111" s="59">
        <f ca="1">AVERAGE(OFFSET($DS$3,0,0,'Données projet'!$E$14+1,1))-AVERAGE(OFFSET($H$3,0,0,'Données projet'!$E$14+1,1))</f>
        <v>405.29179902613089</v>
      </c>
      <c r="DU111" s="59">
        <f t="shared" si="98"/>
        <v>249.61049717638238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28.416503685472488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28.416503685472488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68.980265290354509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-5.6843418860808015E-13</v>
      </c>
      <c r="EK111" s="17">
        <f>EJ111*VLOOKUP('Données projet'!$B$15,Paramètres!$A$1:$I$89,3,0)*VLOOKUP('Données projet'!$B$15,Paramètres!$A$1:$I$89,5,0)</f>
        <v>-3.39923644787632E-13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444.77624981561257</v>
      </c>
      <c r="EP111" s="59">
        <f t="shared" si="100"/>
        <v>382.10319641527587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125.51685124312934</v>
      </c>
      <c r="EW111" s="21">
        <f>EXP(-LN(2)/25)*EW110+(1-EXP(-LN(2)/25))/(LN(2)/25)*Calculateur!ER111*Calculateur!ET111*VLOOKUP('Données projet'!$B$15,Paramètres!$A$1:$I$89,3,0)*0.475*44/12</f>
        <v>19.109982693880994</v>
      </c>
      <c r="EX111" s="21">
        <f>EXP(-LN(2)/2)*EX110+(1-EXP(-LN(2)/2))/(LN(2)/2)*ER111*EU111*VLOOKUP('Données projet'!$B$15,Paramètres!$A$1:$I$89,3,0)*0.475*44/12</f>
        <v>6.2711552978616083E-4</v>
      </c>
      <c r="EY111" s="22">
        <f t="shared" si="75"/>
        <v>144.62746105254013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68.980265290354509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3.4106051316484809E-13</v>
      </c>
      <c r="FF111" s="17">
        <f>FE111*VLOOKUP('Données projet'!$B$16,Paramètres!$A$1:$I$89,3,0)*VLOOKUP('Données projet'!$B$16,Paramètres!$A$1:$I$89,5,0)</f>
        <v>1.5074874681886286E-13</v>
      </c>
      <c r="FG111" s="13">
        <f t="shared" si="101"/>
        <v>2.1590218794584103E-12</v>
      </c>
      <c r="FH111" s="20">
        <f t="shared" si="76"/>
        <v>4.0228505074329168E-12</v>
      </c>
      <c r="FI111" s="59">
        <f t="shared" si="77"/>
        <v>289.59430606463724</v>
      </c>
      <c r="FJ111" s="59">
        <f ca="1">AVERAGE(OFFSET($FI$3,0,0,'Données projet'!$E$16+1,1))-AVERAGE(OFFSET($H$3,0,0,'Données projet'!$E$16+1,1))</f>
        <v>508.71179785154317</v>
      </c>
      <c r="FK111" s="59">
        <f t="shared" si="102"/>
        <v>422.73937290731442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159.59759181991208</v>
      </c>
      <c r="FR111" s="21">
        <f>EXP(-LN(2)/25)*FR110+(1-EXP(-LN(2)/25))/(LN(2)/25)*Calculateur!FM111*Calculateur!FO111*VLOOKUP('Données projet'!$B$16,Paramètres!$A$1:$I$89,3,0)*0.475*44/12</f>
        <v>31.310260417164113</v>
      </c>
      <c r="FS111" s="21">
        <f>EXP(-LN(2)/2)*FS110+(1-EXP(-LN(2)/2))/(LN(2)/2)*FM111*FP111*VLOOKUP('Données projet'!$B$16,Paramètres!$A$1:$I$89,3,0)*0.475*44/12</f>
        <v>2.6287171596813172E-3</v>
      </c>
      <c r="FT111" s="22">
        <f t="shared" si="78"/>
        <v>190.91048095423588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68.980265290354509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68.980265290354509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1.35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4.95</v>
      </c>
      <c r="H112" s="67">
        <f t="shared" si="56"/>
        <v>236.86666666666665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68.997955407781575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5.2</v>
      </c>
      <c r="N112" s="13">
        <f>IF('Données projet'!$A$36&gt;35,N111+M112-V111,IF(A112&lt;'Données projet'!$A$36,$K$205^A112,IF(A112='Données projet'!$A$36,'Données projet'!$B$36,N111+M112-V111)))</f>
        <v>352.80000000000007</v>
      </c>
      <c r="O112" s="13">
        <f>N112*VLOOKUP('Données projet'!$B$9,Paramètres!$A$1:$I$89,3,0)*VLOOKUP('Données projet'!$B$9,Paramètres!$A$1:$I$89,5,0)</f>
        <v>319.21344000000005</v>
      </c>
      <c r="P112" s="13">
        <f t="shared" si="87"/>
        <v>75.18967112417171</v>
      </c>
      <c r="Q112" s="20">
        <f t="shared" si="107"/>
        <v>686.91875187459902</v>
      </c>
      <c r="R112" s="59">
        <f t="shared" si="55"/>
        <v>976.57792170313155</v>
      </c>
      <c r="S112" s="59">
        <f ca="1">AVERAGE(OFFSET($R$3,0,0,'Données projet'!$E$9+1,1))-AVERAGE(OFFSET($H$3,0,0,'Données projet'!$E$9+1,1))</f>
        <v>466.90449882701591</v>
      </c>
      <c r="T112" s="59">
        <f t="shared" si="88"/>
        <v>283.37641704892053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45.112450414179484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45.112450414179484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68.997955407781575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2.4</v>
      </c>
      <c r="AI112" s="13">
        <f>IF('Données projet'!$A$62&gt;35,AI111+AH112-AQ111,IF(A112&lt;'Données projet'!$A$62,$AF$205^A112,IF(A112='Données projet'!$A$62,'Données projet'!$B$62,AI111+AH112-AQ111)))</f>
        <v>282.5999999999998</v>
      </c>
      <c r="AJ112" s="13">
        <f>AI112*VLOOKUP('Données projet'!$B$10,Paramètres!$A$1:$I$89,3,0)*VLOOKUP('Données projet'!$B$10,Paramètres!$A$1:$I$89,5,0)</f>
        <v>268.92215999999985</v>
      </c>
      <c r="AK112" s="13">
        <f t="shared" si="89"/>
        <v>64.620471212567296</v>
      </c>
      <c r="AL112" s="20">
        <f t="shared" si="58"/>
        <v>580.92008269522103</v>
      </c>
      <c r="AM112" s="59">
        <f t="shared" si="59"/>
        <v>870.57925252375344</v>
      </c>
      <c r="AN112" s="59">
        <f ca="1">AVERAGE(OFFSET($AM$3,0,0,'Données projet'!$E$10+1,1))-AVERAGE(OFFSET($H$3,0,0,'Données projet'!$E$10+1,1))</f>
        <v>399.5572791581468</v>
      </c>
      <c r="AO112" s="59">
        <f t="shared" si="90"/>
        <v>246.34185986079777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27.409930261514955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27.409930261514955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68.997955407781575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5.6843418860808015E-14</v>
      </c>
      <c r="BE112" s="13">
        <f>BD112*VLOOKUP('Données projet'!$B$11,Paramètres!$A$1:$I$89,3,0)*VLOOKUP('Données projet'!$B$11,Paramètres!$A$1:$I$89,5,0)</f>
        <v>4.4337866711430253E-14</v>
      </c>
      <c r="BF112" s="13">
        <f t="shared" si="91"/>
        <v>7.3222115536967035E-13</v>
      </c>
      <c r="BG112" s="20">
        <f t="shared" si="61"/>
        <v>1.3525069634579169E-12</v>
      </c>
      <c r="BH112" s="59">
        <f t="shared" si="62"/>
        <v>289.65916982853383</v>
      </c>
      <c r="BI112" s="59">
        <f ca="1">AVERAGE(OFFSET($BH$3,0,0,'Données projet'!$E$11+1,1))-AVERAGE(OFFSET($H$3,0,0,'Données projet'!$E$11+1,1))</f>
        <v>294.23449029791681</v>
      </c>
      <c r="BJ112" s="59">
        <f t="shared" si="92"/>
        <v>288.64639202306159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42.604882398568783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42.604882398568783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68.997955407781575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2.4</v>
      </c>
      <c r="BY112" s="12">
        <f>IF('Données projet'!$A$114&gt;35,BY111+BX112-CG111,IF(A112&lt;'Données projet'!$A$114,$BV$205^A112,IF(A112='Données projet'!$A$114,'Données projet'!$B$114,BY111+BX112-CG111)))</f>
        <v>282.5999999999998</v>
      </c>
      <c r="BZ112" s="13">
        <f>BY112*VLOOKUP('Données projet'!$B$12,Paramètres!$A$1:$I$89,3,0)*VLOOKUP('Données projet'!$B$12,Paramètres!$A$1:$I$89,5,0)</f>
        <v>304.1906399999998</v>
      </c>
      <c r="CA112" s="13">
        <f t="shared" si="93"/>
        <v>72.054272047333001</v>
      </c>
      <c r="CB112" s="20">
        <f t="shared" si="64"/>
        <v>655.29322181577129</v>
      </c>
      <c r="CC112" s="59">
        <f t="shared" si="65"/>
        <v>944.95239164430382</v>
      </c>
      <c r="CD112" s="59">
        <f ca="1">AVERAGE(OFFSET($CC$3,0,0,'Données projet'!$E$12+1,1))-AVERAGE(OFFSET($H$3,0,0,'Données projet'!$E$12+1,1))</f>
        <v>445.38112098358147</v>
      </c>
      <c r="CE112" s="59">
        <f t="shared" si="94"/>
        <v>272.45883568548516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31.004675213844788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31.004675213844788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68.997955407781575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2.4</v>
      </c>
      <c r="CT112" s="12">
        <f>IF('Données projet'!$A$140&gt;35,CT111+CS112-DB111,IF(A112&lt;'Données projet'!$A$140,$CQ$205^A112,IF(A112='Données projet'!$A$140,'Données projet'!$B$140,CT111+CS112-DB111)))</f>
        <v>282.5999999999998</v>
      </c>
      <c r="CU112" s="17">
        <f>CT112*VLOOKUP('Données projet'!$B$13,Paramètres!$A$1:$I$89,3,0)*VLOOKUP('Données projet'!$B$13,Paramètres!$A$1:$I$89,5,0)</f>
        <v>304.1906399999998</v>
      </c>
      <c r="CV112" s="13">
        <f t="shared" si="95"/>
        <v>72.054272047333001</v>
      </c>
      <c r="CW112" s="20">
        <f t="shared" si="67"/>
        <v>655.29322181577129</v>
      </c>
      <c r="CX112" s="59">
        <f t="shared" si="68"/>
        <v>944.95239164430382</v>
      </c>
      <c r="CY112" s="59">
        <f ca="1">AVERAGE(OFFSET($CX$3,0,0,'Données projet'!$E$13+1,1))-AVERAGE(OFFSET($H$3,0,0,'Données projet'!$E$13+1,1))</f>
        <v>445.38112098358147</v>
      </c>
      <c r="CZ112" s="59">
        <f t="shared" si="96"/>
        <v>272.45883568548516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31.004675213844788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31.004675213844788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68.997955407781575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2.4</v>
      </c>
      <c r="DO112" s="12">
        <f>IF('Données projet'!$A$166&gt;35,DO111+DN112-DW111,IF(A112&lt;'Données projet'!$A$166,$DL$205^A112,IF(A112='Données projet'!$A$166,'Données projet'!$B$166,DO111+DN112-DW111)))</f>
        <v>282.5999999999998</v>
      </c>
      <c r="DP112" s="17">
        <f>DO112*VLOOKUP('Données projet'!$B$14,Paramètres!$A$1:$I$89,3,0)*VLOOKUP('Données projet'!$B$14,Paramètres!$A$1:$I$89,5,0)</f>
        <v>273.33071999999981</v>
      </c>
      <c r="DQ112" s="13">
        <f t="shared" si="97"/>
        <v>65.555626952353848</v>
      </c>
      <c r="DR112" s="20">
        <f t="shared" si="70"/>
        <v>590.22705427534936</v>
      </c>
      <c r="DS112" s="59">
        <f t="shared" si="71"/>
        <v>879.88622410388189</v>
      </c>
      <c r="DT112" s="59">
        <f ca="1">AVERAGE(OFFSET($DS$3,0,0,'Données projet'!$E$14+1,1))-AVERAGE(OFFSET($H$3,0,0,'Données projet'!$E$14+1,1))</f>
        <v>405.29179902613089</v>
      </c>
      <c r="DU112" s="59">
        <f t="shared" si="98"/>
        <v>249.61049717638238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27.859273380556193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27.859273380556193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68.997955407781575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-5.6843418860808015E-13</v>
      </c>
      <c r="EK112" s="17">
        <f>EJ112*VLOOKUP('Données projet'!$B$15,Paramètres!$A$1:$I$89,3,0)*VLOOKUP('Données projet'!$B$15,Paramètres!$A$1:$I$89,5,0)</f>
        <v>-3.39923644787632E-13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444.77624981561257</v>
      </c>
      <c r="EP112" s="59">
        <f t="shared" si="100"/>
        <v>382.10319641527587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123.05554234797138</v>
      </c>
      <c r="EW112" s="21">
        <f>EXP(-LN(2)/25)*EW111+(1-EXP(-LN(2)/25))/(LN(2)/25)*Calculateur!ER112*Calculateur!ET112*VLOOKUP('Données projet'!$B$15,Paramètres!$A$1:$I$89,3,0)*0.475*44/12</f>
        <v>18.587419212166505</v>
      </c>
      <c r="EX112" s="21">
        <f>EXP(-LN(2)/2)*EX111+(1-EXP(-LN(2)/2))/(LN(2)/2)*ER112*EU112*VLOOKUP('Données projet'!$B$15,Paramètres!$A$1:$I$89,3,0)*0.475*44/12</f>
        <v>4.4343764369918865E-4</v>
      </c>
      <c r="EY112" s="22">
        <f t="shared" si="75"/>
        <v>141.64340499778157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68.997955407781575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3.4106051316484809E-13</v>
      </c>
      <c r="FF112" s="17">
        <f>FE112*VLOOKUP('Données projet'!$B$16,Paramètres!$A$1:$I$89,3,0)*VLOOKUP('Données projet'!$B$16,Paramètres!$A$1:$I$89,5,0)</f>
        <v>1.5074874681886286E-13</v>
      </c>
      <c r="FG112" s="13">
        <f t="shared" si="101"/>
        <v>2.1590218794584103E-12</v>
      </c>
      <c r="FH112" s="20">
        <f t="shared" si="76"/>
        <v>4.0228505074329168E-12</v>
      </c>
      <c r="FI112" s="59">
        <f t="shared" si="77"/>
        <v>289.65916982853651</v>
      </c>
      <c r="FJ112" s="59">
        <f ca="1">AVERAGE(OFFSET($FI$3,0,0,'Données projet'!$E$16+1,1))-AVERAGE(OFFSET($H$3,0,0,'Données projet'!$E$16+1,1))</f>
        <v>508.71179785154317</v>
      </c>
      <c r="FK112" s="59">
        <f t="shared" si="102"/>
        <v>422.73937290731442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156.4679803892426</v>
      </c>
      <c r="FR112" s="21">
        <f>EXP(-LN(2)/25)*FR111+(1-EXP(-LN(2)/25))/(LN(2)/25)*Calculateur!FM112*Calculateur!FO112*VLOOKUP('Données projet'!$B$16,Paramètres!$A$1:$I$89,3,0)*0.475*44/12</f>
        <v>30.454079699521724</v>
      </c>
      <c r="FS112" s="21">
        <f>EXP(-LN(2)/2)*FS111+(1-EXP(-LN(2)/2))/(LN(2)/2)*FM112*FP112*VLOOKUP('Données projet'!$B$16,Paramètres!$A$1:$I$89,3,0)*0.475*44/12</f>
        <v>1.8587837294320999E-3</v>
      </c>
      <c r="FT112" s="22">
        <f t="shared" si="78"/>
        <v>186.92391887249374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68.997955407781575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68.997955407781575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1.35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4.95</v>
      </c>
      <c r="H113" s="67">
        <f t="shared" si="56"/>
        <v>236.86666666666665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69.015338641220467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358</v>
      </c>
      <c r="L113" s="12">
        <f>VLOOKUP(A113,'Données projet'!$A$35:$I$55,9,0)</f>
        <v>5.2</v>
      </c>
      <c r="M113" s="12">
        <f t="array" ref="M113">INDEX(L:L,MIN(IF(ISNUMBER(L113:L309),ROW(L113:L309),"")))</f>
        <v>5.2</v>
      </c>
      <c r="N113" s="13">
        <f>IF('Données projet'!$A$36&gt;35,N112+M113-V112,IF(A113&lt;'Données projet'!$A$36,$K$205^A113,IF(A113='Données projet'!$A$36,'Données projet'!$B$36,N112+M113-V112)))</f>
        <v>358.00000000000006</v>
      </c>
      <c r="O113" s="13">
        <f>N113*VLOOKUP('Données projet'!$B$9,Paramètres!$A$1:$I$89,3,0)*VLOOKUP('Données projet'!$B$9,Paramètres!$A$1:$I$89,5,0)</f>
        <v>323.91840000000002</v>
      </c>
      <c r="P113" s="13">
        <f t="shared" si="87"/>
        <v>76.168074587293091</v>
      </c>
      <c r="Q113" s="20">
        <f t="shared" si="107"/>
        <v>696.81727657286876</v>
      </c>
      <c r="R113" s="59">
        <f t="shared" si="55"/>
        <v>986.54018492401042</v>
      </c>
      <c r="S113" s="59">
        <f ca="1">AVERAGE(OFFSET($R$3,0,0,'Données projet'!$E$9+1,1))-AVERAGE(OFFSET($H$3,0,0,'Données projet'!$E$9+1,1))</f>
        <v>466.90449882701591</v>
      </c>
      <c r="T113" s="59">
        <f t="shared" si="88"/>
        <v>283.37641704892053</v>
      </c>
      <c r="U113" s="15">
        <f>IF(ISNA(VLOOKUP(A113,'Données projet'!$A$35:$I$55,3,0)),0,VLOOKUP(A113,'Données projet'!$A$35:$I$55,3,0))</f>
        <v>19</v>
      </c>
      <c r="V113" s="15">
        <f>IF(ISNA(VLOOKUP(A113,'Données projet'!$A$35:$I$55,4,0)),0,VLOOKUP(A113,'Données projet'!$A$35:$I$55,4,0))</f>
        <v>51</v>
      </c>
      <c r="W113" s="16">
        <f>IF(ISNA(VLOOKUP(A113,'Données projet'!$A$35:$I$55,5,0)),0%,VLOOKUP(A113,'Données projet'!$A$35:$I$55,5,0)*VLOOKUP('Données projet'!$B$9,Paramètres!$A$1:$I$89,7,0))</f>
        <v>0.34400000000000003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61.775850869333603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61.775850869333603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69.015338641220467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285</v>
      </c>
      <c r="AG113" s="12">
        <f>VLOOKUP(A113,'Données projet'!$A$61:$I$81,9,0)</f>
        <v>2.4</v>
      </c>
      <c r="AH113" s="12">
        <f t="array" ref="AH113">INDEX(AG:AG,MIN(IF(ISNUMBER(AG113:AG309),ROW(AG113:AG309),"")))</f>
        <v>2.4</v>
      </c>
      <c r="AI113" s="13">
        <f>IF('Données projet'!$A$62&gt;35,AI112+AH113-AQ112,IF(A113&lt;'Données projet'!$A$62,$AF$205^A113,IF(A113='Données projet'!$A$62,'Données projet'!$B$62,AI112+AH113-AQ112)))</f>
        <v>284.99999999999977</v>
      </c>
      <c r="AJ113" s="13">
        <f>AI113*VLOOKUP('Données projet'!$B$10,Paramètres!$A$1:$I$89,3,0)*VLOOKUP('Données projet'!$B$10,Paramètres!$A$1:$I$89,5,0)</f>
        <v>271.20599999999979</v>
      </c>
      <c r="AK113" s="13">
        <f t="shared" si="89"/>
        <v>65.105146500461984</v>
      </c>
      <c r="AL113" s="20">
        <f t="shared" si="58"/>
        <v>585.74191348830414</v>
      </c>
      <c r="AM113" s="59">
        <f t="shared" si="59"/>
        <v>875.4648218394459</v>
      </c>
      <c r="AN113" s="59">
        <f ca="1">AVERAGE(OFFSET($AM$3,0,0,'Données projet'!$E$10+1,1))-AVERAGE(OFFSET($H$3,0,0,'Données projet'!$E$10+1,1))</f>
        <v>399.5572791581468</v>
      </c>
      <c r="AO113" s="59">
        <f t="shared" si="90"/>
        <v>246.34185986079777</v>
      </c>
      <c r="AP113" s="15">
        <f>IF(ISNA(VLOOKUP(A113,'Données projet'!$A$61:$I$81,3,0)),0,VLOOKUP(A113,'Données projet'!$A$61:$I$81,3,0))</f>
        <v>17</v>
      </c>
      <c r="AQ113" s="15">
        <f>IF(ISNA(VLOOKUP(A113,'Données projet'!$A$61:$I$81,4,0)),0,VLOOKUP(A113,'Données projet'!$A$61:$I$81,4,0))</f>
        <v>19</v>
      </c>
      <c r="AR113" s="16">
        <f>IF(ISNA(VLOOKUP(A113,'Données projet'!$A$61:$I$81,5,0)),0%,VLOOKUP(A113,'Données projet'!$A$61:$I$81,5,0)*VLOOKUP('Données projet'!$B$10,Paramètres!$A$1:$I$89,7,0))</f>
        <v>0.34400000000000003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33.748085495130297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33.748085495130297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69.015338641220467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5.6843418860808015E-14</v>
      </c>
      <c r="BE113" s="13">
        <f>BD113*VLOOKUP('Données projet'!$B$11,Paramètres!$A$1:$I$89,3,0)*VLOOKUP('Données projet'!$B$11,Paramètres!$A$1:$I$89,5,0)</f>
        <v>4.4337866711430253E-14</v>
      </c>
      <c r="BF113" s="13">
        <f t="shared" si="91"/>
        <v>7.3222115536967035E-13</v>
      </c>
      <c r="BG113" s="20">
        <f t="shared" si="61"/>
        <v>1.3525069634579169E-12</v>
      </c>
      <c r="BH113" s="59">
        <f t="shared" si="62"/>
        <v>289.72290835114308</v>
      </c>
      <c r="BI113" s="59">
        <f ca="1">AVERAGE(OFFSET($BH$3,0,0,'Données projet'!$E$11+1,1))-AVERAGE(OFFSET($H$3,0,0,'Données projet'!$E$11+1,1))</f>
        <v>294.23449029791681</v>
      </c>
      <c r="BJ113" s="59">
        <f t="shared" si="92"/>
        <v>288.64639202306159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41.769426641145166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41.769426641145166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69.015338641220467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285</v>
      </c>
      <c r="BW113" s="12">
        <f>VLOOKUP(A113,'Données projet'!$A$113:$I$133,9,0)</f>
        <v>2.4</v>
      </c>
      <c r="BX113" s="12">
        <f t="array" ref="BX113">INDEX(BW:BW,MIN(IF(ISNUMBER(BW113:BW309),ROW(BW113:BW309),"")))</f>
        <v>2.4</v>
      </c>
      <c r="BY113" s="12">
        <f>IF('Données projet'!$A$114&gt;35,BY112+BX113-CG112,IF(A113&lt;'Données projet'!$A$114,$BV$205^A113,IF(A113='Données projet'!$A$114,'Données projet'!$B$114,BY112+BX113-CG112)))</f>
        <v>284.99999999999977</v>
      </c>
      <c r="BZ113" s="13">
        <f>BY113*VLOOKUP('Données projet'!$B$12,Paramètres!$A$1:$I$89,3,0)*VLOOKUP('Données projet'!$B$12,Paramètres!$A$1:$I$89,5,0)</f>
        <v>306.77399999999977</v>
      </c>
      <c r="CA113" s="13">
        <f t="shared" si="93"/>
        <v>72.594703343998987</v>
      </c>
      <c r="CB113" s="20">
        <f t="shared" si="64"/>
        <v>660.73382499079776</v>
      </c>
      <c r="CC113" s="59">
        <f t="shared" si="65"/>
        <v>950.45673334193953</v>
      </c>
      <c r="CD113" s="59">
        <f ca="1">AVERAGE(OFFSET($CC$3,0,0,'Données projet'!$E$12+1,1))-AVERAGE(OFFSET($H$3,0,0,'Données projet'!$E$12+1,1))</f>
        <v>445.38112098358147</v>
      </c>
      <c r="CE113" s="59">
        <f t="shared" si="94"/>
        <v>272.45883568548516</v>
      </c>
      <c r="CF113" s="15">
        <f>IF(ISNA(VLOOKUP(A113,'Données projet'!$A$113:$I$133,3,0)),0,VLOOKUP(A113,'Données projet'!$A$113:$I$133,3,0))</f>
        <v>17</v>
      </c>
      <c r="CG113" s="15">
        <f>IF(ISNA(VLOOKUP(A113,'Données projet'!$A$113:$I$133,4,0)),0,VLOOKUP(A113,'Données projet'!$A$113:$I$133,4,0))</f>
        <v>19</v>
      </c>
      <c r="CH113" s="16">
        <f>IF(ISNA(VLOOKUP(A113,'Données projet'!$A$113:$I$133,5,0)),0%,VLOOKUP(A113,'Données projet'!$A$113:$I$133,5,0)*VLOOKUP('Données projet'!$B$12,Paramètres!$A$1:$I$89,7,0))</f>
        <v>0.34400000000000003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38.17406392072116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38.17406392072116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69.015338641220467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>
        <f>VLOOKUP(A113,'Données projet'!$A$139:$I$159,2,0)</f>
        <v>285</v>
      </c>
      <c r="CR113" s="12">
        <f>VLOOKUP(A113,'Données projet'!$A$139:$I$159,9,0)</f>
        <v>2.4</v>
      </c>
      <c r="CS113" s="12">
        <f t="array" ref="CS113">INDEX(CR:CR,MIN(IF(ISNUMBER(CR113:CR309),ROW(CR113:CR309),"")))</f>
        <v>2.4</v>
      </c>
      <c r="CT113" s="12">
        <f>IF('Données projet'!$A$140&gt;35,CT112+CS113-DB112,IF(A113&lt;'Données projet'!$A$140,$CQ$205^A113,IF(A113='Données projet'!$A$140,'Données projet'!$B$140,CT112+CS113-DB112)))</f>
        <v>284.99999999999977</v>
      </c>
      <c r="CU113" s="17">
        <f>CT113*VLOOKUP('Données projet'!$B$13,Paramètres!$A$1:$I$89,3,0)*VLOOKUP('Données projet'!$B$13,Paramètres!$A$1:$I$89,5,0)</f>
        <v>306.77399999999977</v>
      </c>
      <c r="CV113" s="13">
        <f t="shared" si="95"/>
        <v>72.594703343998987</v>
      </c>
      <c r="CW113" s="20">
        <f t="shared" si="67"/>
        <v>660.73382499079776</v>
      </c>
      <c r="CX113" s="59">
        <f t="shared" si="68"/>
        <v>950.45673334193953</v>
      </c>
      <c r="CY113" s="59">
        <f ca="1">AVERAGE(OFFSET($CX$3,0,0,'Données projet'!$E$13+1,1))-AVERAGE(OFFSET($H$3,0,0,'Données projet'!$E$13+1,1))</f>
        <v>445.38112098358147</v>
      </c>
      <c r="CZ113" s="59">
        <f t="shared" si="96"/>
        <v>272.45883568548516</v>
      </c>
      <c r="DA113" s="15">
        <f>IF(ISNA(VLOOKUP(A113,'Données projet'!$A$139:$I$159,3,0)),0,VLOOKUP(A113,'Données projet'!$A$139:$I$159,3,0))</f>
        <v>17</v>
      </c>
      <c r="DB113" s="15">
        <f>IF(ISNA(VLOOKUP(A113,'Données projet'!$A$139:$I$159,4,0)),0,VLOOKUP(A113,'Données projet'!$A$139:$I$159,4,0))</f>
        <v>19</v>
      </c>
      <c r="DC113" s="16">
        <f>IF(ISNA(VLOOKUP(A113,'Données projet'!$A$139:$I$159,5,0)),0%,VLOOKUP(A113,'Données projet'!$A$139:$I$159,5,0)*VLOOKUP('Données projet'!$B$13,Paramètres!$A$1:$I$89,7,0))</f>
        <v>0.34400000000000003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38.17406392072116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38.17406392072116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69.015338641220467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>
        <f>VLOOKUP(A113,'Données projet'!$A$165:$I$185,2,0)</f>
        <v>285</v>
      </c>
      <c r="DM113" s="12">
        <f>VLOOKUP(A113,'Données projet'!$A$165:$I$185,9,0)</f>
        <v>2.4</v>
      </c>
      <c r="DN113" s="12">
        <f t="array" ref="DN113">INDEX(DM:DM,MIN(IF(ISNUMBER(DM113:DM309),ROW(DM113:DM309),"")))</f>
        <v>2.4</v>
      </c>
      <c r="DO113" s="12">
        <f>IF('Données projet'!$A$166&gt;35,DO112+DN113-DW112,IF(A113&lt;'Données projet'!$A$166,$DL$205^A113,IF(A113='Données projet'!$A$166,'Données projet'!$B$166,DO112+DN113-DW112)))</f>
        <v>284.99999999999977</v>
      </c>
      <c r="DP113" s="17">
        <f>DO113*VLOOKUP('Données projet'!$B$14,Paramètres!$A$1:$I$89,3,0)*VLOOKUP('Données projet'!$B$14,Paramètres!$A$1:$I$89,5,0)</f>
        <v>275.65199999999976</v>
      </c>
      <c r="DQ113" s="13">
        <f t="shared" si="97"/>
        <v>66.047316223107259</v>
      </c>
      <c r="DR113" s="20">
        <f t="shared" si="70"/>
        <v>595.12630908857807</v>
      </c>
      <c r="DS113" s="59">
        <f t="shared" si="71"/>
        <v>884.84921743971972</v>
      </c>
      <c r="DT113" s="59">
        <f ca="1">AVERAGE(OFFSET($DS$3,0,0,'Données projet'!$E$14+1,1))-AVERAGE(OFFSET($H$3,0,0,'Données projet'!$E$14+1,1))</f>
        <v>405.29179902613089</v>
      </c>
      <c r="DU113" s="59">
        <f t="shared" si="98"/>
        <v>249.61049717638238</v>
      </c>
      <c r="DV113" s="15">
        <f>IF(ISNA(VLOOKUP(A113,'Données projet'!$A$165:$I$185,3,0)),0,VLOOKUP(A113,'Données projet'!$A$165:$I$185,3,0))</f>
        <v>17</v>
      </c>
      <c r="DW113" s="15">
        <f>IF(ISNA(VLOOKUP(A113,'Données projet'!$A$165:$I$185,4,0)),0,VLOOKUP(A113,'Données projet'!$A$165:$I$185,4,0))</f>
        <v>19</v>
      </c>
      <c r="DX113" s="16">
        <f>IF(ISNA(VLOOKUP(A113,'Données projet'!$A$165:$I$185,5,0)),0%,VLOOKUP(A113,'Données projet'!$A$165:$I$185,5,0)*VLOOKUP('Données projet'!$B$14,Paramètres!$A$1:$I$89,7,0))</f>
        <v>0.34400000000000003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34.301332798329163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34.301332798329163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69.015338641220467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-5.6843418860808015E-13</v>
      </c>
      <c r="EK113" s="17">
        <f>EJ113*VLOOKUP('Données projet'!$B$15,Paramètres!$A$1:$I$89,3,0)*VLOOKUP('Données projet'!$B$15,Paramètres!$A$1:$I$89,5,0)</f>
        <v>-3.39923644787632E-13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444.77624981561257</v>
      </c>
      <c r="EP113" s="59">
        <f t="shared" si="100"/>
        <v>382.10319641527587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120.64249821899729</v>
      </c>
      <c r="EW113" s="21">
        <f>EXP(-LN(2)/25)*EW112+(1-EXP(-LN(2)/25))/(LN(2)/25)*Calculateur!ER113*Calculateur!ET113*VLOOKUP('Données projet'!$B$15,Paramètres!$A$1:$I$89,3,0)*0.475*44/12</f>
        <v>18.079145256339917</v>
      </c>
      <c r="EX113" s="21">
        <f>EXP(-LN(2)/2)*EX112+(1-EXP(-LN(2)/2))/(LN(2)/2)*ER113*EU113*VLOOKUP('Données projet'!$B$15,Paramètres!$A$1:$I$89,3,0)*0.475*44/12</f>
        <v>3.1355776489308041E-4</v>
      </c>
      <c r="EY113" s="22">
        <f t="shared" si="75"/>
        <v>138.72195703310209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69.015338641220467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3.4106051316484809E-13</v>
      </c>
      <c r="FF113" s="17">
        <f>FE113*VLOOKUP('Données projet'!$B$16,Paramètres!$A$1:$I$89,3,0)*VLOOKUP('Données projet'!$B$16,Paramètres!$A$1:$I$89,5,0)</f>
        <v>1.5074874681886286E-13</v>
      </c>
      <c r="FG113" s="13">
        <f t="shared" si="101"/>
        <v>2.1590218794584103E-12</v>
      </c>
      <c r="FH113" s="20">
        <f t="shared" si="76"/>
        <v>4.0228505074329168E-12</v>
      </c>
      <c r="FI113" s="59">
        <f t="shared" si="77"/>
        <v>289.72290835114575</v>
      </c>
      <c r="FJ113" s="59">
        <f ca="1">AVERAGE(OFFSET($FI$3,0,0,'Données projet'!$E$16+1,1))-AVERAGE(OFFSET($H$3,0,0,'Données projet'!$E$16+1,1))</f>
        <v>508.71179785154317</v>
      </c>
      <c r="FK113" s="59">
        <f t="shared" si="102"/>
        <v>422.73937290731442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153.39973872985405</v>
      </c>
      <c r="FR113" s="21">
        <f>EXP(-LN(2)/25)*FR112+(1-EXP(-LN(2)/25))/(LN(2)/25)*Calculateur!FM113*Calculateur!FO113*VLOOKUP('Données projet'!$B$16,Paramètres!$A$1:$I$89,3,0)*0.475*44/12</f>
        <v>29.621311288627854</v>
      </c>
      <c r="FS113" s="21">
        <f>EXP(-LN(2)/2)*FS112+(1-EXP(-LN(2)/2))/(LN(2)/2)*FM113*FP113*VLOOKUP('Données projet'!$B$16,Paramètres!$A$1:$I$89,3,0)*0.475*44/12</f>
        <v>1.3143585798406586E-3</v>
      </c>
      <c r="FT113" s="22">
        <f t="shared" si="78"/>
        <v>183.02236437706173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69.015338641220467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69.015338641220467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1.35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4.95</v>
      </c>
      <c r="H114" s="67">
        <f t="shared" si="56"/>
        <v>236.86666666666665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69.032420314422282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4.5</v>
      </c>
      <c r="N114" s="13">
        <f>IF('Données projet'!$A$36&gt;35,N113+M114-V113,IF(A114&lt;'Données projet'!$A$36,$K$205^A114,IF(A114='Données projet'!$A$36,'Données projet'!$B$36,N113+M114-V113)))</f>
        <v>311.50000000000006</v>
      </c>
      <c r="O114" s="13">
        <f>N114*VLOOKUP('Données projet'!$B$9,Paramètres!$A$1:$I$89,3,0)*VLOOKUP('Données projet'!$B$9,Paramètres!$A$1:$I$89,5,0)</f>
        <v>281.84520000000003</v>
      </c>
      <c r="P114" s="13">
        <f t="shared" si="87"/>
        <v>67.356803491560484</v>
      </c>
      <c r="Q114" s="20">
        <f t="shared" si="107"/>
        <v>608.19348941446788</v>
      </c>
      <c r="R114" s="59">
        <f t="shared" si="55"/>
        <v>897.97903056734958</v>
      </c>
      <c r="S114" s="59">
        <f ca="1">AVERAGE(OFFSET($R$3,0,0,'Données projet'!$E$9+1,1))-AVERAGE(OFFSET($H$3,0,0,'Données projet'!$E$9+1,1))</f>
        <v>466.90449882701591</v>
      </c>
      <c r="T114" s="59">
        <f t="shared" si="88"/>
        <v>283.37641704892053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60.564464113334452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60.564464113334452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69.032420314422282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1.9</v>
      </c>
      <c r="AI114" s="13">
        <f>IF('Données projet'!$A$62&gt;35,AI113+AH114-AQ113,IF(A114&lt;'Données projet'!$A$62,$AF$205^A114,IF(A114='Données projet'!$A$62,'Données projet'!$B$62,AI113+AH114-AQ113)))</f>
        <v>267.89999999999975</v>
      </c>
      <c r="AJ114" s="13">
        <f>AI114*VLOOKUP('Données projet'!$B$10,Paramètres!$A$1:$I$89,3,0)*VLOOKUP('Données projet'!$B$10,Paramètres!$A$1:$I$89,5,0)</f>
        <v>254.93363999999977</v>
      </c>
      <c r="AK114" s="13">
        <f t="shared" si="89"/>
        <v>61.641201018974108</v>
      </c>
      <c r="AL114" s="20">
        <f t="shared" si="58"/>
        <v>551.36784810804613</v>
      </c>
      <c r="AM114" s="59">
        <f t="shared" si="59"/>
        <v>841.15338926092784</v>
      </c>
      <c r="AN114" s="59">
        <f ca="1">AVERAGE(OFFSET($AM$3,0,0,'Données projet'!$E$10+1,1))-AVERAGE(OFFSET($H$3,0,0,'Données projet'!$E$10+1,1))</f>
        <v>399.5572791581468</v>
      </c>
      <c r="AO114" s="59">
        <f t="shared" si="90"/>
        <v>246.34185986079777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33.086306122870411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33.086306122870411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69.032420314422282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5.6843418860808015E-14</v>
      </c>
      <c r="BE114" s="13">
        <f>BD114*VLOOKUP('Données projet'!$B$11,Paramètres!$A$1:$I$89,3,0)*VLOOKUP('Données projet'!$B$11,Paramètres!$A$1:$I$89,5,0)</f>
        <v>4.4337866711430253E-14</v>
      </c>
      <c r="BF114" s="13">
        <f t="shared" si="91"/>
        <v>7.3222115536967035E-13</v>
      </c>
      <c r="BG114" s="20">
        <f t="shared" si="61"/>
        <v>1.3525069634579169E-12</v>
      </c>
      <c r="BH114" s="59">
        <f t="shared" si="62"/>
        <v>289.78554115288307</v>
      </c>
      <c r="BI114" s="59">
        <f ca="1">AVERAGE(OFFSET($BH$3,0,0,'Données projet'!$E$11+1,1))-AVERAGE(OFFSET($H$3,0,0,'Données projet'!$E$11+1,1))</f>
        <v>294.23449029791681</v>
      </c>
      <c r="BJ114" s="59">
        <f t="shared" si="92"/>
        <v>288.64639202306159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40.950353661546934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40.950353661546934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69.032420314422282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1.9</v>
      </c>
      <c r="BY114" s="12">
        <f>IF('Données projet'!$A$114&gt;35,BY113+BX114-CG113,IF(A114&lt;'Données projet'!$A$114,$BV$205^A114,IF(A114='Données projet'!$A$114,'Données projet'!$B$114,BY113+BX114-CG113)))</f>
        <v>267.89999999999975</v>
      </c>
      <c r="BZ114" s="13">
        <f>BY114*VLOOKUP('Données projet'!$B$12,Paramètres!$A$1:$I$89,3,0)*VLOOKUP('Données projet'!$B$12,Paramètres!$A$1:$I$89,5,0)</f>
        <v>288.36755999999968</v>
      </c>
      <c r="CA114" s="13">
        <f t="shared" si="93"/>
        <v>68.732272981038207</v>
      </c>
      <c r="CB114" s="20">
        <f t="shared" si="64"/>
        <v>621.94887577530756</v>
      </c>
      <c r="CC114" s="59">
        <f t="shared" si="65"/>
        <v>911.73441692818926</v>
      </c>
      <c r="CD114" s="59">
        <f ca="1">AVERAGE(OFFSET($CC$3,0,0,'Données projet'!$E$12+1,1))-AVERAGE(OFFSET($H$3,0,0,'Données projet'!$E$12+1,1))</f>
        <v>445.38112098358147</v>
      </c>
      <c r="CE114" s="59">
        <f t="shared" si="94"/>
        <v>272.45883568548516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37.425493811115714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37.425493811115714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69.032420314422282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1.9</v>
      </c>
      <c r="CT114" s="12">
        <f>IF('Données projet'!$A$140&gt;35,CT113+CS114-DB113,IF(A114&lt;'Données projet'!$A$140,$CQ$205^A114,IF(A114='Données projet'!$A$140,'Données projet'!$B$140,CT113+CS114-DB113)))</f>
        <v>267.89999999999975</v>
      </c>
      <c r="CU114" s="17">
        <f>CT114*VLOOKUP('Données projet'!$B$13,Paramètres!$A$1:$I$89,3,0)*VLOOKUP('Données projet'!$B$13,Paramètres!$A$1:$I$89,5,0)</f>
        <v>288.36755999999968</v>
      </c>
      <c r="CV114" s="13">
        <f t="shared" si="95"/>
        <v>68.732272981038207</v>
      </c>
      <c r="CW114" s="20">
        <f t="shared" si="67"/>
        <v>621.94887577530756</v>
      </c>
      <c r="CX114" s="59">
        <f t="shared" si="68"/>
        <v>911.73441692818926</v>
      </c>
      <c r="CY114" s="59">
        <f ca="1">AVERAGE(OFFSET($CX$3,0,0,'Données projet'!$E$13+1,1))-AVERAGE(OFFSET($H$3,0,0,'Données projet'!$E$13+1,1))</f>
        <v>445.38112098358147</v>
      </c>
      <c r="CZ114" s="59">
        <f t="shared" si="96"/>
        <v>272.45883568548516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37.425493811115714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37.425493811115714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69.032420314422282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1.9</v>
      </c>
      <c r="DO114" s="12">
        <f>IF('Données projet'!$A$166&gt;35,DO113+DN114-DW113,IF(A114&lt;'Données projet'!$A$166,$DL$205^A114,IF(A114='Données projet'!$A$166,'Données projet'!$B$166,DO113+DN114-DW113)))</f>
        <v>267.89999999999975</v>
      </c>
      <c r="DP114" s="17">
        <f>DO114*VLOOKUP('Données projet'!$B$14,Paramètres!$A$1:$I$89,3,0)*VLOOKUP('Données projet'!$B$14,Paramètres!$A$1:$I$89,5,0)</f>
        <v>259.11287999999979</v>
      </c>
      <c r="DQ114" s="13">
        <f t="shared" si="97"/>
        <v>62.53324222292342</v>
      </c>
      <c r="DR114" s="20">
        <f t="shared" si="70"/>
        <v>560.20032953825796</v>
      </c>
      <c r="DS114" s="59">
        <f t="shared" si="71"/>
        <v>849.98587069113967</v>
      </c>
      <c r="DT114" s="59">
        <f ca="1">AVERAGE(OFFSET($DS$3,0,0,'Données projet'!$E$14+1,1))-AVERAGE(OFFSET($H$3,0,0,'Données projet'!$E$14+1,1))</f>
        <v>405.29179902613089</v>
      </c>
      <c r="DU114" s="59">
        <f t="shared" si="98"/>
        <v>249.61049717638238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33.628704583901083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33.628704583901083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69.032420314422282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-5.6843418860808015E-13</v>
      </c>
      <c r="EK114" s="17">
        <f>EJ114*VLOOKUP('Données projet'!$B$15,Paramètres!$A$1:$I$89,3,0)*VLOOKUP('Données projet'!$B$15,Paramètres!$A$1:$I$89,5,0)</f>
        <v>-3.39923644787632E-13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444.77624981561257</v>
      </c>
      <c r="EP114" s="59">
        <f t="shared" si="100"/>
        <v>382.10319641527587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118.27677241358079</v>
      </c>
      <c r="EW114" s="21">
        <f>EXP(-LN(2)/25)*EW113+(1-EXP(-LN(2)/25))/(LN(2)/25)*Calculateur!ER114*Calculateur!ET114*VLOOKUP('Données projet'!$B$15,Paramètres!$A$1:$I$89,3,0)*0.475*44/12</f>
        <v>17.584770078564372</v>
      </c>
      <c r="EX114" s="21">
        <f>EXP(-LN(2)/2)*EX113+(1-EXP(-LN(2)/2))/(LN(2)/2)*ER114*EU114*VLOOKUP('Données projet'!$B$15,Paramètres!$A$1:$I$89,3,0)*0.475*44/12</f>
        <v>2.2171882184959433E-4</v>
      </c>
      <c r="EY114" s="22">
        <f t="shared" si="75"/>
        <v>135.86176421096701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69.032420314422282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3.4106051316484809E-13</v>
      </c>
      <c r="FF114" s="17">
        <f>FE114*VLOOKUP('Données projet'!$B$16,Paramètres!$A$1:$I$89,3,0)*VLOOKUP('Données projet'!$B$16,Paramètres!$A$1:$I$89,5,0)</f>
        <v>1.5074874681886286E-13</v>
      </c>
      <c r="FG114" s="13">
        <f t="shared" si="101"/>
        <v>2.1590218794584103E-12</v>
      </c>
      <c r="FH114" s="20">
        <f t="shared" si="76"/>
        <v>4.0228505074329168E-12</v>
      </c>
      <c r="FI114" s="59">
        <f t="shared" si="77"/>
        <v>289.78554115288574</v>
      </c>
      <c r="FJ114" s="59">
        <f ca="1">AVERAGE(OFFSET($FI$3,0,0,'Données projet'!$E$16+1,1))-AVERAGE(OFFSET($H$3,0,0,'Données projet'!$E$16+1,1))</f>
        <v>508.71179785154317</v>
      </c>
      <c r="FK114" s="59">
        <f t="shared" si="102"/>
        <v>422.73937290731442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150.39166341796351</v>
      </c>
      <c r="FR114" s="21">
        <f>EXP(-LN(2)/25)*FR113+(1-EXP(-LN(2)/25))/(LN(2)/25)*Calculateur!FM114*Calculateur!FO114*VLOOKUP('Données projet'!$B$16,Paramètres!$A$1:$I$89,3,0)*0.475*44/12</f>
        <v>28.811314973723267</v>
      </c>
      <c r="FS114" s="21">
        <f>EXP(-LN(2)/2)*FS113+(1-EXP(-LN(2)/2))/(LN(2)/2)*FM114*FP114*VLOOKUP('Données projet'!$B$16,Paramètres!$A$1:$I$89,3,0)*0.475*44/12</f>
        <v>9.2939186471604996E-4</v>
      </c>
      <c r="FT114" s="22">
        <f t="shared" si="78"/>
        <v>179.2039077835515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69.032420314422282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69.032420314422282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1.35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4.95</v>
      </c>
      <c r="H115" s="67">
        <f t="shared" si="56"/>
        <v>236.86666666666665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69.049205658782952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4.5</v>
      </c>
      <c r="N115" s="13">
        <f>IF('Données projet'!$A$36&gt;35,N114+M115-V114,IF(A115&lt;'Données projet'!$A$36,$K$205^A115,IF(A115='Données projet'!$A$36,'Données projet'!$B$36,N114+M115-V114)))</f>
        <v>316.00000000000006</v>
      </c>
      <c r="O115" s="13">
        <f>N115*VLOOKUP('Données projet'!$B$9,Paramètres!$A$1:$I$89,3,0)*VLOOKUP('Données projet'!$B$9,Paramètres!$A$1:$I$89,5,0)</f>
        <v>285.91680000000008</v>
      </c>
      <c r="P115" s="13">
        <f t="shared" si="87"/>
        <v>68.215872977287546</v>
      </c>
      <c r="Q115" s="20">
        <f t="shared" si="107"/>
        <v>616.78107210210919</v>
      </c>
      <c r="R115" s="59">
        <f t="shared" si="55"/>
        <v>906.62815951764674</v>
      </c>
      <c r="S115" s="59">
        <f ca="1">AVERAGE(OFFSET($R$3,0,0,'Données projet'!$E$9+1,1))-AVERAGE(OFFSET($H$3,0,0,'Données projet'!$E$9+1,1))</f>
        <v>466.90449882701591</v>
      </c>
      <c r="T115" s="59">
        <f t="shared" si="88"/>
        <v>283.37641704892053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59.376831912747484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59.376831912747484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69.049205658782952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1.9</v>
      </c>
      <c r="AI115" s="13">
        <f>IF('Données projet'!$A$62&gt;35,AI114+AH115-AQ114,IF(A115&lt;'Données projet'!$A$62,$AF$205^A115,IF(A115='Données projet'!$A$62,'Données projet'!$B$62,AI114+AH115-AQ114)))</f>
        <v>269.79999999999973</v>
      </c>
      <c r="AJ115" s="13">
        <f>AI115*VLOOKUP('Données projet'!$B$10,Paramètres!$A$1:$I$89,3,0)*VLOOKUP('Données projet'!$B$10,Paramètres!$A$1:$I$89,5,0)</f>
        <v>256.74167999999975</v>
      </c>
      <c r="AK115" s="13">
        <f t="shared" si="89"/>
        <v>62.027326852695715</v>
      </c>
      <c r="AL115" s="20">
        <f t="shared" si="58"/>
        <v>555.18935360177784</v>
      </c>
      <c r="AM115" s="59">
        <f t="shared" si="59"/>
        <v>845.03644101731538</v>
      </c>
      <c r="AN115" s="59">
        <f ca="1">AVERAGE(OFFSET($AM$3,0,0,'Données projet'!$E$10+1,1))-AVERAGE(OFFSET($H$3,0,0,'Données projet'!$E$10+1,1))</f>
        <v>399.5572791581468</v>
      </c>
      <c r="AO115" s="59">
        <f t="shared" si="90"/>
        <v>246.34185986079777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32.43750384045498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32.43750384045498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69.049205658782952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5.6843418860808015E-14</v>
      </c>
      <c r="BE115" s="13">
        <f>BD115*VLOOKUP('Données projet'!$B$11,Paramètres!$A$1:$I$89,3,0)*VLOOKUP('Données projet'!$B$11,Paramètres!$A$1:$I$89,5,0)</f>
        <v>4.4337866711430253E-14</v>
      </c>
      <c r="BF115" s="13">
        <f t="shared" si="91"/>
        <v>7.3222115536967035E-13</v>
      </c>
      <c r="BG115" s="20">
        <f t="shared" si="61"/>
        <v>1.3525069634579169E-12</v>
      </c>
      <c r="BH115" s="59">
        <f t="shared" si="62"/>
        <v>289.84708741553885</v>
      </c>
      <c r="BI115" s="59">
        <f ca="1">AVERAGE(OFFSET($BH$3,0,0,'Données projet'!$E$11+1,1))-AVERAGE(OFFSET($H$3,0,0,'Données projet'!$E$11+1,1))</f>
        <v>294.23449029791681</v>
      </c>
      <c r="BJ115" s="59">
        <f t="shared" si="92"/>
        <v>288.64639202306159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40.147342203493437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40.147342203493437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69.049205658782952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1.9</v>
      </c>
      <c r="BY115" s="12">
        <f>IF('Données projet'!$A$114&gt;35,BY114+BX115-CG114,IF(A115&lt;'Données projet'!$A$114,$BV$205^A115,IF(A115='Données projet'!$A$114,'Données projet'!$B$114,BY114+BX115-CG114)))</f>
        <v>269.79999999999973</v>
      </c>
      <c r="BZ115" s="13">
        <f>BY115*VLOOKUP('Données projet'!$B$12,Paramètres!$A$1:$I$89,3,0)*VLOOKUP('Données projet'!$B$12,Paramètres!$A$1:$I$89,5,0)</f>
        <v>290.41271999999969</v>
      </c>
      <c r="CA115" s="13">
        <f t="shared" si="93"/>
        <v>69.162817905044719</v>
      </c>
      <c r="CB115" s="20">
        <f t="shared" si="64"/>
        <v>626.26072851795232</v>
      </c>
      <c r="CC115" s="59">
        <f t="shared" si="65"/>
        <v>916.10781593348975</v>
      </c>
      <c r="CD115" s="59">
        <f ca="1">AVERAGE(OFFSET($CC$3,0,0,'Données projet'!$E$12+1,1))-AVERAGE(OFFSET($H$3,0,0,'Données projet'!$E$12+1,1))</f>
        <v>445.38112098358147</v>
      </c>
      <c r="CE115" s="59">
        <f t="shared" si="94"/>
        <v>272.45883568548516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36.691602704776955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36.691602704776955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69.049205658782952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1.9</v>
      </c>
      <c r="CT115" s="12">
        <f>IF('Données projet'!$A$140&gt;35,CT114+CS115-DB114,IF(A115&lt;'Données projet'!$A$140,$CQ$205^A115,IF(A115='Données projet'!$A$140,'Données projet'!$B$140,CT114+CS115-DB114)))</f>
        <v>269.79999999999973</v>
      </c>
      <c r="CU115" s="17">
        <f>CT115*VLOOKUP('Données projet'!$B$13,Paramètres!$A$1:$I$89,3,0)*VLOOKUP('Données projet'!$B$13,Paramètres!$A$1:$I$89,5,0)</f>
        <v>290.41271999999969</v>
      </c>
      <c r="CV115" s="13">
        <f t="shared" si="95"/>
        <v>69.162817905044719</v>
      </c>
      <c r="CW115" s="20">
        <f t="shared" si="67"/>
        <v>626.26072851795232</v>
      </c>
      <c r="CX115" s="59">
        <f t="shared" si="68"/>
        <v>916.10781593348975</v>
      </c>
      <c r="CY115" s="59">
        <f ca="1">AVERAGE(OFFSET($CX$3,0,0,'Données projet'!$E$13+1,1))-AVERAGE(OFFSET($H$3,0,0,'Données projet'!$E$13+1,1))</f>
        <v>445.38112098358147</v>
      </c>
      <c r="CZ115" s="59">
        <f t="shared" si="96"/>
        <v>272.45883568548516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36.691602704776955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36.691602704776955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69.049205658782952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1.9</v>
      </c>
      <c r="DO115" s="12">
        <f>IF('Données projet'!$A$166&gt;35,DO114+DN115-DW114,IF(A115&lt;'Données projet'!$A$166,$DL$205^A115,IF(A115='Données projet'!$A$166,'Données projet'!$B$166,DO114+DN115-DW114)))</f>
        <v>269.79999999999973</v>
      </c>
      <c r="DP115" s="17">
        <f>DO115*VLOOKUP('Données projet'!$B$14,Paramètres!$A$1:$I$89,3,0)*VLOOKUP('Données projet'!$B$14,Paramètres!$A$1:$I$89,5,0)</f>
        <v>260.95055999999977</v>
      </c>
      <c r="DQ115" s="13">
        <f t="shared" si="97"/>
        <v>62.924955880176938</v>
      </c>
      <c r="DR115" s="20">
        <f t="shared" si="70"/>
        <v>564.0831901579744</v>
      </c>
      <c r="DS115" s="59">
        <f t="shared" si="71"/>
        <v>853.93027757351183</v>
      </c>
      <c r="DT115" s="59">
        <f ca="1">AVERAGE(OFFSET($DS$3,0,0,'Données projet'!$E$14+1,1))-AVERAGE(OFFSET($H$3,0,0,'Données projet'!$E$14+1,1))</f>
        <v>405.29179902613089</v>
      </c>
      <c r="DU115" s="59">
        <f t="shared" si="98"/>
        <v>249.61049717638238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32.969266198495241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32.969266198495241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69.049205658782952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-5.6843418860808015E-13</v>
      </c>
      <c r="EK115" s="17">
        <f>EJ115*VLOOKUP('Données projet'!$B$15,Paramètres!$A$1:$I$89,3,0)*VLOOKUP('Données projet'!$B$15,Paramètres!$A$1:$I$89,5,0)</f>
        <v>-3.39923644787632E-13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444.77624981561257</v>
      </c>
      <c r="EP115" s="59">
        <f t="shared" si="100"/>
        <v>382.10319641527587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115.95743704825824</v>
      </c>
      <c r="EW115" s="21">
        <f>EXP(-LN(2)/25)*EW114+(1-EXP(-LN(2)/25))/(LN(2)/25)*Calculateur!ER115*Calculateur!ET115*VLOOKUP('Données projet'!$B$15,Paramètres!$A$1:$I$89,3,0)*0.475*44/12</f>
        <v>17.10391361602316</v>
      </c>
      <c r="EX115" s="21">
        <f>EXP(-LN(2)/2)*EX114+(1-EXP(-LN(2)/2))/(LN(2)/2)*ER115*EU115*VLOOKUP('Données projet'!$B$15,Paramètres!$A$1:$I$89,3,0)*0.475*44/12</f>
        <v>1.5677888244654021E-4</v>
      </c>
      <c r="EY115" s="22">
        <f t="shared" si="75"/>
        <v>133.06150744316386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69.049205658782952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3.4106051316484809E-13</v>
      </c>
      <c r="FF115" s="17">
        <f>FE115*VLOOKUP('Données projet'!$B$16,Paramètres!$A$1:$I$89,3,0)*VLOOKUP('Données projet'!$B$16,Paramètres!$A$1:$I$89,5,0)</f>
        <v>1.5074874681886286E-13</v>
      </c>
      <c r="FG115" s="13">
        <f t="shared" si="101"/>
        <v>2.1590218794584103E-12</v>
      </c>
      <c r="FH115" s="20">
        <f t="shared" si="76"/>
        <v>4.0228505074329168E-12</v>
      </c>
      <c r="FI115" s="59">
        <f t="shared" si="77"/>
        <v>289.84708741554152</v>
      </c>
      <c r="FJ115" s="59">
        <f ca="1">AVERAGE(OFFSET($FI$3,0,0,'Données projet'!$E$16+1,1))-AVERAGE(OFFSET($H$3,0,0,'Données projet'!$E$16+1,1))</f>
        <v>508.71179785154317</v>
      </c>
      <c r="FK115" s="59">
        <f t="shared" si="102"/>
        <v>422.73937290731442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147.44257462819436</v>
      </c>
      <c r="FR115" s="21">
        <f>EXP(-LN(2)/25)*FR114+(1-EXP(-LN(2)/25))/(LN(2)/25)*Calculateur!FM115*Calculateur!FO115*VLOOKUP('Données projet'!$B$16,Paramètres!$A$1:$I$89,3,0)*0.475*44/12</f>
        <v>28.023468050645597</v>
      </c>
      <c r="FS115" s="21">
        <f>EXP(-LN(2)/2)*FS114+(1-EXP(-LN(2)/2))/(LN(2)/2)*FM115*FP115*VLOOKUP('Données projet'!$B$16,Paramètres!$A$1:$I$89,3,0)*0.475*44/12</f>
        <v>6.5717928992032931E-4</v>
      </c>
      <c r="FT115" s="22">
        <f t="shared" si="78"/>
        <v>175.46669985812989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69.049205658782952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69.049205658782952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1.35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4.95</v>
      </c>
      <c r="H116" s="67">
        <f t="shared" si="56"/>
        <v>236.86666666666665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69.065699814945361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4.5</v>
      </c>
      <c r="N116" s="13">
        <f>IF('Données projet'!$A$36&gt;35,N115+M116-V115,IF(A116&lt;'Données projet'!$A$36,$K$205^A116,IF(A116='Données projet'!$A$36,'Données projet'!$B$36,N115+M116-V115)))</f>
        <v>320.50000000000006</v>
      </c>
      <c r="O116" s="13">
        <f>N116*VLOOKUP('Données projet'!$B$9,Paramètres!$A$1:$I$89,3,0)*VLOOKUP('Données projet'!$B$9,Paramètres!$A$1:$I$89,5,0)</f>
        <v>289.98840000000001</v>
      </c>
      <c r="P116" s="13">
        <f t="shared" si="87"/>
        <v>69.073519602481582</v>
      </c>
      <c r="Q116" s="20">
        <f t="shared" si="107"/>
        <v>625.36617664098867</v>
      </c>
      <c r="R116" s="59">
        <f t="shared" si="55"/>
        <v>915.27374262912167</v>
      </c>
      <c r="S116" s="59">
        <f ca="1">AVERAGE(OFFSET($R$3,0,0,'Données projet'!$E$9+1,1))-AVERAGE(OFFSET($H$3,0,0,'Données projet'!$E$9+1,1))</f>
        <v>466.90449882701591</v>
      </c>
      <c r="T116" s="59">
        <f t="shared" si="88"/>
        <v>283.37641704892053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58.212488455229909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58.212488455229909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69.065699814945361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1.9</v>
      </c>
      <c r="AI116" s="13">
        <f>IF('Données projet'!$A$62&gt;35,AI115+AH116-AQ115,IF(A116&lt;'Données projet'!$A$62,$AF$205^A116,IF(A116='Données projet'!$A$62,'Données projet'!$B$62,AI115+AH116-AQ115)))</f>
        <v>271.6999999999997</v>
      </c>
      <c r="AJ116" s="13">
        <f>AI116*VLOOKUP('Données projet'!$B$10,Paramètres!$A$1:$I$89,3,0)*VLOOKUP('Données projet'!$B$10,Paramètres!$A$1:$I$89,5,0)</f>
        <v>258.54971999999975</v>
      </c>
      <c r="AK116" s="13">
        <f t="shared" si="89"/>
        <v>62.413136298926162</v>
      </c>
      <c r="AL116" s="20">
        <f t="shared" si="58"/>
        <v>559.0103080539626</v>
      </c>
      <c r="AM116" s="59">
        <f t="shared" si="59"/>
        <v>848.9178740420956</v>
      </c>
      <c r="AN116" s="59">
        <f ca="1">AVERAGE(OFFSET($AM$3,0,0,'Données projet'!$E$10+1,1))-AVERAGE(OFFSET($H$3,0,0,'Données projet'!$E$10+1,1))</f>
        <v>399.5572791581468</v>
      </c>
      <c r="AO116" s="59">
        <f t="shared" si="90"/>
        <v>246.34185986079777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31.8014241750674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31.8014241750674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69.065699814945361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5.6843418860808015E-14</v>
      </c>
      <c r="BE116" s="13">
        <f>BD116*VLOOKUP('Données projet'!$B$11,Paramètres!$A$1:$I$89,3,0)*VLOOKUP('Données projet'!$B$11,Paramètres!$A$1:$I$89,5,0)</f>
        <v>4.4337866711430253E-14</v>
      </c>
      <c r="BF116" s="13">
        <f t="shared" si="91"/>
        <v>7.3222115536967035E-13</v>
      </c>
      <c r="BG116" s="20">
        <f t="shared" si="61"/>
        <v>1.3525069634579169E-12</v>
      </c>
      <c r="BH116" s="59">
        <f t="shared" si="62"/>
        <v>289.90756598813437</v>
      </c>
      <c r="BI116" s="59">
        <f ca="1">AVERAGE(OFFSET($BH$3,0,0,'Données projet'!$E$11+1,1))-AVERAGE(OFFSET($H$3,0,0,'Données projet'!$E$11+1,1))</f>
        <v>294.23449029791681</v>
      </c>
      <c r="BJ116" s="59">
        <f t="shared" si="92"/>
        <v>288.64639202306159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39.36007731034374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39.36007731034374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69.065699814945361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1.9</v>
      </c>
      <c r="BY116" s="12">
        <f>IF('Données projet'!$A$114&gt;35,BY115+BX116-CG115,IF(A116&lt;'Données projet'!$A$114,$BV$205^A116,IF(A116='Données projet'!$A$114,'Données projet'!$B$114,BY115+BX116-CG115)))</f>
        <v>271.6999999999997</v>
      </c>
      <c r="BZ116" s="13">
        <f>BY116*VLOOKUP('Données projet'!$B$12,Paramètres!$A$1:$I$89,3,0)*VLOOKUP('Données projet'!$B$12,Paramètres!$A$1:$I$89,5,0)</f>
        <v>292.45787999999965</v>
      </c>
      <c r="CA116" s="13">
        <f t="shared" si="93"/>
        <v>69.593010045019597</v>
      </c>
      <c r="CB116" s="20">
        <f t="shared" si="64"/>
        <v>630.57196682840856</v>
      </c>
      <c r="CC116" s="59">
        <f t="shared" si="65"/>
        <v>920.47953281654156</v>
      </c>
      <c r="CD116" s="59">
        <f ca="1">AVERAGE(OFFSET($CC$3,0,0,'Données projet'!$E$12+1,1))-AVERAGE(OFFSET($H$3,0,0,'Données projet'!$E$12+1,1))</f>
        <v>445.38112098358147</v>
      </c>
      <c r="CE116" s="59">
        <f t="shared" si="94"/>
        <v>272.45883568548516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35.972102755404123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35.972102755404123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69.065699814945361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1.9</v>
      </c>
      <c r="CT116" s="12">
        <f>IF('Données projet'!$A$140&gt;35,CT115+CS116-DB115,IF(A116&lt;'Données projet'!$A$140,$CQ$205^A116,IF(A116='Données projet'!$A$140,'Données projet'!$B$140,CT115+CS116-DB115)))</f>
        <v>271.6999999999997</v>
      </c>
      <c r="CU116" s="17">
        <f>CT116*VLOOKUP('Données projet'!$B$13,Paramètres!$A$1:$I$89,3,0)*VLOOKUP('Données projet'!$B$13,Paramètres!$A$1:$I$89,5,0)</f>
        <v>292.45787999999965</v>
      </c>
      <c r="CV116" s="13">
        <f t="shared" si="95"/>
        <v>69.593010045019597</v>
      </c>
      <c r="CW116" s="20">
        <f t="shared" si="67"/>
        <v>630.57196682840856</v>
      </c>
      <c r="CX116" s="59">
        <f t="shared" si="68"/>
        <v>920.47953281654156</v>
      </c>
      <c r="CY116" s="59">
        <f ca="1">AVERAGE(OFFSET($CX$3,0,0,'Données projet'!$E$13+1,1))-AVERAGE(OFFSET($H$3,0,0,'Données projet'!$E$13+1,1))</f>
        <v>445.38112098358147</v>
      </c>
      <c r="CZ116" s="59">
        <f t="shared" si="96"/>
        <v>272.45883568548516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35.972102755404123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35.972102755404123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69.065699814945361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1.9</v>
      </c>
      <c r="DO116" s="12">
        <f>IF('Données projet'!$A$166&gt;35,DO115+DN116-DW115,IF(A116&lt;'Données projet'!$A$166,$DL$205^A116,IF(A116='Données projet'!$A$166,'Données projet'!$B$166,DO115+DN116-DW115)))</f>
        <v>271.6999999999997</v>
      </c>
      <c r="DP116" s="17">
        <f>DO116*VLOOKUP('Données projet'!$B$14,Paramètres!$A$1:$I$89,3,0)*VLOOKUP('Données projet'!$B$14,Paramètres!$A$1:$I$89,5,0)</f>
        <v>262.78823999999969</v>
      </c>
      <c r="DQ116" s="13">
        <f t="shared" si="97"/>
        <v>63.316348571334764</v>
      </c>
      <c r="DR116" s="20">
        <f t="shared" si="70"/>
        <v>567.96549176174074</v>
      </c>
      <c r="DS116" s="59">
        <f t="shared" si="71"/>
        <v>857.87305774987374</v>
      </c>
      <c r="DT116" s="59">
        <f ca="1">AVERAGE(OFFSET($DS$3,0,0,'Données projet'!$E$14+1,1))-AVERAGE(OFFSET($H$3,0,0,'Données projet'!$E$14+1,1))</f>
        <v>405.29179902613089</v>
      </c>
      <c r="DU116" s="59">
        <f t="shared" si="98"/>
        <v>249.61049717638238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32.322758997609505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32.322758997609505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69.065699814945361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-5.6843418860808015E-13</v>
      </c>
      <c r="EK116" s="17">
        <f>EJ116*VLOOKUP('Données projet'!$B$15,Paramètres!$A$1:$I$89,3,0)*VLOOKUP('Données projet'!$B$15,Paramètres!$A$1:$I$89,5,0)</f>
        <v>-3.39923644787632E-13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444.77624981561257</v>
      </c>
      <c r="EP116" s="59">
        <f t="shared" si="100"/>
        <v>382.10319641527587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113.68358243479479</v>
      </c>
      <c r="EW116" s="21">
        <f>EXP(-LN(2)/25)*EW115+(1-EXP(-LN(2)/25))/(LN(2)/25)*Calculateur!ER116*Calculateur!ET116*VLOOKUP('Données projet'!$B$15,Paramètres!$A$1:$I$89,3,0)*0.475*44/12</f>
        <v>16.63620619873728</v>
      </c>
      <c r="EX116" s="21">
        <f>EXP(-LN(2)/2)*EX115+(1-EXP(-LN(2)/2))/(LN(2)/2)*ER116*EU116*VLOOKUP('Données projet'!$B$15,Paramètres!$A$1:$I$89,3,0)*0.475*44/12</f>
        <v>1.1085941092479716E-4</v>
      </c>
      <c r="EY116" s="22">
        <f t="shared" si="75"/>
        <v>130.31989949294299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69.065699814945361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3.4106051316484809E-13</v>
      </c>
      <c r="FF116" s="17">
        <f>FE116*VLOOKUP('Données projet'!$B$16,Paramètres!$A$1:$I$89,3,0)*VLOOKUP('Données projet'!$B$16,Paramètres!$A$1:$I$89,5,0)</f>
        <v>1.5074874681886286E-13</v>
      </c>
      <c r="FG116" s="13">
        <f t="shared" si="101"/>
        <v>2.1590218794584103E-12</v>
      </c>
      <c r="FH116" s="20">
        <f t="shared" si="76"/>
        <v>4.0228505074329168E-12</v>
      </c>
      <c r="FI116" s="59">
        <f t="shared" si="77"/>
        <v>289.90756598813704</v>
      </c>
      <c r="FJ116" s="59">
        <f ca="1">AVERAGE(OFFSET($FI$3,0,0,'Données projet'!$E$16+1,1))-AVERAGE(OFFSET($H$3,0,0,'Données projet'!$E$16+1,1))</f>
        <v>508.71179785154317</v>
      </c>
      <c r="FK116" s="59">
        <f t="shared" si="102"/>
        <v>422.73937290731442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144.55131567082603</v>
      </c>
      <c r="FR116" s="21">
        <f>EXP(-LN(2)/25)*FR115+(1-EXP(-LN(2)/25))/(LN(2)/25)*Calculateur!FM116*Calculateur!FO116*VLOOKUP('Données projet'!$B$16,Paramètres!$A$1:$I$89,3,0)*0.475*44/12</f>
        <v>27.257164843110559</v>
      </c>
      <c r="FS116" s="21">
        <f>EXP(-LN(2)/2)*FS115+(1-EXP(-LN(2)/2))/(LN(2)/2)*FM116*FP116*VLOOKUP('Données projet'!$B$16,Paramètres!$A$1:$I$89,3,0)*0.475*44/12</f>
        <v>4.6469593235802498E-4</v>
      </c>
      <c r="FT116" s="22">
        <f t="shared" si="78"/>
        <v>171.80894520986894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69.065699814945361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69.065699814945361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1.35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4.95</v>
      </c>
      <c r="H117" s="67">
        <f t="shared" si="56"/>
        <v>236.86666666666665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69.081907834373766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4.5</v>
      </c>
      <c r="N117" s="13">
        <f>IF('Données projet'!$A$36&gt;35,N116+M117-V116,IF(A117&lt;'Données projet'!$A$36,$K$205^A117,IF(A117='Données projet'!$A$36,'Données projet'!$B$36,N116+M117-V116)))</f>
        <v>325.00000000000006</v>
      </c>
      <c r="O117" s="13">
        <f>N117*VLOOKUP('Données projet'!$B$9,Paramètres!$A$1:$I$89,3,0)*VLOOKUP('Données projet'!$B$9,Paramètres!$A$1:$I$89,5,0)</f>
        <v>294.06000000000006</v>
      </c>
      <c r="P117" s="13">
        <f t="shared" si="87"/>
        <v>69.929765653573369</v>
      </c>
      <c r="Q117" s="20">
        <f t="shared" si="107"/>
        <v>633.94884184664033</v>
      </c>
      <c r="R117" s="59">
        <f t="shared" si="55"/>
        <v>923.91583723934423</v>
      </c>
      <c r="S117" s="59">
        <f ca="1">AVERAGE(OFFSET($R$3,0,0,'Données projet'!$E$9+1,1))-AVERAGE(OFFSET($H$3,0,0,'Données projet'!$E$9+1,1))</f>
        <v>466.90449882701591</v>
      </c>
      <c r="T117" s="59">
        <f t="shared" si="88"/>
        <v>283.37641704892053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57.070977062734869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57.070977062734869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69.081907834373766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1.9</v>
      </c>
      <c r="AI117" s="13">
        <f>IF('Données projet'!$A$62&gt;35,AI116+AH117-AQ116,IF(A117&lt;'Données projet'!$A$62,$AF$205^A117,IF(A117='Données projet'!$A$62,'Données projet'!$B$62,AI116+AH117-AQ116)))</f>
        <v>273.59999999999968</v>
      </c>
      <c r="AJ117" s="13">
        <f>AI117*VLOOKUP('Données projet'!$B$10,Paramètres!$A$1:$I$89,3,0)*VLOOKUP('Données projet'!$B$10,Paramètres!$A$1:$I$89,5,0)</f>
        <v>260.3577599999997</v>
      </c>
      <c r="AK117" s="13">
        <f t="shared" si="89"/>
        <v>62.798631826735743</v>
      </c>
      <c r="AL117" s="20">
        <f t="shared" si="58"/>
        <v>562.8307157648976</v>
      </c>
      <c r="AM117" s="59">
        <f t="shared" si="59"/>
        <v>852.7977111576015</v>
      </c>
      <c r="AN117" s="59">
        <f ca="1">AVERAGE(OFFSET($AM$3,0,0,'Données projet'!$E$10+1,1))-AVERAGE(OFFSET($H$3,0,0,'Données projet'!$E$10+1,1))</f>
        <v>399.5572791581468</v>
      </c>
      <c r="AO117" s="59">
        <f t="shared" si="90"/>
        <v>246.34185986079777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31.177817643947783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31.177817643947783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69.081907834373766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5.6843418860808015E-14</v>
      </c>
      <c r="BE117" s="13">
        <f>BD117*VLOOKUP('Données projet'!$B$11,Paramètres!$A$1:$I$89,3,0)*VLOOKUP('Données projet'!$B$11,Paramètres!$A$1:$I$89,5,0)</f>
        <v>4.4337866711430253E-14</v>
      </c>
      <c r="BF117" s="13">
        <f t="shared" si="91"/>
        <v>7.3222115536967035E-13</v>
      </c>
      <c r="BG117" s="20">
        <f t="shared" si="61"/>
        <v>1.3525069634579169E-12</v>
      </c>
      <c r="BH117" s="59">
        <f t="shared" si="62"/>
        <v>289.9669953927052</v>
      </c>
      <c r="BI117" s="59">
        <f ca="1">AVERAGE(OFFSET($BH$3,0,0,'Données projet'!$E$11+1,1))-AVERAGE(OFFSET($H$3,0,0,'Données projet'!$E$11+1,1))</f>
        <v>294.23449029791681</v>
      </c>
      <c r="BJ117" s="59">
        <f t="shared" si="92"/>
        <v>288.64639202306159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38.588250201564534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38.588250201564534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69.081907834373766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1.9</v>
      </c>
      <c r="BY117" s="12">
        <f>IF('Données projet'!$A$114&gt;35,BY116+BX117-CG116,IF(A117&lt;'Données projet'!$A$114,$BV$205^A117,IF(A117='Données projet'!$A$114,'Données projet'!$B$114,BY116+BX117-CG116)))</f>
        <v>273.59999999999968</v>
      </c>
      <c r="BZ117" s="13">
        <f>BY117*VLOOKUP('Données projet'!$B$12,Paramètres!$A$1:$I$89,3,0)*VLOOKUP('Données projet'!$B$12,Paramètres!$A$1:$I$89,5,0)</f>
        <v>294.50303999999966</v>
      </c>
      <c r="CA117" s="13">
        <f t="shared" si="93"/>
        <v>70.022852154069781</v>
      </c>
      <c r="CB117" s="20">
        <f t="shared" si="64"/>
        <v>634.88259550167083</v>
      </c>
      <c r="CC117" s="59">
        <f t="shared" si="65"/>
        <v>924.84959089437461</v>
      </c>
      <c r="CD117" s="59">
        <f ca="1">AVERAGE(OFFSET($CC$3,0,0,'Données projet'!$E$12+1,1))-AVERAGE(OFFSET($H$3,0,0,'Données projet'!$E$12+1,1))</f>
        <v>445.38112098358147</v>
      </c>
      <c r="CE117" s="59">
        <f t="shared" si="94"/>
        <v>272.45883568548516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35.266711761186855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35.266711761186855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69.081907834373766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1.9</v>
      </c>
      <c r="CT117" s="12">
        <f>IF('Données projet'!$A$140&gt;35,CT116+CS117-DB116,IF(A117&lt;'Données projet'!$A$140,$CQ$205^A117,IF(A117='Données projet'!$A$140,'Données projet'!$B$140,CT116+CS117-DB116)))</f>
        <v>273.59999999999968</v>
      </c>
      <c r="CU117" s="17">
        <f>CT117*VLOOKUP('Données projet'!$B$13,Paramètres!$A$1:$I$89,3,0)*VLOOKUP('Données projet'!$B$13,Paramètres!$A$1:$I$89,5,0)</f>
        <v>294.50303999999966</v>
      </c>
      <c r="CV117" s="13">
        <f t="shared" si="95"/>
        <v>70.022852154069781</v>
      </c>
      <c r="CW117" s="20">
        <f t="shared" si="67"/>
        <v>634.88259550167083</v>
      </c>
      <c r="CX117" s="59">
        <f t="shared" si="68"/>
        <v>924.84959089437461</v>
      </c>
      <c r="CY117" s="59">
        <f ca="1">AVERAGE(OFFSET($CX$3,0,0,'Données projet'!$E$13+1,1))-AVERAGE(OFFSET($H$3,0,0,'Données projet'!$E$13+1,1))</f>
        <v>445.38112098358147</v>
      </c>
      <c r="CZ117" s="59">
        <f t="shared" si="96"/>
        <v>272.45883568548516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35.266711761186855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35.266711761186855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69.081907834373766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1.9</v>
      </c>
      <c r="DO117" s="12">
        <f>IF('Données projet'!$A$166&gt;35,DO116+DN117-DW116,IF(A117&lt;'Données projet'!$A$166,$DL$205^A117,IF(A117='Données projet'!$A$166,'Données projet'!$B$166,DO116+DN117-DW116)))</f>
        <v>273.59999999999968</v>
      </c>
      <c r="DP117" s="17">
        <f>DO117*VLOOKUP('Données projet'!$B$14,Paramètres!$A$1:$I$89,3,0)*VLOOKUP('Données projet'!$B$14,Paramètres!$A$1:$I$89,5,0)</f>
        <v>264.62591999999972</v>
      </c>
      <c r="DQ117" s="13">
        <f t="shared" si="97"/>
        <v>63.707422801198547</v>
      </c>
      <c r="DR117" s="20">
        <f t="shared" si="70"/>
        <v>571.84723871208701</v>
      </c>
      <c r="DS117" s="59">
        <f t="shared" si="71"/>
        <v>861.81423410479078</v>
      </c>
      <c r="DT117" s="59">
        <f ca="1">AVERAGE(OFFSET($DS$3,0,0,'Données projet'!$E$14+1,1))-AVERAGE(OFFSET($H$3,0,0,'Données projet'!$E$14+1,1))</f>
        <v>405.29179902613089</v>
      </c>
      <c r="DU117" s="59">
        <f t="shared" si="98"/>
        <v>249.61049717638238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31.688929408602682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31.688929408602682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69.081907834373766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-5.6843418860808015E-13</v>
      </c>
      <c r="EK117" s="17">
        <f>EJ117*VLOOKUP('Données projet'!$B$15,Paramètres!$A$1:$I$89,3,0)*VLOOKUP('Données projet'!$B$15,Paramètres!$A$1:$I$89,5,0)</f>
        <v>-3.39923644787632E-13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444.77624981561257</v>
      </c>
      <c r="EP117" s="59">
        <f t="shared" si="100"/>
        <v>382.10319641527587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111.45431672338698</v>
      </c>
      <c r="EW117" s="21">
        <f>EXP(-LN(2)/25)*EW116+(1-EXP(-LN(2)/25))/(LN(2)/25)*Calculateur!ER117*Calculateur!ET117*VLOOKUP('Données projet'!$B$15,Paramètres!$A$1:$I$89,3,0)*0.475*44/12</f>
        <v>16.181288265372746</v>
      </c>
      <c r="EX117" s="21">
        <f>EXP(-LN(2)/2)*EX116+(1-EXP(-LN(2)/2))/(LN(2)/2)*ER117*EU117*VLOOKUP('Données projet'!$B$15,Paramètres!$A$1:$I$89,3,0)*0.475*44/12</f>
        <v>7.8389441223270103E-5</v>
      </c>
      <c r="EY117" s="22">
        <f t="shared" si="75"/>
        <v>127.63568337820095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69.081907834373766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3.4106051316484809E-13</v>
      </c>
      <c r="FF117" s="17">
        <f>FE117*VLOOKUP('Données projet'!$B$16,Paramètres!$A$1:$I$89,3,0)*VLOOKUP('Données projet'!$B$16,Paramètres!$A$1:$I$89,5,0)</f>
        <v>1.5074874681886286E-13</v>
      </c>
      <c r="FG117" s="13">
        <f t="shared" si="101"/>
        <v>2.1590218794584103E-12</v>
      </c>
      <c r="FH117" s="20">
        <f t="shared" si="76"/>
        <v>4.0228505074329168E-12</v>
      </c>
      <c r="FI117" s="59">
        <f t="shared" si="77"/>
        <v>289.96699539270787</v>
      </c>
      <c r="FJ117" s="59">
        <f ca="1">AVERAGE(OFFSET($FI$3,0,0,'Données projet'!$E$16+1,1))-AVERAGE(OFFSET($H$3,0,0,'Données projet'!$E$16+1,1))</f>
        <v>508.71179785154317</v>
      </c>
      <c r="FK117" s="59">
        <f t="shared" si="102"/>
        <v>422.73937290731442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141.71675253811787</v>
      </c>
      <c r="FR117" s="21">
        <f>EXP(-LN(2)/25)*FR116+(1-EXP(-LN(2)/25))/(LN(2)/25)*Calculateur!FM117*Calculateur!FO117*VLOOKUP('Données projet'!$B$16,Paramètres!$A$1:$I$89,3,0)*0.475*44/12</f>
        <v>26.5118162370837</v>
      </c>
      <c r="FS117" s="21">
        <f>EXP(-LN(2)/2)*FS116+(1-EXP(-LN(2)/2))/(LN(2)/2)*FM117*FP117*VLOOKUP('Données projet'!$B$16,Paramètres!$A$1:$I$89,3,0)*0.475*44/12</f>
        <v>3.2858964496016466E-4</v>
      </c>
      <c r="FT117" s="22">
        <f t="shared" si="78"/>
        <v>168.22889736484655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69.081907834373766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69.081907834373766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1.35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4.95</v>
      </c>
      <c r="H118" s="67">
        <f t="shared" si="56"/>
        <v>236.86666666666665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69.097834680900803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4.5</v>
      </c>
      <c r="N118" s="13">
        <f>IF('Données projet'!$A$36&gt;35,N117+M118-V117,IF(A118&lt;'Données projet'!$A$36,$K$205^A118,IF(A118='Données projet'!$A$36,'Données projet'!$B$36,N117+M118-V117)))</f>
        <v>329.50000000000006</v>
      </c>
      <c r="O118" s="13">
        <f>N118*VLOOKUP('Données projet'!$B$9,Paramètres!$A$1:$I$89,3,0)*VLOOKUP('Données projet'!$B$9,Paramètres!$A$1:$I$89,5,0)</f>
        <v>298.13160000000005</v>
      </c>
      <c r="P118" s="13">
        <f t="shared" si="87"/>
        <v>70.784632764376099</v>
      </c>
      <c r="Q118" s="20">
        <f t="shared" si="107"/>
        <v>642.52910539795516</v>
      </c>
      <c r="R118" s="59">
        <f t="shared" si="55"/>
        <v>932.55449922792468</v>
      </c>
      <c r="S118" s="59">
        <f ca="1">AVERAGE(OFFSET($R$3,0,0,'Données projet'!$E$9+1,1))-AVERAGE(OFFSET($H$3,0,0,'Données projet'!$E$9+1,1))</f>
        <v>466.90449882701591</v>
      </c>
      <c r="T118" s="59">
        <f t="shared" si="88"/>
        <v>283.37641704892053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55.951850012393457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55.951850012393457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69.097834680900803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1.9</v>
      </c>
      <c r="AI118" s="13">
        <f>IF('Données projet'!$A$62&gt;35,AI117+AH118-AQ117,IF(A118&lt;'Données projet'!$A$62,$AF$205^A118,IF(A118='Données projet'!$A$62,'Données projet'!$B$62,AI117+AH118-AQ117)))</f>
        <v>275.49999999999966</v>
      </c>
      <c r="AJ118" s="13">
        <f>AI118*VLOOKUP('Données projet'!$B$10,Paramètres!$A$1:$I$89,3,0)*VLOOKUP('Données projet'!$B$10,Paramètres!$A$1:$I$89,5,0)</f>
        <v>262.16579999999965</v>
      </c>
      <c r="AK118" s="13">
        <f t="shared" si="89"/>
        <v>63.183815868920128</v>
      </c>
      <c r="AL118" s="20">
        <f t="shared" si="58"/>
        <v>566.65058097170197</v>
      </c>
      <c r="AM118" s="59">
        <f t="shared" si="59"/>
        <v>856.6759748016716</v>
      </c>
      <c r="AN118" s="59">
        <f ca="1">AVERAGE(OFFSET($AM$3,0,0,'Données projet'!$E$10+1,1))-AVERAGE(OFFSET($H$3,0,0,'Données projet'!$E$10+1,1))</f>
        <v>399.5572791581468</v>
      </c>
      <c r="AO118" s="59">
        <f t="shared" si="90"/>
        <v>246.34185986079777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30.566439656540997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30.566439656540997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69.097834680900803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5.6843418860808015E-14</v>
      </c>
      <c r="BE118" s="13">
        <f>BD118*VLOOKUP('Données projet'!$B$11,Paramètres!$A$1:$I$89,3,0)*VLOOKUP('Données projet'!$B$11,Paramètres!$A$1:$I$89,5,0)</f>
        <v>4.4337866711430253E-14</v>
      </c>
      <c r="BF118" s="13">
        <f t="shared" si="91"/>
        <v>7.3222115536967035E-13</v>
      </c>
      <c r="BG118" s="20">
        <f t="shared" si="61"/>
        <v>1.3525069634579169E-12</v>
      </c>
      <c r="BH118" s="59">
        <f t="shared" si="62"/>
        <v>290.02539382997094</v>
      </c>
      <c r="BI118" s="59">
        <f ca="1">AVERAGE(OFFSET($BH$3,0,0,'Données projet'!$E$11+1,1))-AVERAGE(OFFSET($H$3,0,0,'Données projet'!$E$11+1,1))</f>
        <v>294.23449029791681</v>
      </c>
      <c r="BJ118" s="59">
        <f t="shared" si="92"/>
        <v>288.64639202306159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37.831558151620442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37.831558151620442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69.097834680900803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1.9</v>
      </c>
      <c r="BY118" s="12">
        <f>IF('Données projet'!$A$114&gt;35,BY117+BX118-CG117,IF(A118&lt;'Données projet'!$A$114,$BV$205^A118,IF(A118='Données projet'!$A$114,'Données projet'!$B$114,BY117+BX118-CG117)))</f>
        <v>275.49999999999966</v>
      </c>
      <c r="BZ118" s="13">
        <f>BY118*VLOOKUP('Données projet'!$B$12,Paramètres!$A$1:$I$89,3,0)*VLOOKUP('Données projet'!$B$12,Paramètres!$A$1:$I$89,5,0)</f>
        <v>296.54819999999961</v>
      </c>
      <c r="CA118" s="13">
        <f t="shared" si="93"/>
        <v>70.452346944854327</v>
      </c>
      <c r="CB118" s="20">
        <f t="shared" si="64"/>
        <v>639.19261926228717</v>
      </c>
      <c r="CC118" s="59">
        <f t="shared" si="65"/>
        <v>929.2180130922568</v>
      </c>
      <c r="CD118" s="59">
        <f ca="1">AVERAGE(OFFSET($CC$3,0,0,'Données projet'!$E$12+1,1))-AVERAGE(OFFSET($H$3,0,0,'Données projet'!$E$12+1,1))</f>
        <v>445.38112098358147</v>
      </c>
      <c r="CE118" s="59">
        <f t="shared" si="94"/>
        <v>272.45883568548516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34.575153054120165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34.575153054120165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69.097834680900803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1.9</v>
      </c>
      <c r="CT118" s="12">
        <f>IF('Données projet'!$A$140&gt;35,CT117+CS118-DB117,IF(A118&lt;'Données projet'!$A$140,$CQ$205^A118,IF(A118='Données projet'!$A$140,'Données projet'!$B$140,CT117+CS118-DB117)))</f>
        <v>275.49999999999966</v>
      </c>
      <c r="CU118" s="17">
        <f>CT118*VLOOKUP('Données projet'!$B$13,Paramètres!$A$1:$I$89,3,0)*VLOOKUP('Données projet'!$B$13,Paramètres!$A$1:$I$89,5,0)</f>
        <v>296.54819999999961</v>
      </c>
      <c r="CV118" s="13">
        <f t="shared" si="95"/>
        <v>70.452346944854327</v>
      </c>
      <c r="CW118" s="20">
        <f t="shared" si="67"/>
        <v>639.19261926228717</v>
      </c>
      <c r="CX118" s="59">
        <f t="shared" si="68"/>
        <v>929.2180130922568</v>
      </c>
      <c r="CY118" s="59">
        <f ca="1">AVERAGE(OFFSET($CX$3,0,0,'Données projet'!$E$13+1,1))-AVERAGE(OFFSET($H$3,0,0,'Données projet'!$E$13+1,1))</f>
        <v>445.38112098358147</v>
      </c>
      <c r="CZ118" s="59">
        <f t="shared" si="96"/>
        <v>272.45883568548516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34.575153054120165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34.575153054120165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69.097834680900803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1.9</v>
      </c>
      <c r="DO118" s="12">
        <f>IF('Données projet'!$A$166&gt;35,DO117+DN118-DW117,IF(A118&lt;'Données projet'!$A$166,$DL$205^A118,IF(A118='Données projet'!$A$166,'Données projet'!$B$166,DO117+DN118-DW117)))</f>
        <v>275.49999999999966</v>
      </c>
      <c r="DP118" s="17">
        <f>DO118*VLOOKUP('Données projet'!$B$14,Paramètres!$A$1:$I$89,3,0)*VLOOKUP('Données projet'!$B$14,Paramètres!$A$1:$I$89,5,0)</f>
        <v>266.46359999999964</v>
      </c>
      <c r="DQ118" s="13">
        <f t="shared" si="97"/>
        <v>64.098181037770004</v>
      </c>
      <c r="DR118" s="20">
        <f t="shared" si="70"/>
        <v>575.72843530744876</v>
      </c>
      <c r="DS118" s="59">
        <f t="shared" si="71"/>
        <v>865.75382913741828</v>
      </c>
      <c r="DT118" s="59">
        <f ca="1">AVERAGE(OFFSET($DS$3,0,0,'Données projet'!$E$14+1,1))-AVERAGE(OFFSET($H$3,0,0,'Données projet'!$E$14+1,1))</f>
        <v>405.29179902613089</v>
      </c>
      <c r="DU118" s="59">
        <f t="shared" si="98"/>
        <v>249.61049717638238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31.067528831238409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31.067528831238409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69.097834680900803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-5.6843418860808015E-13</v>
      </c>
      <c r="EK118" s="17">
        <f>EJ118*VLOOKUP('Données projet'!$B$15,Paramètres!$A$1:$I$89,3,0)*VLOOKUP('Données projet'!$B$15,Paramètres!$A$1:$I$89,5,0)</f>
        <v>-3.39923644787632E-13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444.77624981561257</v>
      </c>
      <c r="EP118" s="59">
        <f t="shared" si="100"/>
        <v>382.10319641527587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109.26876555286205</v>
      </c>
      <c r="EW118" s="21">
        <f>EXP(-LN(2)/25)*EW117+(1-EXP(-LN(2)/25))/(LN(2)/25)*Calculateur!ER118*Calculateur!ET118*VLOOKUP('Données projet'!$B$15,Paramètres!$A$1:$I$89,3,0)*0.475*44/12</f>
        <v>15.738810086819161</v>
      </c>
      <c r="EX118" s="21">
        <f>EXP(-LN(2)/2)*EX117+(1-EXP(-LN(2)/2))/(LN(2)/2)*ER118*EU118*VLOOKUP('Données projet'!$B$15,Paramètres!$A$1:$I$89,3,0)*0.475*44/12</f>
        <v>5.5429705462398582E-5</v>
      </c>
      <c r="EY118" s="22">
        <f t="shared" si="75"/>
        <v>125.00763106938668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69.097834680900803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3.4106051316484809E-13</v>
      </c>
      <c r="FF118" s="17">
        <f>FE118*VLOOKUP('Données projet'!$B$16,Paramètres!$A$1:$I$89,3,0)*VLOOKUP('Données projet'!$B$16,Paramètres!$A$1:$I$89,5,0)</f>
        <v>1.5074874681886286E-13</v>
      </c>
      <c r="FG118" s="13">
        <f t="shared" si="101"/>
        <v>2.1590218794584103E-12</v>
      </c>
      <c r="FH118" s="20">
        <f t="shared" si="76"/>
        <v>4.0228505074329168E-12</v>
      </c>
      <c r="FI118" s="59">
        <f t="shared" si="77"/>
        <v>290.02539382997361</v>
      </c>
      <c r="FJ118" s="59">
        <f ca="1">AVERAGE(OFFSET($FI$3,0,0,'Données projet'!$E$16+1,1))-AVERAGE(OFFSET($H$3,0,0,'Données projet'!$E$16+1,1))</f>
        <v>508.71179785154317</v>
      </c>
      <c r="FK118" s="59">
        <f t="shared" si="102"/>
        <v>422.73937290731442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138.93777345952932</v>
      </c>
      <c r="FR118" s="21">
        <f>EXP(-LN(2)/25)*FR117+(1-EXP(-LN(2)/25))/(LN(2)/25)*Calculateur!FM118*Calculateur!FO118*VLOOKUP('Données projet'!$B$16,Paramètres!$A$1:$I$89,3,0)*0.475*44/12</f>
        <v>25.786849227884822</v>
      </c>
      <c r="FS118" s="21">
        <f>EXP(-LN(2)/2)*FS117+(1-EXP(-LN(2)/2))/(LN(2)/2)*FM118*FP118*VLOOKUP('Données projet'!$B$16,Paramètres!$A$1:$I$89,3,0)*0.475*44/12</f>
        <v>2.3234796617901249E-4</v>
      </c>
      <c r="FT118" s="22">
        <f t="shared" si="78"/>
        <v>164.72485503538033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69.097834680900803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69.097834680900803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1.35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4.95</v>
      </c>
      <c r="H119" s="67">
        <f t="shared" si="56"/>
        <v>236.86666666666665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69.113485232247683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4.5</v>
      </c>
      <c r="N119" s="13">
        <f>IF('Données projet'!$A$36&gt;35,N118+M119-V118,IF(A119&lt;'Données projet'!$A$36,$K$205^A119,IF(A119='Données projet'!$A$36,'Données projet'!$B$36,N118+M119-V118)))</f>
        <v>334.00000000000006</v>
      </c>
      <c r="O119" s="13">
        <f>N119*VLOOKUP('Données projet'!$B$9,Paramètres!$A$1:$I$89,3,0)*VLOOKUP('Données projet'!$B$9,Paramètres!$A$1:$I$89,5,0)</f>
        <v>302.20320000000004</v>
      </c>
      <c r="P119" s="13">
        <f t="shared" si="87"/>
        <v>71.638141943842299</v>
      </c>
      <c r="Q119" s="20">
        <f t="shared" si="107"/>
        <v>651.10700388552539</v>
      </c>
      <c r="R119" s="59">
        <f t="shared" si="55"/>
        <v>941.18978307043358</v>
      </c>
      <c r="S119" s="59">
        <f ca="1">AVERAGE(OFFSET($R$3,0,0,'Données projet'!$E$9+1,1))-AVERAGE(OFFSET($H$3,0,0,'Données projet'!$E$9+1,1))</f>
        <v>466.90449882701591</v>
      </c>
      <c r="T119" s="59">
        <f t="shared" si="88"/>
        <v>283.37641704892053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54.854668360909145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54.854668360909145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69.113485232247683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1.9</v>
      </c>
      <c r="AI119" s="13">
        <f>IF('Données projet'!$A$62&gt;35,AI118+AH119-AQ118,IF(A119&lt;'Données projet'!$A$62,$AF$205^A119,IF(A119='Données projet'!$A$62,'Données projet'!$B$62,AI118+AH119-AQ118)))</f>
        <v>277.39999999999964</v>
      </c>
      <c r="AJ119" s="13">
        <f>AI119*VLOOKUP('Données projet'!$B$10,Paramètres!$A$1:$I$89,3,0)*VLOOKUP('Données projet'!$B$10,Paramètres!$A$1:$I$89,5,0)</f>
        <v>263.97383999999965</v>
      </c>
      <c r="AK119" s="13">
        <f t="shared" si="89"/>
        <v>63.56869082277953</v>
      </c>
      <c r="AL119" s="20">
        <f t="shared" si="58"/>
        <v>570.46990784967375</v>
      </c>
      <c r="AM119" s="59">
        <f t="shared" si="59"/>
        <v>860.55268703458182</v>
      </c>
      <c r="AN119" s="59">
        <f ca="1">AVERAGE(OFFSET($AM$3,0,0,'Données projet'!$E$10+1,1))-AVERAGE(OFFSET($H$3,0,0,'Données projet'!$E$10+1,1))</f>
        <v>399.5572791581468</v>
      </c>
      <c r="AO119" s="59">
        <f t="shared" si="90"/>
        <v>246.34185986079777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29.967050418563506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29.967050418563506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69.113485232247683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5.6843418860808015E-14</v>
      </c>
      <c r="BE119" s="13">
        <f>BD119*VLOOKUP('Données projet'!$B$11,Paramètres!$A$1:$I$89,3,0)*VLOOKUP('Données projet'!$B$11,Paramètres!$A$1:$I$89,5,0)</f>
        <v>4.4337866711430253E-14</v>
      </c>
      <c r="BF119" s="13">
        <f t="shared" si="91"/>
        <v>7.3222115536967035E-13</v>
      </c>
      <c r="BG119" s="20">
        <f t="shared" si="61"/>
        <v>1.3525069634579169E-12</v>
      </c>
      <c r="BH119" s="59">
        <f t="shared" si="62"/>
        <v>290.0827791849095</v>
      </c>
      <c r="BI119" s="59">
        <f ca="1">AVERAGE(OFFSET($BH$3,0,0,'Données projet'!$E$11+1,1))-AVERAGE(OFFSET($H$3,0,0,'Données projet'!$E$11+1,1))</f>
        <v>294.23449029791681</v>
      </c>
      <c r="BJ119" s="59">
        <f t="shared" si="92"/>
        <v>288.64639202306159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37.089704371239172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37.089704371239172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69.113485232247683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1.9</v>
      </c>
      <c r="BY119" s="12">
        <f>IF('Données projet'!$A$114&gt;35,BY118+BX119-CG118,IF(A119&lt;'Données projet'!$A$114,$BV$205^A119,IF(A119='Données projet'!$A$114,'Données projet'!$B$114,BY118+BX119-CG118)))</f>
        <v>277.39999999999964</v>
      </c>
      <c r="BZ119" s="13">
        <f>BY119*VLOOKUP('Données projet'!$B$12,Paramètres!$A$1:$I$89,3,0)*VLOOKUP('Données projet'!$B$12,Paramètres!$A$1:$I$89,5,0)</f>
        <v>298.59335999999956</v>
      </c>
      <c r="CA119" s="13">
        <f t="shared" si="93"/>
        <v>70.881497090454019</v>
      </c>
      <c r="CB119" s="20">
        <f t="shared" si="64"/>
        <v>643.5020427658734</v>
      </c>
      <c r="CC119" s="59">
        <f t="shared" si="65"/>
        <v>933.58482195078159</v>
      </c>
      <c r="CD119" s="59">
        <f ca="1">AVERAGE(OFFSET($CC$3,0,0,'Données projet'!$E$12+1,1))-AVERAGE(OFFSET($H$3,0,0,'Données projet'!$E$12+1,1))</f>
        <v>445.38112098358147</v>
      </c>
      <c r="CE119" s="59">
        <f t="shared" si="94"/>
        <v>272.45883568548516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33.897155391489889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33.897155391489889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69.113485232247683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1.9</v>
      </c>
      <c r="CT119" s="12">
        <f>IF('Données projet'!$A$140&gt;35,CT118+CS119-DB118,IF(A119&lt;'Données projet'!$A$140,$CQ$205^A119,IF(A119='Données projet'!$A$140,'Données projet'!$B$140,CT118+CS119-DB118)))</f>
        <v>277.39999999999964</v>
      </c>
      <c r="CU119" s="17">
        <f>CT119*VLOOKUP('Données projet'!$B$13,Paramètres!$A$1:$I$89,3,0)*VLOOKUP('Données projet'!$B$13,Paramètres!$A$1:$I$89,5,0)</f>
        <v>298.59335999999956</v>
      </c>
      <c r="CV119" s="13">
        <f t="shared" si="95"/>
        <v>70.881497090454019</v>
      </c>
      <c r="CW119" s="20">
        <f t="shared" si="67"/>
        <v>643.5020427658734</v>
      </c>
      <c r="CX119" s="59">
        <f t="shared" si="68"/>
        <v>933.58482195078159</v>
      </c>
      <c r="CY119" s="59">
        <f ca="1">AVERAGE(OFFSET($CX$3,0,0,'Données projet'!$E$13+1,1))-AVERAGE(OFFSET($H$3,0,0,'Données projet'!$E$13+1,1))</f>
        <v>445.38112098358147</v>
      </c>
      <c r="CZ119" s="59">
        <f t="shared" si="96"/>
        <v>272.45883568548516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33.897155391489889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33.897155391489889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69.113485232247683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1.9</v>
      </c>
      <c r="DO119" s="12">
        <f>IF('Données projet'!$A$166&gt;35,DO118+DN119-DW118,IF(A119&lt;'Données projet'!$A$166,$DL$205^A119,IF(A119='Données projet'!$A$166,'Données projet'!$B$166,DO118+DN119-DW118)))</f>
        <v>277.39999999999964</v>
      </c>
      <c r="DP119" s="17">
        <f>DO119*VLOOKUP('Données projet'!$B$14,Paramètres!$A$1:$I$89,3,0)*VLOOKUP('Données projet'!$B$14,Paramètres!$A$1:$I$89,5,0)</f>
        <v>268.30127999999968</v>
      </c>
      <c r="DQ119" s="13">
        <f t="shared" si="97"/>
        <v>64.488625713041955</v>
      </c>
      <c r="DR119" s="20">
        <f t="shared" si="70"/>
        <v>579.60908578354747</v>
      </c>
      <c r="DS119" s="59">
        <f t="shared" si="71"/>
        <v>869.69186496845555</v>
      </c>
      <c r="DT119" s="59">
        <f ca="1">AVERAGE(OFFSET($DS$3,0,0,'Données projet'!$E$14+1,1))-AVERAGE(OFFSET($H$3,0,0,'Données projet'!$E$14+1,1))</f>
        <v>405.29179902613089</v>
      </c>
      <c r="DU119" s="59">
        <f t="shared" si="98"/>
        <v>249.61049717638238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30.458313540179322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30.458313540179322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69.113485232247683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-5.6843418860808015E-13</v>
      </c>
      <c r="EK119" s="17">
        <f>EJ119*VLOOKUP('Données projet'!$B$15,Paramètres!$A$1:$I$89,3,0)*VLOOKUP('Données projet'!$B$15,Paramètres!$A$1:$I$89,5,0)</f>
        <v>-3.39923644787632E-13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444.77624981561257</v>
      </c>
      <c r="EP119" s="59">
        <f t="shared" si="100"/>
        <v>382.10319641527587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107.12607170773653</v>
      </c>
      <c r="EW119" s="21">
        <f>EXP(-LN(2)/25)*EW118+(1-EXP(-LN(2)/25))/(LN(2)/25)*Calculateur!ER119*Calculateur!ET119*VLOOKUP('Données projet'!$B$15,Paramètres!$A$1:$I$89,3,0)*0.475*44/12</f>
        <v>15.308431497327041</v>
      </c>
      <c r="EX119" s="21">
        <f>EXP(-LN(2)/2)*EX118+(1-EXP(-LN(2)/2))/(LN(2)/2)*ER119*EU119*VLOOKUP('Données projet'!$B$15,Paramètres!$A$1:$I$89,3,0)*0.475*44/12</f>
        <v>3.9194720611635052E-5</v>
      </c>
      <c r="EY119" s="22">
        <f t="shared" si="75"/>
        <v>122.43454239978418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69.113485232247683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3.4106051316484809E-13</v>
      </c>
      <c r="FF119" s="17">
        <f>FE119*VLOOKUP('Données projet'!$B$16,Paramètres!$A$1:$I$89,3,0)*VLOOKUP('Données projet'!$B$16,Paramètres!$A$1:$I$89,5,0)</f>
        <v>1.5074874681886286E-13</v>
      </c>
      <c r="FG119" s="13">
        <f t="shared" si="101"/>
        <v>2.1590218794584103E-12</v>
      </c>
      <c r="FH119" s="20">
        <f t="shared" si="76"/>
        <v>4.0228505074329168E-12</v>
      </c>
      <c r="FI119" s="59">
        <f t="shared" si="77"/>
        <v>290.08277918491217</v>
      </c>
      <c r="FJ119" s="59">
        <f ca="1">AVERAGE(OFFSET($FI$3,0,0,'Données projet'!$E$16+1,1))-AVERAGE(OFFSET($H$3,0,0,'Données projet'!$E$16+1,1))</f>
        <v>508.71179785154317</v>
      </c>
      <c r="FK119" s="59">
        <f t="shared" si="102"/>
        <v>422.73937290731442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136.21328846566203</v>
      </c>
      <c r="FR119" s="21">
        <f>EXP(-LN(2)/25)*FR118+(1-EXP(-LN(2)/25))/(LN(2)/25)*Calculateur!FM119*Calculateur!FO119*VLOOKUP('Données projet'!$B$16,Paramètres!$A$1:$I$89,3,0)*0.475*44/12</f>
        <v>25.081706479676846</v>
      </c>
      <c r="FS119" s="21">
        <f>EXP(-LN(2)/2)*FS118+(1-EXP(-LN(2)/2))/(LN(2)/2)*FM119*FP119*VLOOKUP('Données projet'!$B$16,Paramètres!$A$1:$I$89,3,0)*0.475*44/12</f>
        <v>1.6429482248008233E-4</v>
      </c>
      <c r="FT119" s="22">
        <f t="shared" si="78"/>
        <v>161.29515924016135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69.113485232247683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69.113485232247683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1.35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4.95</v>
      </c>
      <c r="H120" s="67">
        <f t="shared" si="56"/>
        <v>236.86666666666665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69.128864281518076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4.5</v>
      </c>
      <c r="N120" s="13">
        <f>IF('Données projet'!$A$36&gt;35,N119+M120-V119,IF(A120&lt;'Données projet'!$A$36,$K$205^A120,IF(A120='Données projet'!$A$36,'Données projet'!$B$36,N119+M120-V119)))</f>
        <v>338.50000000000006</v>
      </c>
      <c r="O120" s="13">
        <f>N120*VLOOKUP('Données projet'!$B$9,Paramètres!$A$1:$I$89,3,0)*VLOOKUP('Données projet'!$B$9,Paramètres!$A$1:$I$89,5,0)</f>
        <v>306.27480000000003</v>
      </c>
      <c r="P120" s="13">
        <f t="shared" si="87"/>
        <v>72.490313602283052</v>
      </c>
      <c r="Q120" s="20">
        <f t="shared" si="107"/>
        <v>659.68257285730954</v>
      </c>
      <c r="R120" s="59">
        <f t="shared" si="55"/>
        <v>949.82174188954241</v>
      </c>
      <c r="S120" s="59">
        <f ca="1">AVERAGE(OFFSET($R$3,0,0,'Données projet'!$E$9+1,1))-AVERAGE(OFFSET($H$3,0,0,'Données projet'!$E$9+1,1))</f>
        <v>466.90449882701591</v>
      </c>
      <c r="T120" s="59">
        <f t="shared" si="88"/>
        <v>283.37641704892053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53.779001772395709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53.779001772395709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69.128864281518076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1.9</v>
      </c>
      <c r="AI120" s="13">
        <f>IF('Données projet'!$A$62&gt;35,AI119+AH120-AQ119,IF(A120&lt;'Données projet'!$A$62,$AF$205^A120,IF(A120='Données projet'!$A$62,'Données projet'!$B$62,AI119+AH120-AQ119)))</f>
        <v>279.29999999999961</v>
      </c>
      <c r="AJ120" s="13">
        <f>AI120*VLOOKUP('Données projet'!$B$10,Paramètres!$A$1:$I$89,3,0)*VLOOKUP('Données projet'!$B$10,Paramètres!$A$1:$I$89,5,0)</f>
        <v>265.78187999999966</v>
      </c>
      <c r="AK120" s="13">
        <f t="shared" si="89"/>
        <v>63.953259050876319</v>
      </c>
      <c r="AL120" s="20">
        <f t="shared" si="58"/>
        <v>574.288700513609</v>
      </c>
      <c r="AM120" s="59">
        <f t="shared" si="59"/>
        <v>864.42786954584199</v>
      </c>
      <c r="AN120" s="59">
        <f ca="1">AVERAGE(OFFSET($AM$3,0,0,'Données projet'!$E$10+1,1))-AVERAGE(OFFSET($H$3,0,0,'Données projet'!$E$10+1,1))</f>
        <v>399.5572791581468</v>
      </c>
      <c r="AO120" s="59">
        <f t="shared" si="90"/>
        <v>246.34185986079777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29.379414837951419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29.379414837951419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69.128864281518076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5.6843418860808015E-14</v>
      </c>
      <c r="BE120" s="13">
        <f>BD120*VLOOKUP('Données projet'!$B$11,Paramètres!$A$1:$I$89,3,0)*VLOOKUP('Données projet'!$B$11,Paramètres!$A$1:$I$89,5,0)</f>
        <v>4.4337866711430253E-14</v>
      </c>
      <c r="BF120" s="13">
        <f t="shared" si="91"/>
        <v>7.3222115536967035E-13</v>
      </c>
      <c r="BG120" s="20">
        <f t="shared" si="61"/>
        <v>1.3525069634579169E-12</v>
      </c>
      <c r="BH120" s="59">
        <f t="shared" si="62"/>
        <v>290.13916903223429</v>
      </c>
      <c r="BI120" s="59">
        <f ca="1">AVERAGE(OFFSET($BH$3,0,0,'Données projet'!$E$11+1,1))-AVERAGE(OFFSET($H$3,0,0,'Données projet'!$E$11+1,1))</f>
        <v>294.23449029791681</v>
      </c>
      <c r="BJ120" s="59">
        <f t="shared" si="92"/>
        <v>288.64639202306159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36.362397891005052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36.362397891005052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69.128864281518076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1.9</v>
      </c>
      <c r="BY120" s="12">
        <f>IF('Données projet'!$A$114&gt;35,BY119+BX120-CG119,IF(A120&lt;'Données projet'!$A$114,$BV$205^A120,IF(A120='Données projet'!$A$114,'Données projet'!$B$114,BY119+BX120-CG119)))</f>
        <v>279.29999999999961</v>
      </c>
      <c r="BZ120" s="13">
        <f>BY120*VLOOKUP('Données projet'!$B$12,Paramètres!$A$1:$I$89,3,0)*VLOOKUP('Données projet'!$B$12,Paramètres!$A$1:$I$89,5,0)</f>
        <v>300.63851999999957</v>
      </c>
      <c r="CA120" s="13">
        <f t="shared" si="93"/>
        <v>71.31030522521516</v>
      </c>
      <c r="CB120" s="20">
        <f t="shared" si="64"/>
        <v>647.81087060058223</v>
      </c>
      <c r="CC120" s="59">
        <f t="shared" si="65"/>
        <v>937.95003963281511</v>
      </c>
      <c r="CD120" s="59">
        <f ca="1">AVERAGE(OFFSET($CC$3,0,0,'Données projet'!$E$12+1,1))-AVERAGE(OFFSET($H$3,0,0,'Données projet'!$E$12+1,1))</f>
        <v>445.38112098358147</v>
      </c>
      <c r="CE120" s="59">
        <f t="shared" si="94"/>
        <v>272.45883568548516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33.232452849486052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33.232452849486052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69.128864281518076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1.9</v>
      </c>
      <c r="CT120" s="12">
        <f>IF('Données projet'!$A$140&gt;35,CT119+CS120-DB119,IF(A120&lt;'Données projet'!$A$140,$CQ$205^A120,IF(A120='Données projet'!$A$140,'Données projet'!$B$140,CT119+CS120-DB119)))</f>
        <v>279.29999999999961</v>
      </c>
      <c r="CU120" s="17">
        <f>CT120*VLOOKUP('Données projet'!$B$13,Paramètres!$A$1:$I$89,3,0)*VLOOKUP('Données projet'!$B$13,Paramètres!$A$1:$I$89,5,0)</f>
        <v>300.63851999999957</v>
      </c>
      <c r="CV120" s="13">
        <f t="shared" si="95"/>
        <v>71.31030522521516</v>
      </c>
      <c r="CW120" s="20">
        <f t="shared" si="67"/>
        <v>647.81087060058223</v>
      </c>
      <c r="CX120" s="59">
        <f t="shared" si="68"/>
        <v>937.95003963281511</v>
      </c>
      <c r="CY120" s="59">
        <f ca="1">AVERAGE(OFFSET($CX$3,0,0,'Données projet'!$E$13+1,1))-AVERAGE(OFFSET($H$3,0,0,'Données projet'!$E$13+1,1))</f>
        <v>445.38112098358147</v>
      </c>
      <c r="CZ120" s="59">
        <f t="shared" si="96"/>
        <v>272.45883568548516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33.232452849486052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33.232452849486052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69.128864281518076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1.9</v>
      </c>
      <c r="DO120" s="12">
        <f>IF('Données projet'!$A$166&gt;35,DO119+DN120-DW119,IF(A120&lt;'Données projet'!$A$166,$DL$205^A120,IF(A120='Données projet'!$A$166,'Données projet'!$B$166,DO119+DN120-DW119)))</f>
        <v>279.29999999999961</v>
      </c>
      <c r="DP120" s="17">
        <f>DO120*VLOOKUP('Données projet'!$B$14,Paramètres!$A$1:$I$89,3,0)*VLOOKUP('Données projet'!$B$14,Paramètres!$A$1:$I$89,5,0)</f>
        <v>270.13895999999966</v>
      </c>
      <c r="DQ120" s="13">
        <f t="shared" si="97"/>
        <v>64.878759223766622</v>
      </c>
      <c r="DR120" s="20">
        <f t="shared" si="70"/>
        <v>583.48919431472621</v>
      </c>
      <c r="DS120" s="59">
        <f t="shared" si="71"/>
        <v>873.62836334695908</v>
      </c>
      <c r="DT120" s="59">
        <f ca="1">AVERAGE(OFFSET($DS$3,0,0,'Données projet'!$E$14+1,1))-AVERAGE(OFFSET($H$3,0,0,'Données projet'!$E$14+1,1))</f>
        <v>405.29179902613089</v>
      </c>
      <c r="DU120" s="59">
        <f t="shared" si="98"/>
        <v>249.61049717638238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29.861044589393266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29.861044589393266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69.128864281518076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-5.6843418860808015E-13</v>
      </c>
      <c r="EK120" s="17">
        <f>EJ120*VLOOKUP('Données projet'!$B$15,Paramètres!$A$1:$I$89,3,0)*VLOOKUP('Données projet'!$B$15,Paramètres!$A$1:$I$89,5,0)</f>
        <v>-3.39923644787632E-13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444.77624981561257</v>
      </c>
      <c r="EP120" s="59">
        <f t="shared" si="100"/>
        <v>382.10319641527587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105.02539478199972</v>
      </c>
      <c r="EW120" s="21">
        <f>EXP(-LN(2)/25)*EW119+(1-EXP(-LN(2)/25))/(LN(2)/25)*Calculateur!ER120*Calculateur!ET120*VLOOKUP('Données projet'!$B$15,Paramètres!$A$1:$I$89,3,0)*0.475*44/12</f>
        <v>14.889821632997208</v>
      </c>
      <c r="EX120" s="21">
        <f>EXP(-LN(2)/2)*EX119+(1-EXP(-LN(2)/2))/(LN(2)/2)*ER120*EU120*VLOOKUP('Données projet'!$B$15,Paramètres!$A$1:$I$89,3,0)*0.475*44/12</f>
        <v>2.7714852731199291E-5</v>
      </c>
      <c r="EY120" s="22">
        <f t="shared" si="75"/>
        <v>119.91524412984967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69.128864281518076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3.4106051316484809E-13</v>
      </c>
      <c r="FF120" s="17">
        <f>FE120*VLOOKUP('Données projet'!$B$16,Paramètres!$A$1:$I$89,3,0)*VLOOKUP('Données projet'!$B$16,Paramètres!$A$1:$I$89,5,0)</f>
        <v>1.5074874681886286E-13</v>
      </c>
      <c r="FG120" s="13">
        <f t="shared" si="101"/>
        <v>2.1590218794584103E-12</v>
      </c>
      <c r="FH120" s="20">
        <f t="shared" si="76"/>
        <v>4.0228505074329168E-12</v>
      </c>
      <c r="FI120" s="59">
        <f t="shared" si="77"/>
        <v>290.13916903223696</v>
      </c>
      <c r="FJ120" s="59">
        <f ca="1">AVERAGE(OFFSET($FI$3,0,0,'Données projet'!$E$16+1,1))-AVERAGE(OFFSET($H$3,0,0,'Données projet'!$E$16+1,1))</f>
        <v>508.71179785154317</v>
      </c>
      <c r="FK120" s="59">
        <f t="shared" si="102"/>
        <v>422.73937290731442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133.54222896075271</v>
      </c>
      <c r="FR120" s="21">
        <f>EXP(-LN(2)/25)*FR119+(1-EXP(-LN(2)/25))/(LN(2)/25)*Calculateur!FM120*Calculateur!FO120*VLOOKUP('Données projet'!$B$16,Paramètres!$A$1:$I$89,3,0)*0.475*44/12</f>
        <v>24.395845897000463</v>
      </c>
      <c r="FS120" s="21">
        <f>EXP(-LN(2)/2)*FS119+(1-EXP(-LN(2)/2))/(LN(2)/2)*FM120*FP120*VLOOKUP('Données projet'!$B$16,Paramètres!$A$1:$I$89,3,0)*0.475*44/12</f>
        <v>1.1617398308950625E-4</v>
      </c>
      <c r="FT120" s="22">
        <f t="shared" si="78"/>
        <v>157.93819103173627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69.128864281518076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69.128864281518076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1.35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4.95</v>
      </c>
      <c r="H121" s="67">
        <f t="shared" si="56"/>
        <v>236.86666666666665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69.143976538666038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4.5</v>
      </c>
      <c r="N121" s="13">
        <f>IF('Données projet'!$A$36&gt;35,N120+M121-V120,IF(A121&lt;'Données projet'!$A$36,$K$205^A121,IF(A121='Données projet'!$A$36,'Données projet'!$B$36,N120+M121-V120)))</f>
        <v>343.00000000000006</v>
      </c>
      <c r="O121" s="13">
        <f>N121*VLOOKUP('Données projet'!$B$9,Paramètres!$A$1:$I$89,3,0)*VLOOKUP('Données projet'!$B$9,Paramètres!$A$1:$I$89,5,0)</f>
        <v>310.34640000000007</v>
      </c>
      <c r="P121" s="13">
        <f t="shared" si="87"/>
        <v>73.341167576153055</v>
      </c>
      <c r="Q121" s="20">
        <f t="shared" si="107"/>
        <v>668.25584686180002</v>
      </c>
      <c r="R121" s="59">
        <f t="shared" si="55"/>
        <v>958.4504275035755</v>
      </c>
      <c r="S121" s="59">
        <f ca="1">AVERAGE(OFFSET($R$3,0,0,'Données projet'!$E$9+1,1))-AVERAGE(OFFSET($H$3,0,0,'Données projet'!$E$9+1,1))</f>
        <v>466.90449882701591</v>
      </c>
      <c r="T121" s="59">
        <f t="shared" si="88"/>
        <v>283.37641704892053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52.724428349591186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52.724428349591186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69.143976538666038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1.9</v>
      </c>
      <c r="AI121" s="13">
        <f>IF('Données projet'!$A$62&gt;35,AI120+AH121-AQ120,IF(A121&lt;'Données projet'!$A$62,$AF$205^A121,IF(A121='Données projet'!$A$62,'Données projet'!$B$62,AI120+AH121-AQ120)))</f>
        <v>281.19999999999959</v>
      </c>
      <c r="AJ121" s="13">
        <f>AI121*VLOOKUP('Données projet'!$B$10,Paramètres!$A$1:$I$89,3,0)*VLOOKUP('Données projet'!$B$10,Paramètres!$A$1:$I$89,5,0)</f>
        <v>267.58991999999961</v>
      </c>
      <c r="AK121" s="13">
        <f t="shared" si="89"/>
        <v>64.337522881771037</v>
      </c>
      <c r="AL121" s="20">
        <f t="shared" si="58"/>
        <v>578.10696301908376</v>
      </c>
      <c r="AM121" s="59">
        <f t="shared" si="59"/>
        <v>868.30154366085924</v>
      </c>
      <c r="AN121" s="59">
        <f ca="1">AVERAGE(OFFSET($AM$3,0,0,'Données projet'!$E$10+1,1))-AVERAGE(OFFSET($H$3,0,0,'Données projet'!$E$10+1,1))</f>
        <v>399.5572791581468</v>
      </c>
      <c r="AO121" s="59">
        <f t="shared" si="90"/>
        <v>246.34185986079777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28.803302432652821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28.803302432652821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69.143976538666038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5.6843418860808015E-14</v>
      </c>
      <c r="BE121" s="13">
        <f>BD121*VLOOKUP('Données projet'!$B$11,Paramètres!$A$1:$I$89,3,0)*VLOOKUP('Données projet'!$B$11,Paramètres!$A$1:$I$89,5,0)</f>
        <v>4.4337866711430253E-14</v>
      </c>
      <c r="BF121" s="13">
        <f t="shared" si="91"/>
        <v>7.3222115536967035E-13</v>
      </c>
      <c r="BG121" s="20">
        <f t="shared" si="61"/>
        <v>1.3525069634579169E-12</v>
      </c>
      <c r="BH121" s="59">
        <f t="shared" si="62"/>
        <v>290.19458064177684</v>
      </c>
      <c r="BI121" s="59">
        <f ca="1">AVERAGE(OFFSET($BH$3,0,0,'Données projet'!$E$11+1,1))-AVERAGE(OFFSET($H$3,0,0,'Données projet'!$E$11+1,1))</f>
        <v>294.23449029791681</v>
      </c>
      <c r="BJ121" s="59">
        <f t="shared" si="92"/>
        <v>288.64639202306159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35.649353447235178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35.649353447235178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69.143976538666038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1.9</v>
      </c>
      <c r="BY121" s="12">
        <f>IF('Données projet'!$A$114&gt;35,BY120+BX121-CG120,IF(A121&lt;'Données projet'!$A$114,$BV$205^A121,IF(A121='Données projet'!$A$114,'Données projet'!$B$114,BY120+BX121-CG120)))</f>
        <v>281.19999999999959</v>
      </c>
      <c r="BZ121" s="13">
        <f>BY121*VLOOKUP('Données projet'!$B$12,Paramètres!$A$1:$I$89,3,0)*VLOOKUP('Données projet'!$B$12,Paramètres!$A$1:$I$89,5,0)</f>
        <v>302.68367999999953</v>
      </c>
      <c r="CA121" s="13">
        <f t="shared" si="93"/>
        <v>71.738773945570969</v>
      </c>
      <c r="CB121" s="20">
        <f t="shared" si="64"/>
        <v>652.11910728853525</v>
      </c>
      <c r="CC121" s="59">
        <f t="shared" si="65"/>
        <v>942.31368793031072</v>
      </c>
      <c r="CD121" s="59">
        <f ca="1">AVERAGE(OFFSET($CC$3,0,0,'Données projet'!$E$12+1,1))-AVERAGE(OFFSET($H$3,0,0,'Données projet'!$E$12+1,1))</f>
        <v>445.38112098358147</v>
      </c>
      <c r="CE121" s="59">
        <f t="shared" si="94"/>
        <v>272.45883568548516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32.580784718902393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32.580784718902393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69.143976538666038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1.9</v>
      </c>
      <c r="CT121" s="12">
        <f>IF('Données projet'!$A$140&gt;35,CT120+CS121-DB120,IF(A121&lt;'Données projet'!$A$140,$CQ$205^A121,IF(A121='Données projet'!$A$140,'Données projet'!$B$140,CT120+CS121-DB120)))</f>
        <v>281.19999999999959</v>
      </c>
      <c r="CU121" s="17">
        <f>CT121*VLOOKUP('Données projet'!$B$13,Paramètres!$A$1:$I$89,3,0)*VLOOKUP('Données projet'!$B$13,Paramètres!$A$1:$I$89,5,0)</f>
        <v>302.68367999999953</v>
      </c>
      <c r="CV121" s="13">
        <f t="shared" si="95"/>
        <v>71.738773945570969</v>
      </c>
      <c r="CW121" s="20">
        <f t="shared" si="67"/>
        <v>652.11910728853525</v>
      </c>
      <c r="CX121" s="59">
        <f t="shared" si="68"/>
        <v>942.31368793031072</v>
      </c>
      <c r="CY121" s="59">
        <f ca="1">AVERAGE(OFFSET($CX$3,0,0,'Données projet'!$E$13+1,1))-AVERAGE(OFFSET($H$3,0,0,'Données projet'!$E$13+1,1))</f>
        <v>445.38112098358147</v>
      </c>
      <c r="CZ121" s="59">
        <f t="shared" si="96"/>
        <v>272.45883568548516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32.580784718902393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32.580784718902393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69.143976538666038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1.9</v>
      </c>
      <c r="DO121" s="12">
        <f>IF('Données projet'!$A$166&gt;35,DO120+DN121-DW120,IF(A121&lt;'Données projet'!$A$166,$DL$205^A121,IF(A121='Données projet'!$A$166,'Données projet'!$B$166,DO120+DN121-DW120)))</f>
        <v>281.19999999999959</v>
      </c>
      <c r="DP121" s="17">
        <f>DO121*VLOOKUP('Données projet'!$B$14,Paramètres!$A$1:$I$89,3,0)*VLOOKUP('Données projet'!$B$14,Paramètres!$A$1:$I$89,5,0)</f>
        <v>271.97663999999958</v>
      </c>
      <c r="DQ121" s="13">
        <f t="shared" si="97"/>
        <v>65.268583932202318</v>
      </c>
      <c r="DR121" s="20">
        <f t="shared" si="70"/>
        <v>587.3687650152516</v>
      </c>
      <c r="DS121" s="59">
        <f t="shared" si="71"/>
        <v>877.56334565702707</v>
      </c>
      <c r="DT121" s="59">
        <f ca="1">AVERAGE(OFFSET($DS$3,0,0,'Données projet'!$E$14+1,1))-AVERAGE(OFFSET($H$3,0,0,'Données projet'!$E$14+1,1))</f>
        <v>405.29179902613089</v>
      </c>
      <c r="DU121" s="59">
        <f t="shared" si="98"/>
        <v>249.61049717638238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29.275487718434036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29.275487718434036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69.143976538666038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-5.6843418860808015E-13</v>
      </c>
      <c r="EK121" s="17">
        <f>EJ121*VLOOKUP('Données projet'!$B$15,Paramètres!$A$1:$I$89,3,0)*VLOOKUP('Données projet'!$B$15,Paramètres!$A$1:$I$89,5,0)</f>
        <v>-3.39923644787632E-13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444.77624981561257</v>
      </c>
      <c r="EP121" s="59">
        <f t="shared" si="100"/>
        <v>382.10319641527587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102.96591084949021</v>
      </c>
      <c r="EW121" s="21">
        <f>EXP(-LN(2)/25)*EW120+(1-EXP(-LN(2)/25))/(LN(2)/25)*Calculateur!ER121*Calculateur!ET121*VLOOKUP('Données projet'!$B$15,Paramètres!$A$1:$I$89,3,0)*0.475*44/12</f>
        <v>14.482658677421211</v>
      </c>
      <c r="EX121" s="21">
        <f>EXP(-LN(2)/2)*EX120+(1-EXP(-LN(2)/2))/(LN(2)/2)*ER121*EU121*VLOOKUP('Données projet'!$B$15,Paramètres!$A$1:$I$89,3,0)*0.475*44/12</f>
        <v>1.9597360305817526E-5</v>
      </c>
      <c r="EY121" s="22">
        <f t="shared" si="75"/>
        <v>117.44858912427173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69.143976538666038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3.4106051316484809E-13</v>
      </c>
      <c r="FF121" s="17">
        <f>FE121*VLOOKUP('Données projet'!$B$16,Paramètres!$A$1:$I$89,3,0)*VLOOKUP('Données projet'!$B$16,Paramètres!$A$1:$I$89,5,0)</f>
        <v>1.5074874681886286E-13</v>
      </c>
      <c r="FG121" s="13">
        <f t="shared" si="101"/>
        <v>2.1590218794584103E-12</v>
      </c>
      <c r="FH121" s="20">
        <f t="shared" si="76"/>
        <v>4.0228505074329168E-12</v>
      </c>
      <c r="FI121" s="59">
        <f t="shared" si="77"/>
        <v>290.19458064177951</v>
      </c>
      <c r="FJ121" s="59">
        <f ca="1">AVERAGE(OFFSET($FI$3,0,0,'Données projet'!$E$16+1,1))-AVERAGE(OFFSET($H$3,0,0,'Données projet'!$E$16+1,1))</f>
        <v>508.71179785154317</v>
      </c>
      <c r="FK121" s="59">
        <f t="shared" si="102"/>
        <v>422.73937290731442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130.92354730354921</v>
      </c>
      <c r="FR121" s="21">
        <f>EXP(-LN(2)/25)*FR120+(1-EXP(-LN(2)/25))/(LN(2)/25)*Calculateur!FM121*Calculateur!FO121*VLOOKUP('Données projet'!$B$16,Paramètres!$A$1:$I$89,3,0)*0.475*44/12</f>
        <v>23.728740208025208</v>
      </c>
      <c r="FS121" s="21">
        <f>EXP(-LN(2)/2)*FS120+(1-EXP(-LN(2)/2))/(LN(2)/2)*FM121*FP121*VLOOKUP('Données projet'!$B$16,Paramètres!$A$1:$I$89,3,0)*0.475*44/12</f>
        <v>8.2147411240041164E-5</v>
      </c>
      <c r="FT121" s="22">
        <f t="shared" si="78"/>
        <v>154.65236965898566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69.143976538666038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69.143976538666038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1.35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4.95</v>
      </c>
      <c r="H122" s="67">
        <f t="shared" si="56"/>
        <v>236.86666666666665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69.158826631938425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4.5</v>
      </c>
      <c r="N122" s="13">
        <f>IF('Données projet'!$A$36&gt;35,N121+M122-V121,IF(A122&lt;'Données projet'!$A$36,$K$205^A122,IF(A122='Données projet'!$A$36,'Données projet'!$B$36,N121+M122-V121)))</f>
        <v>347.50000000000006</v>
      </c>
      <c r="O122" s="13">
        <f>N122*VLOOKUP('Données projet'!$B$9,Paramètres!$A$1:$I$89,3,0)*VLOOKUP('Données projet'!$B$9,Paramètres!$A$1:$I$89,5,0)</f>
        <v>314.41800000000001</v>
      </c>
      <c r="P122" s="13">
        <f t="shared" si="87"/>
        <v>74.190723151497338</v>
      </c>
      <c r="Q122" s="20">
        <f t="shared" si="107"/>
        <v>676.82685948885785</v>
      </c>
      <c r="R122" s="59">
        <f t="shared" si="55"/>
        <v>967.07589047263207</v>
      </c>
      <c r="S122" s="59">
        <f ca="1">AVERAGE(OFFSET($R$3,0,0,'Données projet'!$E$9+1,1))-AVERAGE(OFFSET($H$3,0,0,'Données projet'!$E$9+1,1))</f>
        <v>466.90449882701591</v>
      </c>
      <c r="T122" s="59">
        <f t="shared" si="88"/>
        <v>283.37641704892053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51.690534468381585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51.690534468381585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69.158826631938425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1.9</v>
      </c>
      <c r="AI122" s="13">
        <f>IF('Données projet'!$A$62&gt;35,AI121+AH122-AQ121,IF(A122&lt;'Données projet'!$A$62,$AF$205^A122,IF(A122='Données projet'!$A$62,'Données projet'!$B$62,AI121+AH122-AQ121)))</f>
        <v>283.09999999999957</v>
      </c>
      <c r="AJ122" s="13">
        <f>AI122*VLOOKUP('Données projet'!$B$10,Paramètres!$A$1:$I$89,3,0)*VLOOKUP('Données projet'!$B$10,Paramètres!$A$1:$I$89,5,0)</f>
        <v>269.39795999999961</v>
      </c>
      <c r="AK122" s="13">
        <f t="shared" si="89"/>
        <v>64.721484610738131</v>
      </c>
      <c r="AL122" s="20">
        <f t="shared" si="58"/>
        <v>581.92469936370151</v>
      </c>
      <c r="AM122" s="59">
        <f t="shared" si="59"/>
        <v>872.17373034747573</v>
      </c>
      <c r="AN122" s="59">
        <f ca="1">AVERAGE(OFFSET($AM$3,0,0,'Données projet'!$E$10+1,1))-AVERAGE(OFFSET($H$3,0,0,'Données projet'!$E$10+1,1))</f>
        <v>399.5572791581468</v>
      </c>
      <c r="AO122" s="59">
        <f t="shared" si="90"/>
        <v>246.34185986079777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28.23848724022826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28.23848724022826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69.158826631938425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5.6843418860808015E-14</v>
      </c>
      <c r="BE122" s="13">
        <f>BD122*VLOOKUP('Données projet'!$B$11,Paramètres!$A$1:$I$89,3,0)*VLOOKUP('Données projet'!$B$11,Paramètres!$A$1:$I$89,5,0)</f>
        <v>4.4337866711430253E-14</v>
      </c>
      <c r="BF122" s="13">
        <f t="shared" si="91"/>
        <v>7.3222115536967035E-13</v>
      </c>
      <c r="BG122" s="20">
        <f t="shared" si="61"/>
        <v>1.3525069634579169E-12</v>
      </c>
      <c r="BH122" s="59">
        <f t="shared" si="62"/>
        <v>290.24903098377558</v>
      </c>
      <c r="BI122" s="59">
        <f ca="1">AVERAGE(OFFSET($BH$3,0,0,'Données projet'!$E$11+1,1))-AVERAGE(OFFSET($H$3,0,0,'Données projet'!$E$11+1,1))</f>
        <v>294.23449029791681</v>
      </c>
      <c r="BJ122" s="59">
        <f t="shared" si="92"/>
        <v>288.64639202306159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34.95029137009346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34.95029137009346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69.158826631938425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1.9</v>
      </c>
      <c r="BY122" s="12">
        <f>IF('Données projet'!$A$114&gt;35,BY121+BX122-CG121,IF(A122&lt;'Données projet'!$A$114,$BV$205^A122,IF(A122='Données projet'!$A$114,'Données projet'!$B$114,BY121+BX122-CG121)))</f>
        <v>283.09999999999957</v>
      </c>
      <c r="BZ122" s="13">
        <f>BY122*VLOOKUP('Données projet'!$B$12,Paramètres!$A$1:$I$89,3,0)*VLOOKUP('Données projet'!$B$12,Paramètres!$A$1:$I$89,5,0)</f>
        <v>304.72883999999954</v>
      </c>
      <c r="CA122" s="13">
        <f t="shared" si="93"/>
        <v>72.16690581083931</v>
      </c>
      <c r="CB122" s="20">
        <f t="shared" si="64"/>
        <v>656.42675728721099</v>
      </c>
      <c r="CC122" s="59">
        <f t="shared" si="65"/>
        <v>946.67578827098521</v>
      </c>
      <c r="CD122" s="59">
        <f ca="1">AVERAGE(OFFSET($CC$3,0,0,'Données projet'!$E$12+1,1))-AVERAGE(OFFSET($H$3,0,0,'Données projet'!$E$12+1,1))</f>
        <v>445.38112098358147</v>
      </c>
      <c r="CE122" s="59">
        <f t="shared" si="94"/>
        <v>272.45883568548516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31.941895402881169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31.941895402881169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69.158826631938425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1.9</v>
      </c>
      <c r="CT122" s="12">
        <f>IF('Données projet'!$A$140&gt;35,CT121+CS122-DB121,IF(A122&lt;'Données projet'!$A$140,$CQ$205^A122,IF(A122='Données projet'!$A$140,'Données projet'!$B$140,CT121+CS122-DB121)))</f>
        <v>283.09999999999957</v>
      </c>
      <c r="CU122" s="17">
        <f>CT122*VLOOKUP('Données projet'!$B$13,Paramètres!$A$1:$I$89,3,0)*VLOOKUP('Données projet'!$B$13,Paramètres!$A$1:$I$89,5,0)</f>
        <v>304.72883999999954</v>
      </c>
      <c r="CV122" s="13">
        <f t="shared" si="95"/>
        <v>72.16690581083931</v>
      </c>
      <c r="CW122" s="20">
        <f t="shared" si="67"/>
        <v>656.42675728721099</v>
      </c>
      <c r="CX122" s="59">
        <f t="shared" si="68"/>
        <v>946.67578827098521</v>
      </c>
      <c r="CY122" s="59">
        <f ca="1">AVERAGE(OFFSET($CX$3,0,0,'Données projet'!$E$13+1,1))-AVERAGE(OFFSET($H$3,0,0,'Données projet'!$E$13+1,1))</f>
        <v>445.38112098358147</v>
      </c>
      <c r="CZ122" s="59">
        <f t="shared" si="96"/>
        <v>272.45883568548516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31.941895402881169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31.941895402881169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69.158826631938425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1.9</v>
      </c>
      <c r="DO122" s="12">
        <f>IF('Données projet'!$A$166&gt;35,DO121+DN122-DW121,IF(A122&lt;'Données projet'!$A$166,$DL$205^A122,IF(A122='Données projet'!$A$166,'Données projet'!$B$166,DO121+DN122-DW121)))</f>
        <v>283.09999999999957</v>
      </c>
      <c r="DP122" s="17">
        <f>DO122*VLOOKUP('Données projet'!$B$14,Paramètres!$A$1:$I$89,3,0)*VLOOKUP('Données projet'!$B$14,Paramètres!$A$1:$I$89,5,0)</f>
        <v>273.81431999999961</v>
      </c>
      <c r="DQ122" s="13">
        <f t="shared" si="97"/>
        <v>65.658102166839583</v>
      </c>
      <c r="DR122" s="20">
        <f t="shared" si="70"/>
        <v>591.24780194057814</v>
      </c>
      <c r="DS122" s="59">
        <f t="shared" si="71"/>
        <v>881.49683292435236</v>
      </c>
      <c r="DT122" s="59">
        <f ca="1">AVERAGE(OFFSET($DS$3,0,0,'Données projet'!$E$14+1,1))-AVERAGE(OFFSET($H$3,0,0,'Données projet'!$E$14+1,1))</f>
        <v>405.29179902613089</v>
      </c>
      <c r="DU122" s="59">
        <f t="shared" si="98"/>
        <v>249.61049717638238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28.701413260559892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28.701413260559892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69.158826631938425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-5.6843418860808015E-13</v>
      </c>
      <c r="EK122" s="17">
        <f>EJ122*VLOOKUP('Données projet'!$B$15,Paramètres!$A$1:$I$89,3,0)*VLOOKUP('Données projet'!$B$15,Paramètres!$A$1:$I$89,5,0)</f>
        <v>-3.39923644787632E-13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444.77624981561257</v>
      </c>
      <c r="EP122" s="59">
        <f t="shared" si="100"/>
        <v>382.10319641527587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100.94681214073604</v>
      </c>
      <c r="EW122" s="21">
        <f>EXP(-LN(2)/25)*EW121+(1-EXP(-LN(2)/25))/(LN(2)/25)*Calculateur!ER122*Calculateur!ET122*VLOOKUP('Données projet'!$B$15,Paramètres!$A$1:$I$89,3,0)*0.475*44/12</f>
        <v>14.086629614277209</v>
      </c>
      <c r="EX122" s="21">
        <f>EXP(-LN(2)/2)*EX121+(1-EXP(-LN(2)/2))/(LN(2)/2)*ER122*EU122*VLOOKUP('Données projet'!$B$15,Paramètres!$A$1:$I$89,3,0)*0.475*44/12</f>
        <v>1.3857426365599645E-5</v>
      </c>
      <c r="EY122" s="22">
        <f t="shared" si="75"/>
        <v>115.03345561243962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69.158826631938425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3.4106051316484809E-13</v>
      </c>
      <c r="FF122" s="17">
        <f>FE122*VLOOKUP('Données projet'!$B$16,Paramètres!$A$1:$I$89,3,0)*VLOOKUP('Données projet'!$B$16,Paramètres!$A$1:$I$89,5,0)</f>
        <v>1.5074874681886286E-13</v>
      </c>
      <c r="FG122" s="13">
        <f t="shared" si="101"/>
        <v>2.1590218794584103E-12</v>
      </c>
      <c r="FH122" s="20">
        <f t="shared" si="76"/>
        <v>4.0228505074329168E-12</v>
      </c>
      <c r="FI122" s="59">
        <f t="shared" si="77"/>
        <v>290.24903098377825</v>
      </c>
      <c r="FJ122" s="59">
        <f ca="1">AVERAGE(OFFSET($FI$3,0,0,'Données projet'!$E$16+1,1))-AVERAGE(OFFSET($H$3,0,0,'Données projet'!$E$16+1,1))</f>
        <v>508.71179785154317</v>
      </c>
      <c r="FK122" s="59">
        <f t="shared" si="102"/>
        <v>422.73937290731442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128.35621639640539</v>
      </c>
      <c r="FR122" s="21">
        <f>EXP(-LN(2)/25)*FR121+(1-EXP(-LN(2)/25))/(LN(2)/25)*Calculateur!FM122*Calculateur!FO122*VLOOKUP('Données projet'!$B$16,Paramètres!$A$1:$I$89,3,0)*0.475*44/12</f>
        <v>23.079876559196546</v>
      </c>
      <c r="FS122" s="21">
        <f>EXP(-LN(2)/2)*FS121+(1-EXP(-LN(2)/2))/(LN(2)/2)*FM122*FP122*VLOOKUP('Données projet'!$B$16,Paramètres!$A$1:$I$89,3,0)*0.475*44/12</f>
        <v>5.8086991544753123E-5</v>
      </c>
      <c r="FT122" s="22">
        <f t="shared" si="78"/>
        <v>151.43615104259348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69.158826631938425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69.158826631938425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1.35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4.95</v>
      </c>
      <c r="H123" s="67">
        <f t="shared" si="56"/>
        <v>236.86666666666665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69.173419109292382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352</v>
      </c>
      <c r="L123" s="12">
        <f>VLOOKUP(A123,'Données projet'!$A$35:$I$55,9,0)</f>
        <v>4.5</v>
      </c>
      <c r="M123" s="12">
        <f t="array" ref="M123">INDEX(L:L,MIN(IF(ISNUMBER(L123:L319),ROW(L123:L319),"")))</f>
        <v>4.5</v>
      </c>
      <c r="N123" s="13">
        <f>IF('Données projet'!$A$36&gt;35,N122+M123-V122,IF(A123&lt;'Données projet'!$A$36,$K$205^A123,IF(A123='Données projet'!$A$36,'Données projet'!$B$36,N122+M123-V122)))</f>
        <v>352.00000000000006</v>
      </c>
      <c r="O123" s="13">
        <f>N123*VLOOKUP('Données projet'!$B$9,Paramètres!$A$1:$I$89,3,0)*VLOOKUP('Données projet'!$B$9,Paramètres!$A$1:$I$89,5,0)</f>
        <v>318.48960000000005</v>
      </c>
      <c r="P123" s="13">
        <f t="shared" si="87"/>
        <v>75.038999086150298</v>
      </c>
      <c r="Q123" s="20">
        <f t="shared" si="107"/>
        <v>685.39564340837842</v>
      </c>
      <c r="R123" s="59">
        <f t="shared" si="55"/>
        <v>975.6981801424505</v>
      </c>
      <c r="S123" s="59">
        <f ca="1">AVERAGE(OFFSET($R$3,0,0,'Données projet'!$E$9+1,1))-AVERAGE(OFFSET($H$3,0,0,'Données projet'!$E$9+1,1))</f>
        <v>466.90449882701591</v>
      </c>
      <c r="T123" s="59">
        <f t="shared" si="88"/>
        <v>283.37641704892053</v>
      </c>
      <c r="U123" s="15">
        <f>IF(ISNA(VLOOKUP(A123,'Données projet'!$A$35:$I$55,3,0)),0,VLOOKUP(A123,'Données projet'!$A$35:$I$55,3,0))</f>
        <v>21</v>
      </c>
      <c r="V123" s="15">
        <f>IF(ISNA(VLOOKUP(A123,'Données projet'!$A$35:$I$55,4,0)),0,VLOOKUP(A123,'Données projet'!$A$35:$I$55,4,0))</f>
        <v>352</v>
      </c>
      <c r="W123" s="16">
        <f>IF(ISNA(VLOOKUP(A123,'Données projet'!$A$35:$I$55,5,0)),0%,VLOOKUP(A123,'Données projet'!$A$35:$I$55,5,0)*VLOOKUP('Données projet'!$B$9,Paramètres!$A$1:$I$89,7,0))</f>
        <v>0.38700000000000001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186.9321915644276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186.9321915644276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69.173419109292382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285</v>
      </c>
      <c r="AG123" s="12">
        <f>VLOOKUP(A123,'Données projet'!$A$61:$I$81,9,0)</f>
        <v>1.9</v>
      </c>
      <c r="AH123" s="12">
        <f t="array" ref="AH123">INDEX(AG:AG,MIN(IF(ISNUMBER(AG123:AG319),ROW(AG123:AG319),"")))</f>
        <v>1.9</v>
      </c>
      <c r="AI123" s="13">
        <f>IF('Données projet'!$A$62&gt;35,AI122+AH123-AQ122,IF(A123&lt;'Données projet'!$A$62,$AF$205^A123,IF(A123='Données projet'!$A$62,'Données projet'!$B$62,AI122+AH123-AQ122)))</f>
        <v>284.99999999999955</v>
      </c>
      <c r="AJ123" s="13">
        <f>AI123*VLOOKUP('Données projet'!$B$10,Paramètres!$A$1:$I$89,3,0)*VLOOKUP('Données projet'!$B$10,Paramètres!$A$1:$I$89,5,0)</f>
        <v>271.20599999999956</v>
      </c>
      <c r="AK123" s="13">
        <f t="shared" si="89"/>
        <v>65.105146500461927</v>
      </c>
      <c r="AL123" s="20">
        <f t="shared" si="58"/>
        <v>585.74191348830379</v>
      </c>
      <c r="AM123" s="59">
        <f t="shared" si="59"/>
        <v>876.04445022237587</v>
      </c>
      <c r="AN123" s="59">
        <f ca="1">AVERAGE(OFFSET($AM$3,0,0,'Données projet'!$E$10+1,1))-AVERAGE(OFFSET($H$3,0,0,'Données projet'!$E$10+1,1))</f>
        <v>399.5572791581468</v>
      </c>
      <c r="AO123" s="59">
        <f t="shared" si="90"/>
        <v>246.34185986079777</v>
      </c>
      <c r="AP123" s="15">
        <f>IF(ISNA(VLOOKUP(A123,'Données projet'!$A$61:$I$81,3,0)),0,VLOOKUP(A123,'Données projet'!$A$61:$I$81,3,0))</f>
        <v>18</v>
      </c>
      <c r="AQ123" s="15">
        <f>IF(ISNA(VLOOKUP(A123,'Données projet'!$A$61:$I$81,4,0)),0,VLOOKUP(A123,'Données projet'!$A$61:$I$81,4,0))</f>
        <v>285</v>
      </c>
      <c r="AR123" s="16">
        <f>IF(ISNA(VLOOKUP(A123,'Données projet'!$A$61:$I$81,5,0)),0%,VLOOKUP(A123,'Données projet'!$A$61:$I$81,5,0)*VLOOKUP('Données projet'!$B$10,Paramètres!$A$1:$I$89,7,0))</f>
        <v>0.34400000000000003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130.81945644377885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130.81945644377885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69.173419109292382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5.6843418860808015E-14</v>
      </c>
      <c r="BE123" s="13">
        <f>BD123*VLOOKUP('Données projet'!$B$11,Paramètres!$A$1:$I$89,3,0)*VLOOKUP('Données projet'!$B$11,Paramètres!$A$1:$I$89,5,0)</f>
        <v>4.4337866711430253E-14</v>
      </c>
      <c r="BF123" s="13">
        <f t="shared" si="91"/>
        <v>7.3222115536967035E-13</v>
      </c>
      <c r="BG123" s="20">
        <f t="shared" si="61"/>
        <v>1.3525069634579169E-12</v>
      </c>
      <c r="BH123" s="59">
        <f t="shared" si="62"/>
        <v>290.30253673407344</v>
      </c>
      <c r="BI123" s="59">
        <f ca="1">AVERAGE(OFFSET($BH$3,0,0,'Données projet'!$E$11+1,1))-AVERAGE(OFFSET($H$3,0,0,'Données projet'!$E$11+1,1))</f>
        <v>294.23449029791681</v>
      </c>
      <c r="BJ123" s="59">
        <f t="shared" si="92"/>
        <v>288.64639202306159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34.264937473898726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34.264937473898726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69.173419109292382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>
        <f>VLOOKUP(A123,'Données projet'!$A$113:$I$133,2,0)</f>
        <v>285</v>
      </c>
      <c r="BW123" s="12">
        <f>VLOOKUP(A123,'Données projet'!$A$113:$I$133,9,0)</f>
        <v>1.9</v>
      </c>
      <c r="BX123" s="12">
        <f t="array" ref="BX123">INDEX(BW:BW,MIN(IF(ISNUMBER(BW123:BW319),ROW(BW123:BW319),"")))</f>
        <v>1.9</v>
      </c>
      <c r="BY123" s="12">
        <f>IF('Données projet'!$A$114&gt;35,BY122+BX123-CG122,IF(A123&lt;'Données projet'!$A$114,$BV$205^A123,IF(A123='Données projet'!$A$114,'Données projet'!$B$114,BY122+BX123-CG122)))</f>
        <v>284.99999999999955</v>
      </c>
      <c r="BZ123" s="13">
        <f>BY123*VLOOKUP('Données projet'!$B$12,Paramètres!$A$1:$I$89,3,0)*VLOOKUP('Données projet'!$B$12,Paramètres!$A$1:$I$89,5,0)</f>
        <v>306.77399999999949</v>
      </c>
      <c r="CA123" s="13">
        <f t="shared" si="93"/>
        <v>72.594703343998987</v>
      </c>
      <c r="CB123" s="20">
        <f t="shared" si="64"/>
        <v>660.73382499079742</v>
      </c>
      <c r="CC123" s="59">
        <f t="shared" si="65"/>
        <v>951.03636172486949</v>
      </c>
      <c r="CD123" s="59">
        <f ca="1">AVERAGE(OFFSET($CC$3,0,0,'Données projet'!$E$12+1,1))-AVERAGE(OFFSET($H$3,0,0,'Données projet'!$E$12+1,1))</f>
        <v>445.38112098358147</v>
      </c>
      <c r="CE123" s="59">
        <f t="shared" si="94"/>
        <v>272.45883568548516</v>
      </c>
      <c r="CF123" s="15">
        <f>IF(ISNA(VLOOKUP(A123,'Données projet'!$A$113:$I$133,3,0)),0,VLOOKUP(A123,'Données projet'!$A$113:$I$133,3,0))</f>
        <v>18</v>
      </c>
      <c r="CG123" s="15">
        <f>IF(ISNA(VLOOKUP(A123,'Données projet'!$A$113:$I$133,4,0)),0,VLOOKUP(A123,'Données projet'!$A$113:$I$133,4,0))</f>
        <v>285</v>
      </c>
      <c r="CH123" s="16">
        <f>IF(ISNA(VLOOKUP(A123,'Données projet'!$A$113:$I$133,5,0)),0%,VLOOKUP(A123,'Données projet'!$A$113:$I$133,5,0)*VLOOKUP('Données projet'!$B$12,Paramètres!$A$1:$I$89,7,0))</f>
        <v>0.34400000000000003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147.97610646919253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147.97610646919253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69.173419109292382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>
        <f>VLOOKUP(A123,'Données projet'!$A$139:$I$159,2,0)</f>
        <v>285</v>
      </c>
      <c r="CR123" s="12">
        <f>VLOOKUP(A123,'Données projet'!$A$139:$I$159,9,0)</f>
        <v>1.9</v>
      </c>
      <c r="CS123" s="12">
        <f t="array" ref="CS123">INDEX(CR:CR,MIN(IF(ISNUMBER(CR123:CR319),ROW(CR123:CR319),"")))</f>
        <v>1.9</v>
      </c>
      <c r="CT123" s="12">
        <f>IF('Données projet'!$A$140&gt;35,CT122+CS123-DB122,IF(A123&lt;'Données projet'!$A$140,$CQ$205^A123,IF(A123='Données projet'!$A$140,'Données projet'!$B$140,CT122+CS123-DB122)))</f>
        <v>284.99999999999955</v>
      </c>
      <c r="CU123" s="17">
        <f>CT123*VLOOKUP('Données projet'!$B$13,Paramètres!$A$1:$I$89,3,0)*VLOOKUP('Données projet'!$B$13,Paramètres!$A$1:$I$89,5,0)</f>
        <v>306.77399999999949</v>
      </c>
      <c r="CV123" s="13">
        <f t="shared" si="95"/>
        <v>72.594703343998987</v>
      </c>
      <c r="CW123" s="20">
        <f t="shared" si="67"/>
        <v>660.73382499079742</v>
      </c>
      <c r="CX123" s="59">
        <f t="shared" si="68"/>
        <v>951.03636172486949</v>
      </c>
      <c r="CY123" s="59">
        <f ca="1">AVERAGE(OFFSET($CX$3,0,0,'Données projet'!$E$13+1,1))-AVERAGE(OFFSET($H$3,0,0,'Données projet'!$E$13+1,1))</f>
        <v>445.38112098358147</v>
      </c>
      <c r="CZ123" s="59">
        <f t="shared" si="96"/>
        <v>272.45883568548516</v>
      </c>
      <c r="DA123" s="15">
        <f>IF(ISNA(VLOOKUP(A123,'Données projet'!$A$139:$I$159,3,0)),0,VLOOKUP(A123,'Données projet'!$A$139:$I$159,3,0))</f>
        <v>18</v>
      </c>
      <c r="DB123" s="15">
        <f>IF(ISNA(VLOOKUP(A123,'Données projet'!$A$139:$I$159,4,0)),0,VLOOKUP(A123,'Données projet'!$A$139:$I$159,4,0))</f>
        <v>285</v>
      </c>
      <c r="DC123" s="16">
        <f>IF(ISNA(VLOOKUP(A123,'Données projet'!$A$139:$I$159,5,0)),0%,VLOOKUP(A123,'Données projet'!$A$139:$I$159,5,0)*VLOOKUP('Données projet'!$B$13,Paramètres!$A$1:$I$89,7,0))</f>
        <v>0.34400000000000003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147.97610646919253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147.97610646919253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69.173419109292382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>
        <f>VLOOKUP(A123,'Données projet'!$A$165:$I$185,2,0)</f>
        <v>285</v>
      </c>
      <c r="DM123" s="12">
        <f>VLOOKUP(A123,'Données projet'!$A$165:$I$185,9,0)</f>
        <v>1.9</v>
      </c>
      <c r="DN123" s="12">
        <f t="array" ref="DN123">INDEX(DM:DM,MIN(IF(ISNUMBER(DM123:DM319),ROW(DM123:DM319),"")))</f>
        <v>1.9</v>
      </c>
      <c r="DO123" s="12">
        <f>IF('Données projet'!$A$166&gt;35,DO122+DN123-DW122,IF(A123&lt;'Données projet'!$A$166,$DL$205^A123,IF(A123='Données projet'!$A$166,'Données projet'!$B$166,DO122+DN123-DW122)))</f>
        <v>284.99999999999955</v>
      </c>
      <c r="DP123" s="17">
        <f>DO123*VLOOKUP('Données projet'!$B$14,Paramètres!$A$1:$I$89,3,0)*VLOOKUP('Données projet'!$B$14,Paramètres!$A$1:$I$89,5,0)</f>
        <v>275.65199999999953</v>
      </c>
      <c r="DQ123" s="13">
        <f t="shared" si="97"/>
        <v>66.047316223107202</v>
      </c>
      <c r="DR123" s="20">
        <f t="shared" si="70"/>
        <v>595.1263090885775</v>
      </c>
      <c r="DS123" s="59">
        <f t="shared" si="71"/>
        <v>885.42884582264958</v>
      </c>
      <c r="DT123" s="59">
        <f ca="1">AVERAGE(OFFSET($DS$3,0,0,'Données projet'!$E$14+1,1))-AVERAGE(OFFSET($H$3,0,0,'Données projet'!$E$14+1,1))</f>
        <v>405.29179902613089</v>
      </c>
      <c r="DU123" s="59">
        <f t="shared" si="98"/>
        <v>249.61049717638238</v>
      </c>
      <c r="DV123" s="15">
        <f>IF(ISNA(VLOOKUP(A123,'Données projet'!$A$165:$I$185,3,0)),0,VLOOKUP(A123,'Données projet'!$A$165:$I$185,3,0))</f>
        <v>18</v>
      </c>
      <c r="DW123" s="15">
        <f>IF(ISNA(VLOOKUP(A123,'Données projet'!$A$165:$I$185,4,0)),0,VLOOKUP(A123,'Données projet'!$A$165:$I$185,4,0))</f>
        <v>285</v>
      </c>
      <c r="DX123" s="16">
        <f>IF(ISNA(VLOOKUP(A123,'Données projet'!$A$165:$I$185,5,0)),0%,VLOOKUP(A123,'Données projet'!$A$165:$I$185,5,0)*VLOOKUP('Données projet'!$B$14,Paramètres!$A$1:$I$89,7,0))</f>
        <v>0.34400000000000003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132.96403769695559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132.96403769695559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69.173419109292382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-5.6843418860808015E-13</v>
      </c>
      <c r="EK123" s="17">
        <f>EJ123*VLOOKUP('Données projet'!$B$15,Paramètres!$A$1:$I$89,3,0)*VLOOKUP('Données projet'!$B$15,Paramètres!$A$1:$I$89,5,0)</f>
        <v>-3.39923644787632E-13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444.77624981561257</v>
      </c>
      <c r="EP123" s="59">
        <f t="shared" si="100"/>
        <v>382.10319641527587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98.967306726131937</v>
      </c>
      <c r="EW123" s="21">
        <f>EXP(-LN(2)/25)*EW122+(1-EXP(-LN(2)/25))/(LN(2)/25)*Calculateur!ER123*Calculateur!ET123*VLOOKUP('Données projet'!$B$15,Paramètres!$A$1:$I$89,3,0)*0.475*44/12</f>
        <v>13.701429986691142</v>
      </c>
      <c r="EX123" s="21">
        <f>EXP(-LN(2)/2)*EX122+(1-EXP(-LN(2)/2))/(LN(2)/2)*ER123*EU123*VLOOKUP('Données projet'!$B$15,Paramètres!$A$1:$I$89,3,0)*0.475*44/12</f>
        <v>9.7986801529087629E-6</v>
      </c>
      <c r="EY123" s="22">
        <f t="shared" si="75"/>
        <v>112.66874651150323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69.173419109292382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3.4106051316484809E-13</v>
      </c>
      <c r="FF123" s="17">
        <f>FE123*VLOOKUP('Données projet'!$B$16,Paramètres!$A$1:$I$89,3,0)*VLOOKUP('Données projet'!$B$16,Paramètres!$A$1:$I$89,5,0)</f>
        <v>1.5074874681886286E-13</v>
      </c>
      <c r="FG123" s="13">
        <f t="shared" si="101"/>
        <v>2.1590218794584103E-12</v>
      </c>
      <c r="FH123" s="20">
        <f t="shared" si="76"/>
        <v>4.0228505074329168E-12</v>
      </c>
      <c r="FI123" s="59">
        <f t="shared" si="77"/>
        <v>290.30253673407611</v>
      </c>
      <c r="FJ123" s="59">
        <f ca="1">AVERAGE(OFFSET($FI$3,0,0,'Données projet'!$E$16+1,1))-AVERAGE(OFFSET($H$3,0,0,'Données projet'!$E$16+1,1))</f>
        <v>508.71179785154317</v>
      </c>
      <c r="FK123" s="59">
        <f t="shared" si="102"/>
        <v>422.73937290731442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125.83922928243342</v>
      </c>
      <c r="FR123" s="21">
        <f>EXP(-LN(2)/25)*FR122+(1-EXP(-LN(2)/25))/(LN(2)/25)*Calculateur!FM123*Calculateur!FO123*VLOOKUP('Données projet'!$B$16,Paramètres!$A$1:$I$89,3,0)*0.475*44/12</f>
        <v>22.448756120967357</v>
      </c>
      <c r="FS123" s="21">
        <f>EXP(-LN(2)/2)*FS122+(1-EXP(-LN(2)/2))/(LN(2)/2)*FM123*FP123*VLOOKUP('Données projet'!$B$16,Paramètres!$A$1:$I$89,3,0)*0.475*44/12</f>
        <v>4.1073705620020582E-5</v>
      </c>
      <c r="FT123" s="22">
        <f t="shared" si="78"/>
        <v>148.2880264771064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69.173419109292382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69.173419109292382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1.35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4.95</v>
      </c>
      <c r="H124" s="67">
        <f t="shared" si="56"/>
        <v>236.86666666666665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69.187758439788126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5.6843418860808015E-14</v>
      </c>
      <c r="O124" s="13">
        <f>N124*VLOOKUP('Données projet'!$B$9,Paramètres!$A$1:$I$89,3,0)*VLOOKUP('Données projet'!$B$9,Paramètres!$A$1:$I$89,5,0)</f>
        <v>5.1431925385259088E-14</v>
      </c>
      <c r="P124" s="13">
        <f t="shared" si="87"/>
        <v>8.3482866290946129E-13</v>
      </c>
      <c r="Q124" s="20">
        <f t="shared" si="107"/>
        <v>1.5435705246133045E-12</v>
      </c>
      <c r="R124" s="59">
        <f t="shared" si="55"/>
        <v>290.35511427922467</v>
      </c>
      <c r="S124" s="59">
        <f ca="1">AVERAGE(OFFSET($R$3,0,0,'Données projet'!$E$9+1,1))-AVERAGE(OFFSET($H$3,0,0,'Données projet'!$E$9+1,1))</f>
        <v>466.90449882701591</v>
      </c>
      <c r="T124" s="59">
        <f t="shared" si="88"/>
        <v>283.37641704892053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183.26656530522774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183.26656530522774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69.187758439788126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-4.5474735088646412E-13</v>
      </c>
      <c r="AJ124" s="13">
        <f>AI124*VLOOKUP('Données projet'!$B$10,Paramètres!$A$1:$I$89,3,0)*VLOOKUP('Données projet'!$B$10,Paramètres!$A$1:$I$89,5,0)</f>
        <v>-4.3273757910355926E-13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399.5572791581468</v>
      </c>
      <c r="AO124" s="59">
        <f t="shared" si="90"/>
        <v>246.34185986079777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128.25416669490596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128.25416669490596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69.187758439788126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5.6843418860808015E-14</v>
      </c>
      <c r="BE124" s="13">
        <f>BD124*VLOOKUP('Données projet'!$B$11,Paramètres!$A$1:$I$89,3,0)*VLOOKUP('Données projet'!$B$11,Paramètres!$A$1:$I$89,5,0)</f>
        <v>4.4337866711430253E-14</v>
      </c>
      <c r="BF124" s="13">
        <f t="shared" si="91"/>
        <v>7.3222115536967035E-13</v>
      </c>
      <c r="BG124" s="20">
        <f t="shared" si="61"/>
        <v>1.3525069634579169E-12</v>
      </c>
      <c r="BH124" s="59">
        <f t="shared" si="62"/>
        <v>290.35511427922449</v>
      </c>
      <c r="BI124" s="59">
        <f ca="1">AVERAGE(OFFSET($BH$3,0,0,'Données projet'!$E$11+1,1))-AVERAGE(OFFSET($H$3,0,0,'Données projet'!$E$11+1,1))</f>
        <v>294.23449029791681</v>
      </c>
      <c r="BJ124" s="59">
        <f t="shared" si="92"/>
        <v>288.64639202306159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33.593022949583769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33.593022949583769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69.187758439788126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-4.5474735088646412E-13</v>
      </c>
      <c r="BZ124" s="13">
        <f>BY124*VLOOKUP('Données projet'!$B$12,Paramètres!$A$1:$I$89,3,0)*VLOOKUP('Données projet'!$B$12,Paramètres!$A$1:$I$89,5,0)</f>
        <v>-4.8949004849418999E-13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445.38112098358147</v>
      </c>
      <c r="CE124" s="59">
        <f t="shared" si="94"/>
        <v>272.45883568548516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145.07438527784453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145.07438527784453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69.187758439788126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-4.5474735088646412E-13</v>
      </c>
      <c r="CU124" s="17">
        <f>CT124*VLOOKUP('Données projet'!$B$13,Paramètres!$A$1:$I$89,3,0)*VLOOKUP('Données projet'!$B$13,Paramètres!$A$1:$I$89,5,0)</f>
        <v>-4.8949004849418999E-13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445.38112098358147</v>
      </c>
      <c r="CZ124" s="59">
        <f t="shared" si="96"/>
        <v>272.45883568548516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145.07438527784453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145.07438527784453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69.187758439788126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-4.5474735088646412E-13</v>
      </c>
      <c r="DP124" s="17">
        <f>DO124*VLOOKUP('Données projet'!$B$14,Paramètres!$A$1:$I$89,3,0)*VLOOKUP('Données projet'!$B$14,Paramètres!$A$1:$I$89,5,0)</f>
        <v>-4.3983163777738812E-13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405.29179902613089</v>
      </c>
      <c r="DU124" s="59">
        <f t="shared" si="98"/>
        <v>249.61049717638238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130.35669401777332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130.35669401777332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69.187758439788126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-5.6843418860808015E-13</v>
      </c>
      <c r="EK124" s="17">
        <f>EJ124*VLOOKUP('Données projet'!$B$15,Paramètres!$A$1:$I$89,3,0)*VLOOKUP('Données projet'!$B$15,Paramètres!$A$1:$I$89,5,0)</f>
        <v>-3.39923644787632E-13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444.77624981561257</v>
      </c>
      <c r="EP124" s="59">
        <f t="shared" si="100"/>
        <v>382.10319641527587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97.026618205329129</v>
      </c>
      <c r="EW124" s="21">
        <f>EXP(-LN(2)/25)*EW123+(1-EXP(-LN(2)/25))/(LN(2)/25)*Calculateur!ER124*Calculateur!ET124*VLOOKUP('Données projet'!$B$15,Paramètres!$A$1:$I$89,3,0)*0.475*44/12</f>
        <v>13.326763663178186</v>
      </c>
      <c r="EX124" s="21">
        <f>EXP(-LN(2)/2)*EX123+(1-EXP(-LN(2)/2))/(LN(2)/2)*ER124*EU124*VLOOKUP('Données projet'!$B$15,Paramètres!$A$1:$I$89,3,0)*0.475*44/12</f>
        <v>6.9287131827998227E-6</v>
      </c>
      <c r="EY124" s="22">
        <f t="shared" si="75"/>
        <v>110.35338879722049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69.187758439788126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3.4106051316484809E-13</v>
      </c>
      <c r="FF124" s="17">
        <f>FE124*VLOOKUP('Données projet'!$B$16,Paramètres!$A$1:$I$89,3,0)*VLOOKUP('Données projet'!$B$16,Paramètres!$A$1:$I$89,5,0)</f>
        <v>1.5074874681886286E-13</v>
      </c>
      <c r="FG124" s="13">
        <f t="shared" si="101"/>
        <v>2.1590218794584103E-12</v>
      </c>
      <c r="FH124" s="20">
        <f t="shared" si="76"/>
        <v>4.0228505074329168E-12</v>
      </c>
      <c r="FI124" s="59">
        <f t="shared" si="77"/>
        <v>290.35511427922717</v>
      </c>
      <c r="FJ124" s="59">
        <f ca="1">AVERAGE(OFFSET($FI$3,0,0,'Données projet'!$E$16+1,1))-AVERAGE(OFFSET($H$3,0,0,'Données projet'!$E$16+1,1))</f>
        <v>508.71179785154317</v>
      </c>
      <c r="FK124" s="59">
        <f t="shared" si="102"/>
        <v>422.73937290731442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123.3715987505559</v>
      </c>
      <c r="FR124" s="21">
        <f>EXP(-LN(2)/25)*FR123+(1-EXP(-LN(2)/25))/(LN(2)/25)*Calculateur!FM124*Calculateur!FO124*VLOOKUP('Données projet'!$B$16,Paramètres!$A$1:$I$89,3,0)*0.475*44/12</f>
        <v>21.834893704310726</v>
      </c>
      <c r="FS124" s="21">
        <f>EXP(-LN(2)/2)*FS123+(1-EXP(-LN(2)/2))/(LN(2)/2)*FM124*FP124*VLOOKUP('Données projet'!$B$16,Paramètres!$A$1:$I$89,3,0)*0.475*44/12</f>
        <v>2.9043495772376561E-5</v>
      </c>
      <c r="FT124" s="22">
        <f t="shared" si="78"/>
        <v>145.20652149836241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69.187758439788126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69.187758439788126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1.35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4.95</v>
      </c>
      <c r="H125" s="67">
        <f t="shared" si="56"/>
        <v>236.86666666666665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69.201849014957716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5.6843418860808015E-14</v>
      </c>
      <c r="O125" s="13">
        <f>N125*VLOOKUP('Données projet'!$B$9,Paramètres!$A$1:$I$89,3,0)*VLOOKUP('Données projet'!$B$9,Paramètres!$A$1:$I$89,5,0)</f>
        <v>5.1431925385259088E-14</v>
      </c>
      <c r="P125" s="13">
        <f t="shared" si="87"/>
        <v>8.3482866290946129E-13</v>
      </c>
      <c r="Q125" s="20">
        <f t="shared" si="107"/>
        <v>1.5435705246133045E-12</v>
      </c>
      <c r="R125" s="59">
        <f t="shared" si="55"/>
        <v>290.40677972151315</v>
      </c>
      <c r="S125" s="59">
        <f ca="1">AVERAGE(OFFSET($R$3,0,0,'Données projet'!$E$9+1,1))-AVERAGE(OFFSET($H$3,0,0,'Données projet'!$E$9+1,1))</f>
        <v>466.90449882701591</v>
      </c>
      <c r="T125" s="59">
        <f t="shared" si="88"/>
        <v>283.37641704892053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179.67281974115954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179.67281974115954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69.201849014957716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-4.5474735088646412E-13</v>
      </c>
      <c r="AJ125" s="13">
        <f>AI125*VLOOKUP('Données projet'!$B$10,Paramètres!$A$1:$I$89,3,0)*VLOOKUP('Données projet'!$B$10,Paramètres!$A$1:$I$89,5,0)</f>
        <v>-4.3273757910355926E-13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399.5572791581468</v>
      </c>
      <c r="AO125" s="59">
        <f t="shared" si="90"/>
        <v>246.34185986079777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125.73918071333624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125.73918071333624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69.201849014957716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5.6843418860808015E-14</v>
      </c>
      <c r="BE125" s="13">
        <f>BD125*VLOOKUP('Données projet'!$B$11,Paramètres!$A$1:$I$89,3,0)*VLOOKUP('Données projet'!$B$11,Paramètres!$A$1:$I$89,5,0)</f>
        <v>4.4337866711430253E-14</v>
      </c>
      <c r="BF125" s="13">
        <f t="shared" si="91"/>
        <v>7.3222115536967035E-13</v>
      </c>
      <c r="BG125" s="20">
        <f t="shared" si="61"/>
        <v>1.3525069634579169E-12</v>
      </c>
      <c r="BH125" s="59">
        <f t="shared" si="62"/>
        <v>290.40677972151298</v>
      </c>
      <c r="BI125" s="59">
        <f ca="1">AVERAGE(OFFSET($BH$3,0,0,'Données projet'!$E$11+1,1))-AVERAGE(OFFSET($H$3,0,0,'Données projet'!$E$11+1,1))</f>
        <v>294.23449029791681</v>
      </c>
      <c r="BJ125" s="59">
        <f t="shared" si="92"/>
        <v>288.64639202306159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32.934284259263237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32.934284259263237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69.201849014957716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-4.5474735088646412E-13</v>
      </c>
      <c r="BZ125" s="13">
        <f>BY125*VLOOKUP('Données projet'!$B$12,Paramètres!$A$1:$I$89,3,0)*VLOOKUP('Données projet'!$B$12,Paramètres!$A$1:$I$89,5,0)</f>
        <v>-4.8949004849418999E-13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445.38112098358147</v>
      </c>
      <c r="CE125" s="59">
        <f t="shared" si="94"/>
        <v>272.45883568548516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142.22956506918368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142.22956506918368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69.201849014957716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-4.5474735088646412E-13</v>
      </c>
      <c r="CU125" s="17">
        <f>CT125*VLOOKUP('Données projet'!$B$13,Paramètres!$A$1:$I$89,3,0)*VLOOKUP('Données projet'!$B$13,Paramètres!$A$1:$I$89,5,0)</f>
        <v>-4.8949004849418999E-13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445.38112098358147</v>
      </c>
      <c r="CZ125" s="59">
        <f t="shared" si="96"/>
        <v>272.45883568548516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142.22956506918368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142.22956506918368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69.201849014957716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-4.5474735088646412E-13</v>
      </c>
      <c r="DP125" s="17">
        <f>DO125*VLOOKUP('Données projet'!$B$14,Paramètres!$A$1:$I$89,3,0)*VLOOKUP('Données projet'!$B$14,Paramètres!$A$1:$I$89,5,0)</f>
        <v>-4.3983163777738812E-13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405.29179902613089</v>
      </c>
      <c r="DU125" s="59">
        <f t="shared" si="98"/>
        <v>249.61049717638238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127.8004787578172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127.8004787578172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69.201849014957716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-5.6843418860808015E-13</v>
      </c>
      <c r="EK125" s="17">
        <f>EJ125*VLOOKUP('Données projet'!$B$15,Paramètres!$A$1:$I$89,3,0)*VLOOKUP('Données projet'!$B$15,Paramètres!$A$1:$I$89,5,0)</f>
        <v>-3.39923644787632E-13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444.77624981561257</v>
      </c>
      <c r="EP125" s="59">
        <f t="shared" si="100"/>
        <v>382.10319641527587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95.123985402716158</v>
      </c>
      <c r="EW125" s="21">
        <f>EXP(-LN(2)/25)*EW124+(1-EXP(-LN(2)/25))/(LN(2)/25)*Calculateur!ER125*Calculateur!ET125*VLOOKUP('Données projet'!$B$15,Paramètres!$A$1:$I$89,3,0)*0.475*44/12</f>
        <v>12.962342609984535</v>
      </c>
      <c r="EX125" s="21">
        <f>EXP(-LN(2)/2)*EX124+(1-EXP(-LN(2)/2))/(LN(2)/2)*ER125*EU125*VLOOKUP('Données projet'!$B$15,Paramètres!$A$1:$I$89,3,0)*0.475*44/12</f>
        <v>4.8993400764543814E-6</v>
      </c>
      <c r="EY125" s="22">
        <f t="shared" si="75"/>
        <v>108.08633291204076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69.201849014957716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3.4106051316484809E-13</v>
      </c>
      <c r="FF125" s="17">
        <f>FE125*VLOOKUP('Données projet'!$B$16,Paramètres!$A$1:$I$89,3,0)*VLOOKUP('Données projet'!$B$16,Paramètres!$A$1:$I$89,5,0)</f>
        <v>1.5074874681886286E-13</v>
      </c>
      <c r="FG125" s="13">
        <f t="shared" si="101"/>
        <v>2.1590218794584103E-12</v>
      </c>
      <c r="FH125" s="20">
        <f t="shared" si="76"/>
        <v>4.0228505074329168E-12</v>
      </c>
      <c r="FI125" s="59">
        <f t="shared" si="77"/>
        <v>290.40677972151565</v>
      </c>
      <c r="FJ125" s="59">
        <f ca="1">AVERAGE(OFFSET($FI$3,0,0,'Données projet'!$E$16+1,1))-AVERAGE(OFFSET($H$3,0,0,'Données projet'!$E$16+1,1))</f>
        <v>508.71179785154317</v>
      </c>
      <c r="FK125" s="59">
        <f t="shared" si="102"/>
        <v>422.73937290731442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120.95235694830249</v>
      </c>
      <c r="FR125" s="21">
        <f>EXP(-LN(2)/25)*FR124+(1-EXP(-LN(2)/25))/(LN(2)/25)*Calculateur!FM125*Calculateur!FO125*VLOOKUP('Données projet'!$B$16,Paramètres!$A$1:$I$89,3,0)*0.475*44/12</f>
        <v>21.237817387719193</v>
      </c>
      <c r="FS125" s="21">
        <f>EXP(-LN(2)/2)*FS124+(1-EXP(-LN(2)/2))/(LN(2)/2)*FM125*FP125*VLOOKUP('Données projet'!$B$16,Paramètres!$A$1:$I$89,3,0)*0.475*44/12</f>
        <v>2.0536852810010291E-5</v>
      </c>
      <c r="FT125" s="22">
        <f t="shared" si="78"/>
        <v>142.19019487287451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69.201849014957716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69.201849014957716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1.35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4.95</v>
      </c>
      <c r="H126" s="67">
        <f t="shared" si="56"/>
        <v>236.86666666666665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69.215695150149912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5.6843418860808015E-14</v>
      </c>
      <c r="O126" s="13">
        <f>N126*VLOOKUP('Données projet'!$B$9,Paramètres!$A$1:$I$89,3,0)*VLOOKUP('Données projet'!$B$9,Paramètres!$A$1:$I$89,5,0)</f>
        <v>5.1431925385259088E-14</v>
      </c>
      <c r="P126" s="13">
        <f t="shared" si="87"/>
        <v>8.3482866290946129E-13</v>
      </c>
      <c r="Q126" s="20">
        <f t="shared" si="107"/>
        <v>1.5435705246133045E-12</v>
      </c>
      <c r="R126" s="59">
        <f t="shared" si="55"/>
        <v>290.45754888388456</v>
      </c>
      <c r="S126" s="59">
        <f ca="1">AVERAGE(OFFSET($R$3,0,0,'Données projet'!$E$9+1,1))-AVERAGE(OFFSET($H$3,0,0,'Données projet'!$E$9+1,1))</f>
        <v>466.90449882701591</v>
      </c>
      <c r="T126" s="59">
        <f t="shared" si="88"/>
        <v>283.37641704892053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176.14954533563437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176.14954533563437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69.215695150149912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-4.5474735088646412E-13</v>
      </c>
      <c r="AJ126" s="13">
        <f>AI126*VLOOKUP('Données projet'!$B$10,Paramètres!$A$1:$I$89,3,0)*VLOOKUP('Données projet'!$B$10,Paramètres!$A$1:$I$89,5,0)</f>
        <v>-4.3273757910355926E-13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399.5572791581468</v>
      </c>
      <c r="AO126" s="59">
        <f t="shared" si="90"/>
        <v>246.34185986079777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123.27351207287511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123.27351207287511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69.215695150149912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5.6843418860808015E-14</v>
      </c>
      <c r="BE126" s="13">
        <f>BD126*VLOOKUP('Données projet'!$B$11,Paramètres!$A$1:$I$89,3,0)*VLOOKUP('Données projet'!$B$11,Paramètres!$A$1:$I$89,5,0)</f>
        <v>4.4337866711430253E-14</v>
      </c>
      <c r="BF126" s="13">
        <f t="shared" si="91"/>
        <v>7.3222115536967035E-13</v>
      </c>
      <c r="BG126" s="20">
        <f t="shared" si="61"/>
        <v>1.3525069634579169E-12</v>
      </c>
      <c r="BH126" s="59">
        <f t="shared" si="62"/>
        <v>290.45754888388439</v>
      </c>
      <c r="BI126" s="59">
        <f ca="1">AVERAGE(OFFSET($BH$3,0,0,'Données projet'!$E$11+1,1))-AVERAGE(OFFSET($H$3,0,0,'Données projet'!$E$11+1,1))</f>
        <v>294.23449029791681</v>
      </c>
      <c r="BJ126" s="59">
        <f t="shared" si="92"/>
        <v>288.64639202306159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32.288463032868961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32.288463032868961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69.215695150149912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-4.5474735088646412E-13</v>
      </c>
      <c r="BZ126" s="13">
        <f>BY126*VLOOKUP('Données projet'!$B$12,Paramètres!$A$1:$I$89,3,0)*VLOOKUP('Données projet'!$B$12,Paramètres!$A$1:$I$89,5,0)</f>
        <v>-4.8949004849418999E-13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445.38112098358147</v>
      </c>
      <c r="CE126" s="59">
        <f t="shared" si="94"/>
        <v>272.45883568548516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139.44053004964567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139.44053004964567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69.215695150149912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-4.5474735088646412E-13</v>
      </c>
      <c r="CU126" s="17">
        <f>CT126*VLOOKUP('Données projet'!$B$13,Paramètres!$A$1:$I$89,3,0)*VLOOKUP('Données projet'!$B$13,Paramètres!$A$1:$I$89,5,0)</f>
        <v>-4.8949004849418999E-13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445.38112098358147</v>
      </c>
      <c r="CZ126" s="59">
        <f t="shared" si="96"/>
        <v>272.45883568548516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139.44053004964567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139.44053004964567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69.215695150149912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-4.5474735088646412E-13</v>
      </c>
      <c r="DP126" s="17">
        <f>DO126*VLOOKUP('Données projet'!$B$14,Paramètres!$A$1:$I$89,3,0)*VLOOKUP('Données projet'!$B$14,Paramètres!$A$1:$I$89,5,0)</f>
        <v>-4.3983163777738812E-13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405.29179902613089</v>
      </c>
      <c r="DU126" s="59">
        <f t="shared" si="98"/>
        <v>249.61049717638238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125.29438931997147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125.29438931997147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69.215695150149912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-5.6843418860808015E-13</v>
      </c>
      <c r="EK126" s="17">
        <f>EJ126*VLOOKUP('Données projet'!$B$15,Paramètres!$A$1:$I$89,3,0)*VLOOKUP('Données projet'!$B$15,Paramètres!$A$1:$I$89,5,0)</f>
        <v>-3.39923644787632E-13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444.77624981561257</v>
      </c>
      <c r="EP126" s="59">
        <f t="shared" si="100"/>
        <v>382.10319641527587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93.258662068871004</v>
      </c>
      <c r="EW126" s="21">
        <f>EXP(-LN(2)/25)*EW125+(1-EXP(-LN(2)/25))/(LN(2)/25)*Calculateur!ER126*Calculateur!ET126*VLOOKUP('Données projet'!$B$15,Paramètres!$A$1:$I$89,3,0)*0.475*44/12</f>
        <v>12.607886669654537</v>
      </c>
      <c r="EX126" s="21">
        <f>EXP(-LN(2)/2)*EX125+(1-EXP(-LN(2)/2))/(LN(2)/2)*ER126*EU126*VLOOKUP('Données projet'!$B$15,Paramètres!$A$1:$I$89,3,0)*0.475*44/12</f>
        <v>3.4643565913999114E-6</v>
      </c>
      <c r="EY126" s="22">
        <f t="shared" si="75"/>
        <v>105.86655220288213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69.215695150149912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3.4106051316484809E-13</v>
      </c>
      <c r="FF126" s="17">
        <f>FE126*VLOOKUP('Données projet'!$B$16,Paramètres!$A$1:$I$89,3,0)*VLOOKUP('Données projet'!$B$16,Paramètres!$A$1:$I$89,5,0)</f>
        <v>1.5074874681886286E-13</v>
      </c>
      <c r="FG126" s="13">
        <f t="shared" si="101"/>
        <v>2.1590218794584103E-12</v>
      </c>
      <c r="FH126" s="20">
        <f t="shared" si="76"/>
        <v>4.0228505074329168E-12</v>
      </c>
      <c r="FI126" s="59">
        <f t="shared" si="77"/>
        <v>290.45754888388706</v>
      </c>
      <c r="FJ126" s="59">
        <f ca="1">AVERAGE(OFFSET($FI$3,0,0,'Données projet'!$E$16+1,1))-AVERAGE(OFFSET($H$3,0,0,'Données projet'!$E$16+1,1))</f>
        <v>508.71179785154317</v>
      </c>
      <c r="FK126" s="59">
        <f t="shared" si="102"/>
        <v>422.73937290731442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118.58055500219947</v>
      </c>
      <c r="FR126" s="21">
        <f>EXP(-LN(2)/25)*FR125+(1-EXP(-LN(2)/25))/(LN(2)/25)*Calculateur!FM126*Calculateur!FO126*VLOOKUP('Données projet'!$B$16,Paramètres!$A$1:$I$89,3,0)*0.475*44/12</f>
        <v>20.657068154403735</v>
      </c>
      <c r="FS126" s="21">
        <f>EXP(-LN(2)/2)*FS125+(1-EXP(-LN(2)/2))/(LN(2)/2)*FM126*FP126*VLOOKUP('Données projet'!$B$16,Paramètres!$A$1:$I$89,3,0)*0.475*44/12</f>
        <v>1.4521747886188281E-5</v>
      </c>
      <c r="FT126" s="22">
        <f t="shared" si="78"/>
        <v>139.23763767835109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69.215695150149912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69.215695150149912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1.35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4.95</v>
      </c>
      <c r="H127" s="67">
        <f t="shared" si="56"/>
        <v>236.86666666666665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69.229301085851858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5.6843418860808015E-14</v>
      </c>
      <c r="O127" s="13">
        <f>N127*VLOOKUP('Données projet'!$B$9,Paramètres!$A$1:$I$89,3,0)*VLOOKUP('Données projet'!$B$9,Paramètres!$A$1:$I$89,5,0)</f>
        <v>5.1431925385259088E-14</v>
      </c>
      <c r="P127" s="13">
        <f t="shared" si="87"/>
        <v>8.3482866290946129E-13</v>
      </c>
      <c r="Q127" s="20">
        <f t="shared" si="107"/>
        <v>1.5435705246133045E-12</v>
      </c>
      <c r="R127" s="59">
        <f t="shared" si="55"/>
        <v>290.50743731479167</v>
      </c>
      <c r="S127" s="59">
        <f ca="1">AVERAGE(OFFSET($R$3,0,0,'Données projet'!$E$9+1,1))-AVERAGE(OFFSET($H$3,0,0,'Données projet'!$E$9+1,1))</f>
        <v>466.90449882701591</v>
      </c>
      <c r="T127" s="59">
        <f t="shared" si="88"/>
        <v>283.37641704892053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172.69536019221636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172.69536019221636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69.229301085851858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-4.5474735088646412E-13</v>
      </c>
      <c r="AJ127" s="13">
        <f>AI127*VLOOKUP('Données projet'!$B$10,Paramètres!$A$1:$I$89,3,0)*VLOOKUP('Données projet'!$B$10,Paramètres!$A$1:$I$89,5,0)</f>
        <v>-4.3273757910355926E-13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399.5572791581468</v>
      </c>
      <c r="AO127" s="59">
        <f t="shared" si="90"/>
        <v>246.34185986079777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120.85619369054405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120.85619369054405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69.229301085851858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5.6843418860808015E-14</v>
      </c>
      <c r="BE127" s="13">
        <f>BD127*VLOOKUP('Données projet'!$B$11,Paramètres!$A$1:$I$89,3,0)*VLOOKUP('Données projet'!$B$11,Paramètres!$A$1:$I$89,5,0)</f>
        <v>4.4337866711430253E-14</v>
      </c>
      <c r="BF127" s="13">
        <f t="shared" si="91"/>
        <v>7.3222115536967035E-13</v>
      </c>
      <c r="BG127" s="20">
        <f t="shared" si="61"/>
        <v>1.3525069634579169E-12</v>
      </c>
      <c r="BH127" s="59">
        <f t="shared" si="62"/>
        <v>290.5074373147915</v>
      </c>
      <c r="BI127" s="59">
        <f ca="1">AVERAGE(OFFSET($BH$3,0,0,'Données projet'!$E$11+1,1))-AVERAGE(OFFSET($H$3,0,0,'Données projet'!$E$11+1,1))</f>
        <v>294.23449029791681</v>
      </c>
      <c r="BJ127" s="59">
        <f t="shared" si="92"/>
        <v>288.64639202306159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31.655305966812229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31.655305966812229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69.229301085851858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-4.5474735088646412E-13</v>
      </c>
      <c r="BZ127" s="13">
        <f>BY127*VLOOKUP('Données projet'!$B$12,Paramètres!$A$1:$I$89,3,0)*VLOOKUP('Données projet'!$B$12,Paramètres!$A$1:$I$89,5,0)</f>
        <v>-4.8949004849418999E-13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445.38112098358147</v>
      </c>
      <c r="CE127" s="59">
        <f t="shared" si="94"/>
        <v>272.45883568548516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136.70618630569743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136.70618630569743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69.229301085851858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-4.5474735088646412E-13</v>
      </c>
      <c r="CU127" s="17">
        <f>CT127*VLOOKUP('Données projet'!$B$13,Paramètres!$A$1:$I$89,3,0)*VLOOKUP('Données projet'!$B$13,Paramètres!$A$1:$I$89,5,0)</f>
        <v>-4.8949004849418999E-13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445.38112098358147</v>
      </c>
      <c r="CZ127" s="59">
        <f t="shared" si="96"/>
        <v>272.45883568548516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136.70618630569743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136.70618630569743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69.229301085851858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-4.5474735088646412E-13</v>
      </c>
      <c r="DP127" s="17">
        <f>DO127*VLOOKUP('Données projet'!$B$14,Paramètres!$A$1:$I$89,3,0)*VLOOKUP('Données projet'!$B$14,Paramètres!$A$1:$I$89,5,0)</f>
        <v>-4.3983163777738812E-13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405.29179902613089</v>
      </c>
      <c r="DU127" s="59">
        <f t="shared" si="98"/>
        <v>249.61049717638238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122.83744276743826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122.83744276743826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69.229301085851858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-5.6843418860808015E-13</v>
      </c>
      <c r="EK127" s="17">
        <f>EJ127*VLOOKUP('Données projet'!$B$15,Paramètres!$A$1:$I$89,3,0)*VLOOKUP('Données projet'!$B$15,Paramètres!$A$1:$I$89,5,0)</f>
        <v>-3.39923644787632E-13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444.77624981561257</v>
      </c>
      <c r="EP127" s="59">
        <f t="shared" si="100"/>
        <v>382.10319641527587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91.429916587867652</v>
      </c>
      <c r="EW127" s="21">
        <f>EXP(-LN(2)/25)*EW126+(1-EXP(-LN(2)/25))/(LN(2)/25)*Calculateur!ER127*Calculateur!ET127*VLOOKUP('Données projet'!$B$15,Paramètres!$A$1:$I$89,3,0)*0.475*44/12</f>
        <v>12.26312334565289</v>
      </c>
      <c r="EX127" s="21">
        <f>EXP(-LN(2)/2)*EX126+(1-EXP(-LN(2)/2))/(LN(2)/2)*ER127*EU127*VLOOKUP('Données projet'!$B$15,Paramètres!$A$1:$I$89,3,0)*0.475*44/12</f>
        <v>2.4496700382271907E-6</v>
      </c>
      <c r="EY127" s="22">
        <f t="shared" si="75"/>
        <v>103.69304238319057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69.229301085851858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3.4106051316484809E-13</v>
      </c>
      <c r="FF127" s="17">
        <f>FE127*VLOOKUP('Données projet'!$B$16,Paramètres!$A$1:$I$89,3,0)*VLOOKUP('Données projet'!$B$16,Paramètres!$A$1:$I$89,5,0)</f>
        <v>1.5074874681886286E-13</v>
      </c>
      <c r="FG127" s="13">
        <f t="shared" si="101"/>
        <v>2.1590218794584103E-12</v>
      </c>
      <c r="FH127" s="20">
        <f t="shared" si="76"/>
        <v>4.0228505074329168E-12</v>
      </c>
      <c r="FI127" s="59">
        <f t="shared" si="77"/>
        <v>290.50743731479417</v>
      </c>
      <c r="FJ127" s="59">
        <f ca="1">AVERAGE(OFFSET($FI$3,0,0,'Données projet'!$E$16+1,1))-AVERAGE(OFFSET($H$3,0,0,'Données projet'!$E$16+1,1))</f>
        <v>508.71179785154317</v>
      </c>
      <c r="FK127" s="59">
        <f t="shared" si="102"/>
        <v>422.73937290731442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116.2552626456032</v>
      </c>
      <c r="FR127" s="21">
        <f>EXP(-LN(2)/25)*FR126+(1-EXP(-LN(2)/25))/(LN(2)/25)*Calculateur!FM127*Calculateur!FO127*VLOOKUP('Données projet'!$B$16,Paramètres!$A$1:$I$89,3,0)*0.475*44/12</f>
        <v>20.092199539413564</v>
      </c>
      <c r="FS127" s="21">
        <f>EXP(-LN(2)/2)*FS126+(1-EXP(-LN(2)/2))/(LN(2)/2)*FM127*FP127*VLOOKUP('Données projet'!$B$16,Paramètres!$A$1:$I$89,3,0)*0.475*44/12</f>
        <v>1.0268426405005145E-5</v>
      </c>
      <c r="FT127" s="22">
        <f t="shared" si="78"/>
        <v>136.34747245344315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69.229301085851858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69.229301085851858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1.35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4.95</v>
      </c>
      <c r="H128" s="67">
        <f t="shared" si="56"/>
        <v>236.86666666666665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69.242670988987683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5.6843418860808015E-14</v>
      </c>
      <c r="O128" s="13">
        <f>N128*VLOOKUP('Données projet'!$B$9,Paramètres!$A$1:$I$89,3,0)*VLOOKUP('Données projet'!$B$9,Paramètres!$A$1:$I$89,5,0)</f>
        <v>5.1431925385259088E-14</v>
      </c>
      <c r="P128" s="13">
        <f t="shared" si="87"/>
        <v>8.3482866290946129E-13</v>
      </c>
      <c r="Q128" s="20">
        <f t="shared" si="107"/>
        <v>1.5435705246133045E-12</v>
      </c>
      <c r="R128" s="59">
        <f t="shared" si="55"/>
        <v>290.55646029295639</v>
      </c>
      <c r="S128" s="59">
        <f ca="1">AVERAGE(OFFSET($R$3,0,0,'Données projet'!$E$9+1,1))-AVERAGE(OFFSET($H$3,0,0,'Données projet'!$E$9+1,1))</f>
        <v>466.90449882701591</v>
      </c>
      <c r="T128" s="59">
        <f t="shared" si="88"/>
        <v>283.37641704892053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169.30890951261586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169.30890951261586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69.242670988987683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-4.5474735088646412E-13</v>
      </c>
      <c r="AJ128" s="13">
        <f>AI128*VLOOKUP('Données projet'!$B$10,Paramètres!$A$1:$I$89,3,0)*VLOOKUP('Données projet'!$B$10,Paramètres!$A$1:$I$89,5,0)</f>
        <v>-4.3273757910355926E-13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399.5572791581468</v>
      </c>
      <c r="AO128" s="59">
        <f t="shared" si="90"/>
        <v>246.34185986079777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118.48627744727187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118.48627744727187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69.242670988987683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5.6843418860808015E-14</v>
      </c>
      <c r="BE128" s="13">
        <f>BD128*VLOOKUP('Données projet'!$B$11,Paramètres!$A$1:$I$89,3,0)*VLOOKUP('Données projet'!$B$11,Paramètres!$A$1:$I$89,5,0)</f>
        <v>4.4337866711430253E-14</v>
      </c>
      <c r="BF128" s="13">
        <f t="shared" si="91"/>
        <v>7.3222115536967035E-13</v>
      </c>
      <c r="BG128" s="20">
        <f t="shared" si="61"/>
        <v>1.3525069634579169E-12</v>
      </c>
      <c r="BH128" s="59">
        <f t="shared" si="62"/>
        <v>290.55646029295622</v>
      </c>
      <c r="BI128" s="59">
        <f ca="1">AVERAGE(OFFSET($BH$3,0,0,'Données projet'!$E$11+1,1))-AVERAGE(OFFSET($H$3,0,0,'Données projet'!$E$11+1,1))</f>
        <v>294.23449029791681</v>
      </c>
      <c r="BJ128" s="59">
        <f t="shared" si="92"/>
        <v>288.64639202306159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31.034564724633192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31.034564724633192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69.242670988987683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-4.5474735088646412E-13</v>
      </c>
      <c r="BZ128" s="13">
        <f>BY128*VLOOKUP('Données projet'!$B$12,Paramètres!$A$1:$I$89,3,0)*VLOOKUP('Données projet'!$B$12,Paramètres!$A$1:$I$89,5,0)</f>
        <v>-4.8949004849418999E-13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445.38112098358147</v>
      </c>
      <c r="CE128" s="59">
        <f t="shared" si="94"/>
        <v>272.45883568548516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134.02546137478302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134.02546137478302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69.242670988987683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-4.5474735088646412E-13</v>
      </c>
      <c r="CU128" s="17">
        <f>CT128*VLOOKUP('Données projet'!$B$13,Paramètres!$A$1:$I$89,3,0)*VLOOKUP('Données projet'!$B$13,Paramètres!$A$1:$I$89,5,0)</f>
        <v>-4.8949004849418999E-13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445.38112098358147</v>
      </c>
      <c r="CZ128" s="59">
        <f t="shared" si="96"/>
        <v>272.45883568548516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134.02546137478302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134.02546137478302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69.242670988987683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-4.5474735088646412E-13</v>
      </c>
      <c r="DP128" s="17">
        <f>DO128*VLOOKUP('Données projet'!$B$14,Paramètres!$A$1:$I$89,3,0)*VLOOKUP('Données projet'!$B$14,Paramètres!$A$1:$I$89,5,0)</f>
        <v>-4.3983163777738812E-13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405.29179902613089</v>
      </c>
      <c r="DU128" s="59">
        <f t="shared" si="98"/>
        <v>249.61049717638238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120.42867543821082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120.42867543821082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69.242670988987683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-5.6843418860808015E-13</v>
      </c>
      <c r="EK128" s="17">
        <f>EJ128*VLOOKUP('Données projet'!$B$15,Paramètres!$A$1:$I$89,3,0)*VLOOKUP('Données projet'!$B$15,Paramètres!$A$1:$I$89,5,0)</f>
        <v>-3.39923644787632E-13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444.77624981561257</v>
      </c>
      <c r="EP128" s="59">
        <f t="shared" si="100"/>
        <v>382.10319641527587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89.637031690322175</v>
      </c>
      <c r="EW128" s="21">
        <f>EXP(-LN(2)/25)*EW127+(1-EXP(-LN(2)/25))/(LN(2)/25)*Calculateur!ER128*Calculateur!ET128*VLOOKUP('Données projet'!$B$15,Paramètres!$A$1:$I$89,3,0)*0.475*44/12</f>
        <v>11.927787592876383</v>
      </c>
      <c r="EX128" s="21">
        <f>EXP(-LN(2)/2)*EX127+(1-EXP(-LN(2)/2))/(LN(2)/2)*ER128*EU128*VLOOKUP('Données projet'!$B$15,Paramètres!$A$1:$I$89,3,0)*0.475*44/12</f>
        <v>1.7321782956999557E-6</v>
      </c>
      <c r="EY128" s="22">
        <f t="shared" si="75"/>
        <v>101.56482101537685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69.242670988987683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3.4106051316484809E-13</v>
      </c>
      <c r="FF128" s="17">
        <f>FE128*VLOOKUP('Données projet'!$B$16,Paramètres!$A$1:$I$89,3,0)*VLOOKUP('Données projet'!$B$16,Paramètres!$A$1:$I$89,5,0)</f>
        <v>1.5074874681886286E-13</v>
      </c>
      <c r="FG128" s="13">
        <f t="shared" si="101"/>
        <v>2.1590218794584103E-12</v>
      </c>
      <c r="FH128" s="20">
        <f t="shared" si="76"/>
        <v>4.0228505074329168E-12</v>
      </c>
      <c r="FI128" s="59">
        <f t="shared" si="77"/>
        <v>290.55646029295889</v>
      </c>
      <c r="FJ128" s="59">
        <f ca="1">AVERAGE(OFFSET($FI$3,0,0,'Données projet'!$E$16+1,1))-AVERAGE(OFFSET($H$3,0,0,'Données projet'!$E$16+1,1))</f>
        <v>508.71179785154317</v>
      </c>
      <c r="FK128" s="59">
        <f t="shared" si="102"/>
        <v>422.73937290731442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113.97556785383148</v>
      </c>
      <c r="FR128" s="21">
        <f>EXP(-LN(2)/25)*FR127+(1-EXP(-LN(2)/25))/(LN(2)/25)*Calculateur!FM128*Calculateur!FO128*VLOOKUP('Données projet'!$B$16,Paramètres!$A$1:$I$89,3,0)*0.475*44/12</f>
        <v>19.542777286405446</v>
      </c>
      <c r="FS128" s="21">
        <f>EXP(-LN(2)/2)*FS127+(1-EXP(-LN(2)/2))/(LN(2)/2)*FM128*FP128*VLOOKUP('Données projet'!$B$16,Paramètres!$A$1:$I$89,3,0)*0.475*44/12</f>
        <v>7.2608739430941403E-6</v>
      </c>
      <c r="FT128" s="22">
        <f t="shared" si="78"/>
        <v>133.51835240111089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69.242670988987683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69.242670988987683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1.35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4.95</v>
      </c>
      <c r="H129" s="67">
        <f t="shared" si="56"/>
        <v>236.86666666666665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69.25580895419472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5.6843418860808015E-14</v>
      </c>
      <c r="O129" s="13">
        <f>N129*VLOOKUP('Données projet'!$B$9,Paramètres!$A$1:$I$89,3,0)*VLOOKUP('Données projet'!$B$9,Paramètres!$A$1:$I$89,5,0)</f>
        <v>5.1431925385259088E-14</v>
      </c>
      <c r="P129" s="13">
        <f t="shared" si="87"/>
        <v>8.3482866290946129E-13</v>
      </c>
      <c r="Q129" s="20">
        <f t="shared" si="107"/>
        <v>1.5435705246133045E-12</v>
      </c>
      <c r="R129" s="59">
        <f t="shared" si="55"/>
        <v>290.60463283204888</v>
      </c>
      <c r="S129" s="59">
        <f ca="1">AVERAGE(OFFSET($R$3,0,0,'Données projet'!$E$9+1,1))-AVERAGE(OFFSET($H$3,0,0,'Données projet'!$E$9+1,1))</f>
        <v>466.90449882701591</v>
      </c>
      <c r="T129" s="59">
        <f t="shared" si="88"/>
        <v>283.37641704892053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165.98886506531136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165.98886506531136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69.25580895419472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-4.5474735088646412E-13</v>
      </c>
      <c r="AJ129" s="13">
        <f>AI129*VLOOKUP('Données projet'!$B$10,Paramètres!$A$1:$I$89,3,0)*VLOOKUP('Données projet'!$B$10,Paramètres!$A$1:$I$89,5,0)</f>
        <v>-4.3273757910355926E-13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399.5572791581468</v>
      </c>
      <c r="AO129" s="59">
        <f t="shared" si="90"/>
        <v>246.34185986079777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116.16283381602409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116.16283381602409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69.25580895419472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5.6843418860808015E-14</v>
      </c>
      <c r="BE129" s="13">
        <f>BD129*VLOOKUP('Données projet'!$B$11,Paramètres!$A$1:$I$89,3,0)*VLOOKUP('Données projet'!$B$11,Paramètres!$A$1:$I$89,5,0)</f>
        <v>4.4337866711430253E-14</v>
      </c>
      <c r="BF129" s="13">
        <f t="shared" si="91"/>
        <v>7.3222115536967035E-13</v>
      </c>
      <c r="BG129" s="20">
        <f t="shared" si="61"/>
        <v>1.3525069634579169E-12</v>
      </c>
      <c r="BH129" s="59">
        <f t="shared" si="62"/>
        <v>290.60463283204871</v>
      </c>
      <c r="BI129" s="59">
        <f ca="1">AVERAGE(OFFSET($BH$3,0,0,'Données projet'!$E$11+1,1))-AVERAGE(OFFSET($H$3,0,0,'Données projet'!$E$11+1,1))</f>
        <v>294.23449029791681</v>
      </c>
      <c r="BJ129" s="59">
        <f t="shared" si="92"/>
        <v>288.64639202306159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30.425995839598514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30.425995839598514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69.25580895419472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-4.5474735088646412E-13</v>
      </c>
      <c r="BZ129" s="13">
        <f>BY129*VLOOKUP('Données projet'!$B$12,Paramètres!$A$1:$I$89,3,0)*VLOOKUP('Données projet'!$B$12,Paramètres!$A$1:$I$89,5,0)</f>
        <v>-4.8949004849418999E-13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445.38112098358147</v>
      </c>
      <c r="CE129" s="59">
        <f t="shared" si="94"/>
        <v>272.45883568548516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131.39730382468306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131.39730382468306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69.25580895419472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-4.5474735088646412E-13</v>
      </c>
      <c r="CU129" s="17">
        <f>CT129*VLOOKUP('Données projet'!$B$13,Paramètres!$A$1:$I$89,3,0)*VLOOKUP('Données projet'!$B$13,Paramètres!$A$1:$I$89,5,0)</f>
        <v>-4.8949004849418999E-13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445.38112098358147</v>
      </c>
      <c r="CZ129" s="59">
        <f t="shared" si="96"/>
        <v>272.45883568548516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131.39730382468306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131.39730382468306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69.25580895419472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-4.5474735088646412E-13</v>
      </c>
      <c r="DP129" s="17">
        <f>DO129*VLOOKUP('Données projet'!$B$14,Paramètres!$A$1:$I$89,3,0)*VLOOKUP('Données projet'!$B$14,Paramètres!$A$1:$I$89,5,0)</f>
        <v>-4.3983163777738812E-13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405.29179902613089</v>
      </c>
      <c r="DU129" s="59">
        <f t="shared" si="98"/>
        <v>249.61049717638238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118.06714256710652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118.06714256710652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69.25580895419472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-5.6843418860808015E-13</v>
      </c>
      <c r="EK129" s="17">
        <f>EJ129*VLOOKUP('Données projet'!$B$15,Paramètres!$A$1:$I$89,3,0)*VLOOKUP('Données projet'!$B$15,Paramètres!$A$1:$I$89,5,0)</f>
        <v>-3.39923644787632E-13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444.77624981561257</v>
      </c>
      <c r="EP129" s="59">
        <f t="shared" si="100"/>
        <v>382.10319641527587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87.879304172065758</v>
      </c>
      <c r="EW129" s="21">
        <f>EXP(-LN(2)/25)*EW128+(1-EXP(-LN(2)/25))/(LN(2)/25)*Calculateur!ER129*Calculateur!ET129*VLOOKUP('Données projet'!$B$15,Paramètres!$A$1:$I$89,3,0)*0.475*44/12</f>
        <v>11.601621613894091</v>
      </c>
      <c r="EX129" s="21">
        <f>EXP(-LN(2)/2)*EX128+(1-EXP(-LN(2)/2))/(LN(2)/2)*ER129*EU129*VLOOKUP('Données projet'!$B$15,Paramètres!$A$1:$I$89,3,0)*0.475*44/12</f>
        <v>1.2248350191135954E-6</v>
      </c>
      <c r="EY129" s="22">
        <f t="shared" si="75"/>
        <v>99.480927010794872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69.25580895419472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3.4106051316484809E-13</v>
      </c>
      <c r="FF129" s="17">
        <f>FE129*VLOOKUP('Données projet'!$B$16,Paramètres!$A$1:$I$89,3,0)*VLOOKUP('Données projet'!$B$16,Paramètres!$A$1:$I$89,5,0)</f>
        <v>1.5074874681886286E-13</v>
      </c>
      <c r="FG129" s="13">
        <f t="shared" si="101"/>
        <v>2.1590218794584103E-12</v>
      </c>
      <c r="FH129" s="20">
        <f t="shared" si="76"/>
        <v>4.0228505074329168E-12</v>
      </c>
      <c r="FI129" s="59">
        <f t="shared" si="77"/>
        <v>290.60463283205138</v>
      </c>
      <c r="FJ129" s="59">
        <f ca="1">AVERAGE(OFFSET($FI$3,0,0,'Données projet'!$E$16+1,1))-AVERAGE(OFFSET($H$3,0,0,'Données projet'!$E$16+1,1))</f>
        <v>508.71179785154317</v>
      </c>
      <c r="FK129" s="59">
        <f t="shared" si="102"/>
        <v>422.73937290731442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111.74057648644988</v>
      </c>
      <c r="FR129" s="21">
        <f>EXP(-LN(2)/25)*FR128+(1-EXP(-LN(2)/25))/(LN(2)/25)*Calculateur!FM129*Calculateur!FO129*VLOOKUP('Données projet'!$B$16,Paramètres!$A$1:$I$89,3,0)*0.475*44/12</f>
        <v>19.008379013798699</v>
      </c>
      <c r="FS129" s="21">
        <f>EXP(-LN(2)/2)*FS128+(1-EXP(-LN(2)/2))/(LN(2)/2)*FM129*FP129*VLOOKUP('Données projet'!$B$16,Paramètres!$A$1:$I$89,3,0)*0.475*44/12</f>
        <v>5.1342132025025727E-6</v>
      </c>
      <c r="FT129" s="22">
        <f t="shared" si="78"/>
        <v>130.74896063446178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69.25580895419472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69.25580895419472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1.35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4.95</v>
      </c>
      <c r="H130" s="67">
        <f t="shared" si="56"/>
        <v>236.86666666666665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69.268719005077514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5.6843418860808015E-14</v>
      </c>
      <c r="O130" s="13">
        <f>N130*VLOOKUP('Données projet'!$B$9,Paramètres!$A$1:$I$89,3,0)*VLOOKUP('Données projet'!$B$9,Paramètres!$A$1:$I$89,5,0)</f>
        <v>5.1431925385259088E-14</v>
      </c>
      <c r="P130" s="13">
        <f t="shared" si="87"/>
        <v>8.3482866290946129E-13</v>
      </c>
      <c r="Q130" s="20">
        <f t="shared" si="107"/>
        <v>1.5435705246133045E-12</v>
      </c>
      <c r="R130" s="59">
        <f t="shared" si="55"/>
        <v>290.65196968528574</v>
      </c>
      <c r="S130" s="59">
        <f ca="1">AVERAGE(OFFSET($R$3,0,0,'Données projet'!$E$9+1,1))-AVERAGE(OFFSET($H$3,0,0,'Données projet'!$E$9+1,1))</f>
        <v>466.90449882701591</v>
      </c>
      <c r="T130" s="59">
        <f t="shared" si="88"/>
        <v>283.37641704892053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162.73392466459134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162.73392466459134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69.268719005077514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-4.5474735088646412E-13</v>
      </c>
      <c r="AJ130" s="13">
        <f>AI130*VLOOKUP('Données projet'!$B$10,Paramètres!$A$1:$I$89,3,0)*VLOOKUP('Données projet'!$B$10,Paramètres!$A$1:$I$89,5,0)</f>
        <v>-4.3273757910355926E-13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399.5572791581468</v>
      </c>
      <c r="AO130" s="59">
        <f t="shared" si="90"/>
        <v>246.34185986079777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113.88495149722439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113.88495149722439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69.268719005077514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5.6843418860808015E-14</v>
      </c>
      <c r="BE130" s="13">
        <f>BD130*VLOOKUP('Données projet'!$B$11,Paramètres!$A$1:$I$89,3,0)*VLOOKUP('Données projet'!$B$11,Paramètres!$A$1:$I$89,5,0)</f>
        <v>4.4337866711430253E-14</v>
      </c>
      <c r="BF130" s="13">
        <f t="shared" si="91"/>
        <v>7.3222115536967035E-13</v>
      </c>
      <c r="BG130" s="20">
        <f t="shared" si="61"/>
        <v>1.3525069634579169E-12</v>
      </c>
      <c r="BH130" s="59">
        <f t="shared" si="62"/>
        <v>290.65196968528556</v>
      </c>
      <c r="BI130" s="59">
        <f ca="1">AVERAGE(OFFSET($BH$3,0,0,'Données projet'!$E$11+1,1))-AVERAGE(OFFSET($H$3,0,0,'Données projet'!$E$11+1,1))</f>
        <v>294.23449029791681</v>
      </c>
      <c r="BJ130" s="59">
        <f t="shared" si="92"/>
        <v>288.64639202306159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29.829360619208995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29.829360619208995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69.268719005077514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-4.5474735088646412E-13</v>
      </c>
      <c r="BZ130" s="13">
        <f>BY130*VLOOKUP('Données projet'!$B$12,Paramètres!$A$1:$I$89,3,0)*VLOOKUP('Données projet'!$B$12,Paramètres!$A$1:$I$89,5,0)</f>
        <v>-4.8949004849418999E-13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445.38112098358147</v>
      </c>
      <c r="CE130" s="59">
        <f t="shared" si="94"/>
        <v>272.45883568548516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128.82068284112276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128.82068284112276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69.268719005077514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-4.5474735088646412E-13</v>
      </c>
      <c r="CU130" s="17">
        <f>CT130*VLOOKUP('Données projet'!$B$13,Paramètres!$A$1:$I$89,3,0)*VLOOKUP('Données projet'!$B$13,Paramètres!$A$1:$I$89,5,0)</f>
        <v>-4.8949004849418999E-13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445.38112098358147</v>
      </c>
      <c r="CZ130" s="59">
        <f t="shared" si="96"/>
        <v>272.45883568548516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128.82068284112276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128.82068284112276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69.268719005077514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-4.5474735088646412E-13</v>
      </c>
      <c r="DP130" s="17">
        <f>DO130*VLOOKUP('Données projet'!$B$14,Paramètres!$A$1:$I$89,3,0)*VLOOKUP('Données projet'!$B$14,Paramètres!$A$1:$I$89,5,0)</f>
        <v>-4.3983163777738812E-13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405.29179902613089</v>
      </c>
      <c r="DU130" s="59">
        <f t="shared" si="98"/>
        <v>249.61049717638238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115.75191791521175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115.75191791521175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69.268719005077514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-5.6843418860808015E-13</v>
      </c>
      <c r="EK130" s="17">
        <f>EJ130*VLOOKUP('Données projet'!$B$15,Paramètres!$A$1:$I$89,3,0)*VLOOKUP('Données projet'!$B$15,Paramètres!$A$1:$I$89,5,0)</f>
        <v>-3.39923644787632E-13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444.77624981561257</v>
      </c>
      <c r="EP130" s="59">
        <f t="shared" si="100"/>
        <v>382.10319641527587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86.15604461833442</v>
      </c>
      <c r="EW130" s="21">
        <f>EXP(-LN(2)/25)*EW129+(1-EXP(-LN(2)/25))/(LN(2)/25)*Calculateur!ER130*Calculateur!ET130*VLOOKUP('Données projet'!$B$15,Paramètres!$A$1:$I$89,3,0)*0.475*44/12</f>
        <v>11.284374660759392</v>
      </c>
      <c r="EX130" s="21">
        <f>EXP(-LN(2)/2)*EX129+(1-EXP(-LN(2)/2))/(LN(2)/2)*ER130*EU130*VLOOKUP('Données projet'!$B$15,Paramètres!$A$1:$I$89,3,0)*0.475*44/12</f>
        <v>8.6608914784997784E-7</v>
      </c>
      <c r="EY130" s="22">
        <f t="shared" si="75"/>
        <v>97.440420145182969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69.268719005077514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3.4106051316484809E-13</v>
      </c>
      <c r="FF130" s="17">
        <f>FE130*VLOOKUP('Données projet'!$B$16,Paramètres!$A$1:$I$89,3,0)*VLOOKUP('Données projet'!$B$16,Paramètres!$A$1:$I$89,5,0)</f>
        <v>1.5074874681886286E-13</v>
      </c>
      <c r="FG130" s="13">
        <f t="shared" si="101"/>
        <v>2.1590218794584103E-12</v>
      </c>
      <c r="FH130" s="20">
        <f t="shared" si="76"/>
        <v>4.0228505074329168E-12</v>
      </c>
      <c r="FI130" s="59">
        <f t="shared" si="77"/>
        <v>290.65196968528824</v>
      </c>
      <c r="FJ130" s="59">
        <f ca="1">AVERAGE(OFFSET($FI$3,0,0,'Données projet'!$E$16+1,1))-AVERAGE(OFFSET($H$3,0,0,'Données projet'!$E$16+1,1))</f>
        <v>508.71179785154317</v>
      </c>
      <c r="FK130" s="59">
        <f t="shared" si="102"/>
        <v>422.73937290731442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109.54941193657251</v>
      </c>
      <c r="FR130" s="21">
        <f>EXP(-LN(2)/25)*FR129+(1-EXP(-LN(2)/25))/(LN(2)/25)*Calculateur!FM130*Calculateur!FO130*VLOOKUP('Données projet'!$B$16,Paramètres!$A$1:$I$89,3,0)*0.475*44/12</f>
        <v>18.488593890059164</v>
      </c>
      <c r="FS130" s="21">
        <f>EXP(-LN(2)/2)*FS129+(1-EXP(-LN(2)/2))/(LN(2)/2)*FM130*FP130*VLOOKUP('Données projet'!$B$16,Paramètres!$A$1:$I$89,3,0)*0.475*44/12</f>
        <v>3.6304369715470702E-6</v>
      </c>
      <c r="FT130" s="22">
        <f t="shared" si="78"/>
        <v>128.03800945706863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69.268719005077514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69.268719005077514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1.35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4.95</v>
      </c>
      <c r="H131" s="67">
        <f t="shared" si="56"/>
        <v>236.86666666666665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69.28140509544005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5.6843418860808015E-14</v>
      </c>
      <c r="O131" s="13">
        <f>N131*VLOOKUP('Données projet'!$B$9,Paramètres!$A$1:$I$89,3,0)*VLOOKUP('Données projet'!$B$9,Paramètres!$A$1:$I$89,5,0)</f>
        <v>5.1431925385259088E-14</v>
      </c>
      <c r="P131" s="13">
        <f t="shared" si="87"/>
        <v>8.3482866290946129E-13</v>
      </c>
      <c r="Q131" s="20">
        <f t="shared" ref="Q131:Q153" si="108">(O131+P131)*0.475*44/12</f>
        <v>1.5435705246133045E-12</v>
      </c>
      <c r="R131" s="59">
        <f t="shared" ref="R131:R194" si="109">Q131+(I131+J131)*44/12</f>
        <v>290.69848534994838</v>
      </c>
      <c r="S131" s="59">
        <f ca="1">AVERAGE(OFFSET($R$3,0,0,'Données projet'!$E$9+1,1))-AVERAGE(OFFSET($H$3,0,0,'Données projet'!$E$9+1,1))</f>
        <v>466.90449882701591</v>
      </c>
      <c r="T131" s="59">
        <f t="shared" si="88"/>
        <v>283.37641704892053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159.54281165981186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159.54281165981186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69.28140509544005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-4.5474735088646412E-13</v>
      </c>
      <c r="AJ131" s="13">
        <f>AI131*VLOOKUP('Données projet'!$B$10,Paramètres!$A$1:$I$89,3,0)*VLOOKUP('Données projet'!$B$10,Paramètres!$A$1:$I$89,5,0)</f>
        <v>-4.3273757910355926E-13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399.5572791581468</v>
      </c>
      <c r="AO131" s="59">
        <f t="shared" si="90"/>
        <v>246.34185986079777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111.65173706132533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111.65173706132533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69.28140509544005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5.6843418860808015E-14</v>
      </c>
      <c r="BE131" s="13">
        <f>BD131*VLOOKUP('Données projet'!$B$11,Paramètres!$A$1:$I$89,3,0)*VLOOKUP('Données projet'!$B$11,Paramètres!$A$1:$I$89,5,0)</f>
        <v>4.4337866711430253E-14</v>
      </c>
      <c r="BF131" s="13">
        <f t="shared" si="91"/>
        <v>7.3222115536967035E-13</v>
      </c>
      <c r="BG131" s="20">
        <f t="shared" si="61"/>
        <v>1.3525069634579169E-12</v>
      </c>
      <c r="BH131" s="59">
        <f t="shared" si="62"/>
        <v>290.69848534994821</v>
      </c>
      <c r="BI131" s="59">
        <f ca="1">AVERAGE(OFFSET($BH$3,0,0,'Données projet'!$E$11+1,1))-AVERAGE(OFFSET($H$3,0,0,'Données projet'!$E$11+1,1))</f>
        <v>294.23449029791681</v>
      </c>
      <c r="BJ131" s="59">
        <f t="shared" si="92"/>
        <v>288.64639202306159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29.244425051579764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29.244425051579764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69.28140509544005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-4.5474735088646412E-13</v>
      </c>
      <c r="BZ131" s="13">
        <f>BY131*VLOOKUP('Données projet'!$B$12,Paramètres!$A$1:$I$89,3,0)*VLOOKUP('Données projet'!$B$12,Paramètres!$A$1:$I$89,5,0)</f>
        <v>-4.8949004849418999E-13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445.38112098358147</v>
      </c>
      <c r="CE131" s="59">
        <f t="shared" si="94"/>
        <v>272.45883568548516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126.29458782346646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126.29458782346646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69.28140509544005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-4.5474735088646412E-13</v>
      </c>
      <c r="CU131" s="17">
        <f>CT131*VLOOKUP('Données projet'!$B$13,Paramètres!$A$1:$I$89,3,0)*VLOOKUP('Données projet'!$B$13,Paramètres!$A$1:$I$89,5,0)</f>
        <v>-4.8949004849418999E-13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445.38112098358147</v>
      </c>
      <c r="CZ131" s="59">
        <f t="shared" si="96"/>
        <v>272.45883568548516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126.29458782346646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126.29458782346646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69.28140509544005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-4.5474735088646412E-13</v>
      </c>
      <c r="DP131" s="17">
        <f>DO131*VLOOKUP('Données projet'!$B$14,Paramètres!$A$1:$I$89,3,0)*VLOOKUP('Données projet'!$B$14,Paramètres!$A$1:$I$89,5,0)</f>
        <v>-4.3983163777738812E-13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405.29179902613089</v>
      </c>
      <c r="DU131" s="59">
        <f t="shared" si="98"/>
        <v>249.61049717638238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113.48209340659304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113.48209340659304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69.28140509544005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-5.6843418860808015E-13</v>
      </c>
      <c r="EK131" s="17">
        <f>EJ131*VLOOKUP('Données projet'!$B$15,Paramètres!$A$1:$I$89,3,0)*VLOOKUP('Données projet'!$B$15,Paramètres!$A$1:$I$89,5,0)</f>
        <v>-3.39923644787632E-13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444.77624981561257</v>
      </c>
      <c r="EP131" s="59">
        <f t="shared" si="100"/>
        <v>382.10319641527587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84.466577133367224</v>
      </c>
      <c r="EW131" s="21">
        <f>EXP(-LN(2)/25)*EW130+(1-EXP(-LN(2)/25))/(LN(2)/25)*Calculateur!ER131*Calculateur!ET131*VLOOKUP('Données projet'!$B$15,Paramètres!$A$1:$I$89,3,0)*0.475*44/12</f>
        <v>10.975802842241453</v>
      </c>
      <c r="EX131" s="21">
        <f>EXP(-LN(2)/2)*EX130+(1-EXP(-LN(2)/2))/(LN(2)/2)*ER131*EU131*VLOOKUP('Données projet'!$B$15,Paramètres!$A$1:$I$89,3,0)*0.475*44/12</f>
        <v>6.1241750955679768E-7</v>
      </c>
      <c r="EY131" s="22">
        <f t="shared" si="75"/>
        <v>95.442380588026182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69.28140509544005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3.4106051316484809E-13</v>
      </c>
      <c r="FF131" s="17">
        <f>FE131*VLOOKUP('Données projet'!$B$16,Paramètres!$A$1:$I$89,3,0)*VLOOKUP('Données projet'!$B$16,Paramètres!$A$1:$I$89,5,0)</f>
        <v>1.5074874681886286E-13</v>
      </c>
      <c r="FG131" s="13">
        <f t="shared" si="101"/>
        <v>2.1590218794584103E-12</v>
      </c>
      <c r="FH131" s="20">
        <f t="shared" si="76"/>
        <v>4.0228505074329168E-12</v>
      </c>
      <c r="FI131" s="59">
        <f t="shared" si="77"/>
        <v>290.69848534995089</v>
      </c>
      <c r="FJ131" s="59">
        <f ca="1">AVERAGE(OFFSET($FI$3,0,0,'Données projet'!$E$16+1,1))-AVERAGE(OFFSET($H$3,0,0,'Données projet'!$E$16+1,1))</f>
        <v>508.71179785154317</v>
      </c>
      <c r="FK131" s="59">
        <f t="shared" si="102"/>
        <v>422.73937290731442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107.40121478703982</v>
      </c>
      <c r="FR131" s="21">
        <f>EXP(-LN(2)/25)*FR130+(1-EXP(-LN(2)/25))/(LN(2)/25)*Calculateur!FM131*Calculateur!FO131*VLOOKUP('Données projet'!$B$16,Paramètres!$A$1:$I$89,3,0)*0.475*44/12</f>
        <v>17.983022317862599</v>
      </c>
      <c r="FS131" s="21">
        <f>EXP(-LN(2)/2)*FS130+(1-EXP(-LN(2)/2))/(LN(2)/2)*FM131*FP131*VLOOKUP('Données projet'!$B$16,Paramètres!$A$1:$I$89,3,0)*0.475*44/12</f>
        <v>2.5671066012512864E-6</v>
      </c>
      <c r="FT131" s="22">
        <f t="shared" si="78"/>
        <v>125.38423967200902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69.28140509544005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69.28140509544005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1.35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4.95</v>
      </c>
      <c r="H132" s="67">
        <f t="shared" ref="H132:H195" si="110">(B132+E132+F132)*44/12+(C132+D132)*0.475*44/12</f>
        <v>236.86666666666665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69.293871110496639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5.6843418860808015E-14</v>
      </c>
      <c r="O132" s="13">
        <f>N132*VLOOKUP('Données projet'!$B$9,Paramètres!$A$1:$I$89,3,0)*VLOOKUP('Données projet'!$B$9,Paramètres!$A$1:$I$89,5,0)</f>
        <v>5.1431925385259088E-14</v>
      </c>
      <c r="P132" s="13">
        <f t="shared" si="87"/>
        <v>8.3482866290946129E-13</v>
      </c>
      <c r="Q132" s="20">
        <f t="shared" si="108"/>
        <v>1.5435705246133045E-12</v>
      </c>
      <c r="R132" s="59">
        <f t="shared" si="109"/>
        <v>290.74419407182256</v>
      </c>
      <c r="S132" s="59">
        <f ca="1">AVERAGE(OFFSET($R$3,0,0,'Données projet'!$E$9+1,1))-AVERAGE(OFFSET($H$3,0,0,'Données projet'!$E$9+1,1))</f>
        <v>466.90449882701591</v>
      </c>
      <c r="T132" s="59">
        <f t="shared" si="88"/>
        <v>283.37641704892053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156.41427443466935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156.41427443466935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69.293871110496639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-4.5474735088646412E-13</v>
      </c>
      <c r="AJ132" s="13">
        <f>AI132*VLOOKUP('Données projet'!$B$10,Paramètres!$A$1:$I$89,3,0)*VLOOKUP('Données projet'!$B$10,Paramètres!$A$1:$I$89,5,0)</f>
        <v>-4.3273757910355926E-13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399.5572791581468</v>
      </c>
      <c r="AO132" s="59">
        <f t="shared" si="90"/>
        <v>246.34185986079777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109.46231459838795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109.46231459838795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69.293871110496639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5.6843418860808015E-14</v>
      </c>
      <c r="BE132" s="13">
        <f>BD132*VLOOKUP('Données projet'!$B$11,Paramètres!$A$1:$I$89,3,0)*VLOOKUP('Données projet'!$B$11,Paramètres!$A$1:$I$89,5,0)</f>
        <v>4.4337866711430253E-14</v>
      </c>
      <c r="BF132" s="13">
        <f t="shared" si="91"/>
        <v>7.3222115536967035E-13</v>
      </c>
      <c r="BG132" s="20">
        <f t="shared" ref="BG132:BG153" si="115">(BE132+BF132)*0.475*44/12</f>
        <v>1.3525069634579169E-12</v>
      </c>
      <c r="BH132" s="59">
        <f t="shared" ref="BH132:BH195" si="116">BG132+(AY132+AZ132)*44/12</f>
        <v>290.74419407182239</v>
      </c>
      <c r="BI132" s="59">
        <f ca="1">AVERAGE(OFFSET($BH$3,0,0,'Données projet'!$E$11+1,1))-AVERAGE(OFFSET($H$3,0,0,'Données projet'!$E$11+1,1))</f>
        <v>294.23449029791681</v>
      </c>
      <c r="BJ132" s="59">
        <f t="shared" si="92"/>
        <v>288.64639202306159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28.670959713656277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28.670959713656277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69.293871110496639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-4.5474735088646412E-13</v>
      </c>
      <c r="BZ132" s="13">
        <f>BY132*VLOOKUP('Données projet'!$B$12,Paramètres!$A$1:$I$89,3,0)*VLOOKUP('Données projet'!$B$12,Paramètres!$A$1:$I$89,5,0)</f>
        <v>-4.8949004849418999E-13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445.38112098358147</v>
      </c>
      <c r="CE132" s="59">
        <f t="shared" si="94"/>
        <v>272.45883568548516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123.81802798834056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123.81802798834056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69.293871110496639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-4.5474735088646412E-13</v>
      </c>
      <c r="CU132" s="17">
        <f>CT132*VLOOKUP('Données projet'!$B$13,Paramètres!$A$1:$I$89,3,0)*VLOOKUP('Données projet'!$B$13,Paramètres!$A$1:$I$89,5,0)</f>
        <v>-4.8949004849418999E-13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445.38112098358147</v>
      </c>
      <c r="CZ132" s="59">
        <f t="shared" si="96"/>
        <v>272.45883568548516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123.81802798834056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123.81802798834056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69.293871110496639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-4.5474735088646412E-13</v>
      </c>
      <c r="DP132" s="17">
        <f>DO132*VLOOKUP('Données projet'!$B$14,Paramètres!$A$1:$I$89,3,0)*VLOOKUP('Données projet'!$B$14,Paramètres!$A$1:$I$89,5,0)</f>
        <v>-4.3983163777738812E-13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405.29179902613089</v>
      </c>
      <c r="DU132" s="59">
        <f t="shared" si="98"/>
        <v>249.61049717638238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111.25677877213209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111.25677877213209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69.293871110496639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-5.6843418860808015E-13</v>
      </c>
      <c r="EK132" s="17">
        <f>EJ132*VLOOKUP('Données projet'!$B$15,Paramètres!$A$1:$I$89,3,0)*VLOOKUP('Données projet'!$B$15,Paramètres!$A$1:$I$89,5,0)</f>
        <v>-3.39923644787632E-13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444.77624981561257</v>
      </c>
      <c r="EP132" s="59">
        <f t="shared" si="100"/>
        <v>382.10319641527587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82.810239075306811</v>
      </c>
      <c r="EW132" s="21">
        <f>EXP(-LN(2)/25)*EW131+(1-EXP(-LN(2)/25))/(LN(2)/25)*Calculateur!ER132*Calculateur!ET132*VLOOKUP('Données projet'!$B$15,Paramètres!$A$1:$I$89,3,0)*0.475*44/12</f>
        <v>10.675668936327975</v>
      </c>
      <c r="EX132" s="21">
        <f>EXP(-LN(2)/2)*EX131+(1-EXP(-LN(2)/2))/(LN(2)/2)*ER132*EU132*VLOOKUP('Données projet'!$B$15,Paramètres!$A$1:$I$89,3,0)*0.475*44/12</f>
        <v>4.3304457392498892E-7</v>
      </c>
      <c r="EY132" s="22">
        <f t="shared" ref="EY132:EY153" si="129">SUM(EV132:EX132)</f>
        <v>93.485908444679367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69.293871110496639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3.4106051316484809E-13</v>
      </c>
      <c r="FF132" s="17">
        <f>FE132*VLOOKUP('Données projet'!$B$16,Paramètres!$A$1:$I$89,3,0)*VLOOKUP('Données projet'!$B$16,Paramètres!$A$1:$I$89,5,0)</f>
        <v>1.5074874681886286E-13</v>
      </c>
      <c r="FG132" s="13">
        <f t="shared" si="101"/>
        <v>2.1590218794584103E-12</v>
      </c>
      <c r="FH132" s="20">
        <f t="shared" ref="FH132:FH153" si="130">(FF132+FG132)*0.475*44/12</f>
        <v>4.0228505074329168E-12</v>
      </c>
      <c r="FI132" s="59">
        <f t="shared" ref="FI132:FI195" si="131">FH132+(EZ132+FA132)*44/12</f>
        <v>290.74419407182506</v>
      </c>
      <c r="FJ132" s="59">
        <f ca="1">AVERAGE(OFFSET($FI$3,0,0,'Données projet'!$E$16+1,1))-AVERAGE(OFFSET($H$3,0,0,'Données projet'!$E$16+1,1))</f>
        <v>508.71179785154317</v>
      </c>
      <c r="FK132" s="59">
        <f t="shared" si="102"/>
        <v>422.73937290731442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105.29514247333859</v>
      </c>
      <c r="FR132" s="21">
        <f>EXP(-LN(2)/25)*FR131+(1-EXP(-LN(2)/25))/(LN(2)/25)*Calculateur!FM132*Calculateur!FO132*VLOOKUP('Données projet'!$B$16,Paramètres!$A$1:$I$89,3,0)*0.475*44/12</f>
        <v>17.491275626894602</v>
      </c>
      <c r="FS132" s="21">
        <f>EXP(-LN(2)/2)*FS131+(1-EXP(-LN(2)/2))/(LN(2)/2)*FM132*FP132*VLOOKUP('Données projet'!$B$16,Paramètres!$A$1:$I$89,3,0)*0.475*44/12</f>
        <v>1.8152184857735351E-6</v>
      </c>
      <c r="FT132" s="22">
        <f t="shared" ref="FT132:FT153" si="132">SUM(FQ132:FS132)</f>
        <v>122.78641991545167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69.293871110496639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69.293871110496639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1.35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4.95</v>
      </c>
      <c r="H133" s="67">
        <f t="shared" si="110"/>
        <v>236.86666666666665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69.306120868061825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5.6843418860808015E-14</v>
      </c>
      <c r="O133" s="13">
        <f>N133*VLOOKUP('Données projet'!$B$9,Paramètres!$A$1:$I$89,3,0)*VLOOKUP('Données projet'!$B$9,Paramètres!$A$1:$I$89,5,0)</f>
        <v>5.1431925385259088E-14</v>
      </c>
      <c r="P133" s="13">
        <f t="shared" ref="P133:P196" si="141">EXP(-1.0587+0.8836*LN(O133)+0.284)</f>
        <v>8.3482866290946129E-13</v>
      </c>
      <c r="Q133" s="20">
        <f t="shared" si="108"/>
        <v>1.5435705246133045E-12</v>
      </c>
      <c r="R133" s="59">
        <f t="shared" si="109"/>
        <v>290.78910984956156</v>
      </c>
      <c r="S133" s="59">
        <f ca="1">AVERAGE(OFFSET($R$3,0,0,'Données projet'!$E$9+1,1))-AVERAGE(OFFSET($H$3,0,0,'Données projet'!$E$9+1,1))</f>
        <v>466.90449882701591</v>
      </c>
      <c r="T133" s="59">
        <f t="shared" ref="T133:T196" si="142">$T$3</f>
        <v>283.37641704892053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153.3470859162926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153.3470859162926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69.306120868061825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-4.5474735088646412E-13</v>
      </c>
      <c r="AJ133" s="13">
        <f>AI133*VLOOKUP('Données projet'!$B$10,Paramètres!$A$1:$I$89,3,0)*VLOOKUP('Données projet'!$B$10,Paramètres!$A$1:$I$89,5,0)</f>
        <v>-4.3273757910355926E-13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399.5572791581468</v>
      </c>
      <c r="AO133" s="59">
        <f t="shared" ref="AO133:AO196" si="144">$AO$3</f>
        <v>246.34185986079777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107.31582537453293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107.31582537453293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69.306120868061825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5.6843418860808015E-14</v>
      </c>
      <c r="BE133" s="13">
        <f>BD133*VLOOKUP('Données projet'!$B$11,Paramètres!$A$1:$I$89,3,0)*VLOOKUP('Données projet'!$B$11,Paramètres!$A$1:$I$89,5,0)</f>
        <v>4.4337866711430253E-14</v>
      </c>
      <c r="BF133" s="13">
        <f t="shared" ref="BF133:BF153" si="145">EXP(-1.0587+0.8836*LN(BE133)+0.284)</f>
        <v>7.3222115536967035E-13</v>
      </c>
      <c r="BG133" s="20">
        <f t="shared" si="115"/>
        <v>1.3525069634579169E-12</v>
      </c>
      <c r="BH133" s="59">
        <f t="shared" si="116"/>
        <v>290.78910984956138</v>
      </c>
      <c r="BI133" s="59">
        <f ca="1">AVERAGE(OFFSET($BH$3,0,0,'Données projet'!$E$11+1,1))-AVERAGE(OFFSET($H$3,0,0,'Données projet'!$E$11+1,1))</f>
        <v>294.23449029791681</v>
      </c>
      <c r="BJ133" s="59">
        <f t="shared" ref="BJ133:BJ196" si="146">$BJ$3</f>
        <v>288.64639202306159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28.108739681230151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28.108739681230151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69.306120868061825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-4.5474735088646412E-13</v>
      </c>
      <c r="BZ133" s="13">
        <f>BY133*VLOOKUP('Données projet'!$B$12,Paramètres!$A$1:$I$89,3,0)*VLOOKUP('Données projet'!$B$12,Paramètres!$A$1:$I$89,5,0)</f>
        <v>-4.8949004849418999E-13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445.38112098358147</v>
      </c>
      <c r="CE133" s="59">
        <f t="shared" ref="CE133:CE196" si="148">$CE$3</f>
        <v>272.45883568548516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121.39003198102914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121.39003198102914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69.306120868061825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-4.5474735088646412E-13</v>
      </c>
      <c r="CU133" s="17">
        <f>CT133*VLOOKUP('Données projet'!$B$13,Paramètres!$A$1:$I$89,3,0)*VLOOKUP('Données projet'!$B$13,Paramètres!$A$1:$I$89,5,0)</f>
        <v>-4.8949004849418999E-13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445.38112098358147</v>
      </c>
      <c r="CZ133" s="59">
        <f t="shared" ref="CZ133:CZ196" si="150">$CZ$3</f>
        <v>272.45883568548516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121.39003198102914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121.39003198102914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69.306120868061825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-4.5474735088646412E-13</v>
      </c>
      <c r="DP133" s="17">
        <f>DO133*VLOOKUP('Données projet'!$B$14,Paramètres!$A$1:$I$89,3,0)*VLOOKUP('Données projet'!$B$14,Paramètres!$A$1:$I$89,5,0)</f>
        <v>-4.3983163777738812E-13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405.29179902613089</v>
      </c>
      <c r="DU133" s="59">
        <f t="shared" ref="DU133:DU196" si="152">$DU$3</f>
        <v>249.61049717638238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109.07510120034502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109.07510120034502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69.306120868061825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-5.6843418860808015E-13</v>
      </c>
      <c r="EK133" s="17">
        <f>EJ133*VLOOKUP('Données projet'!$B$15,Paramètres!$A$1:$I$89,3,0)*VLOOKUP('Données projet'!$B$15,Paramètres!$A$1:$I$89,5,0)</f>
        <v>-3.39923644787632E-13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444.77624981561257</v>
      </c>
      <c r="EP133" s="59">
        <f t="shared" ref="EP133:EP196" si="154">$EP$3</f>
        <v>382.10319641527587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81.186380796298508</v>
      </c>
      <c r="EW133" s="21">
        <f>EXP(-LN(2)/25)*EW132+(1-EXP(-LN(2)/25))/(LN(2)/25)*Calculateur!ER133*Calculateur!ET133*VLOOKUP('Données projet'!$B$15,Paramètres!$A$1:$I$89,3,0)*0.475*44/12</f>
        <v>10.383742207855057</v>
      </c>
      <c r="EX133" s="21">
        <f>EXP(-LN(2)/2)*EX132+(1-EXP(-LN(2)/2))/(LN(2)/2)*ER133*EU133*VLOOKUP('Données projet'!$B$15,Paramètres!$A$1:$I$89,3,0)*0.475*44/12</f>
        <v>3.0620875477839884E-7</v>
      </c>
      <c r="EY133" s="22">
        <f t="shared" si="129"/>
        <v>91.570123310362334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69.306120868061825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3.4106051316484809E-13</v>
      </c>
      <c r="FF133" s="17">
        <f>FE133*VLOOKUP('Données projet'!$B$16,Paramètres!$A$1:$I$89,3,0)*VLOOKUP('Données projet'!$B$16,Paramètres!$A$1:$I$89,5,0)</f>
        <v>1.5074874681886286E-13</v>
      </c>
      <c r="FG133" s="13">
        <f t="shared" ref="FG133:FG153" si="155">EXP(-1.0587+0.8836*LN(FF133)+0.284)</f>
        <v>2.1590218794584103E-12</v>
      </c>
      <c r="FH133" s="20">
        <f t="shared" si="130"/>
        <v>4.0228505074329168E-12</v>
      </c>
      <c r="FI133" s="59">
        <f t="shared" si="131"/>
        <v>290.78910984956406</v>
      </c>
      <c r="FJ133" s="59">
        <f ca="1">AVERAGE(OFFSET($FI$3,0,0,'Données projet'!$E$16+1,1))-AVERAGE(OFFSET($H$3,0,0,'Données projet'!$E$16+1,1))</f>
        <v>508.71179785154317</v>
      </c>
      <c r="FK133" s="59">
        <f t="shared" ref="FK133:FK196" si="156">$FK$3</f>
        <v>422.73937290731442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103.23036895313176</v>
      </c>
      <c r="FR133" s="21">
        <f>EXP(-LN(2)/25)*FR132+(1-EXP(-LN(2)/25))/(LN(2)/25)*Calculateur!FM133*Calculateur!FO133*VLOOKUP('Données projet'!$B$16,Paramètres!$A$1:$I$89,3,0)*0.475*44/12</f>
        <v>17.012975775050961</v>
      </c>
      <c r="FS133" s="21">
        <f>EXP(-LN(2)/2)*FS132+(1-EXP(-LN(2)/2))/(LN(2)/2)*FM133*FP133*VLOOKUP('Données projet'!$B$16,Paramètres!$A$1:$I$89,3,0)*0.475*44/12</f>
        <v>1.2835533006256432E-6</v>
      </c>
      <c r="FT133" s="22">
        <f t="shared" si="132"/>
        <v>120.24334601173602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69.306120868061825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69.306120868061825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1.35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4.95</v>
      </c>
      <c r="H134" s="67">
        <f t="shared" si="110"/>
        <v>236.86666666666665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69.318158119719612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5.6843418860808015E-14</v>
      </c>
      <c r="O134" s="13">
        <f>N134*VLOOKUP('Données projet'!$B$9,Paramètres!$A$1:$I$89,3,0)*VLOOKUP('Données projet'!$B$9,Paramètres!$A$1:$I$89,5,0)</f>
        <v>5.1431925385259088E-14</v>
      </c>
      <c r="P134" s="13">
        <f t="shared" si="141"/>
        <v>8.3482866290946129E-13</v>
      </c>
      <c r="Q134" s="20">
        <f t="shared" si="108"/>
        <v>1.5435705246133045E-12</v>
      </c>
      <c r="R134" s="59">
        <f t="shared" si="109"/>
        <v>290.83324643897345</v>
      </c>
      <c r="S134" s="59">
        <f ca="1">AVERAGE(OFFSET($R$3,0,0,'Données projet'!$E$9+1,1))-AVERAGE(OFFSET($H$3,0,0,'Données projet'!$E$9+1,1))</f>
        <v>466.90449882701591</v>
      </c>
      <c r="T134" s="59">
        <f t="shared" si="142"/>
        <v>283.37641704892053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150.34004309396096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150.34004309396096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69.318158119719612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-4.5474735088646412E-13</v>
      </c>
      <c r="AJ134" s="13">
        <f>AI134*VLOOKUP('Données projet'!$B$10,Paramètres!$A$1:$I$89,3,0)*VLOOKUP('Données projet'!$B$10,Paramètres!$A$1:$I$89,5,0)</f>
        <v>-4.3273757910355926E-13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399.5572791581468</v>
      </c>
      <c r="AO134" s="59">
        <f t="shared" si="144"/>
        <v>246.34185986079777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105.21142749512856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105.21142749512856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69.318158119719612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5.6843418860808015E-14</v>
      </c>
      <c r="BE134" s="13">
        <f>BD134*VLOOKUP('Données projet'!$B$11,Paramètres!$A$1:$I$89,3,0)*VLOOKUP('Données projet'!$B$11,Paramètres!$A$1:$I$89,5,0)</f>
        <v>4.4337866711430253E-14</v>
      </c>
      <c r="BF134" s="13">
        <f t="shared" si="145"/>
        <v>7.3222115536967035E-13</v>
      </c>
      <c r="BG134" s="20">
        <f t="shared" si="115"/>
        <v>1.3525069634579169E-12</v>
      </c>
      <c r="BH134" s="59">
        <f t="shared" si="116"/>
        <v>290.83324643897328</v>
      </c>
      <c r="BI134" s="59">
        <f ca="1">AVERAGE(OFFSET($BH$3,0,0,'Données projet'!$E$11+1,1))-AVERAGE(OFFSET($H$3,0,0,'Données projet'!$E$11+1,1))</f>
        <v>294.23449029791681</v>
      </c>
      <c r="BJ134" s="59">
        <f t="shared" si="146"/>
        <v>288.64639202306159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27.557544440719543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27.557544440719543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69.318158119719612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-4.5474735088646412E-13</v>
      </c>
      <c r="BZ134" s="13">
        <f>BY134*VLOOKUP('Données projet'!$B$12,Paramètres!$A$1:$I$89,3,0)*VLOOKUP('Données projet'!$B$12,Paramètres!$A$1:$I$89,5,0)</f>
        <v>-4.8949004849418999E-13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445.38112098358147</v>
      </c>
      <c r="CE134" s="59">
        <f t="shared" si="148"/>
        <v>272.45883568548516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119.00964749448977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119.00964749448977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69.318158119719612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-4.5474735088646412E-13</v>
      </c>
      <c r="CU134" s="17">
        <f>CT134*VLOOKUP('Données projet'!$B$13,Paramètres!$A$1:$I$89,3,0)*VLOOKUP('Données projet'!$B$13,Paramètres!$A$1:$I$89,5,0)</f>
        <v>-4.8949004849418999E-13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445.38112098358147</v>
      </c>
      <c r="CZ134" s="59">
        <f t="shared" si="150"/>
        <v>272.45883568548516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119.00964749448977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119.00964749448977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69.318158119719612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-4.5474735088646412E-13</v>
      </c>
      <c r="DP134" s="17">
        <f>DO134*VLOOKUP('Données projet'!$B$14,Paramètres!$A$1:$I$89,3,0)*VLOOKUP('Données projet'!$B$14,Paramètres!$A$1:$I$89,5,0)</f>
        <v>-4.3983163777738812E-13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405.29179902613089</v>
      </c>
      <c r="DU134" s="59">
        <f t="shared" si="152"/>
        <v>249.61049717638238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106.93620499504877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106.93620499504877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69.318158119719612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-5.6843418860808015E-13</v>
      </c>
      <c r="EK134" s="17">
        <f>EJ134*VLOOKUP('Données projet'!$B$15,Paramètres!$A$1:$I$89,3,0)*VLOOKUP('Données projet'!$B$15,Paramètres!$A$1:$I$89,5,0)</f>
        <v>-3.39923644787632E-13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444.77624981561257</v>
      </c>
      <c r="EP134" s="59">
        <f t="shared" si="154"/>
        <v>382.10319641527587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79.594365387685798</v>
      </c>
      <c r="EW134" s="21">
        <f>EXP(-LN(2)/25)*EW133+(1-EXP(-LN(2)/25))/(LN(2)/25)*Calculateur!ER134*Calculateur!ET134*VLOOKUP('Données projet'!$B$15,Paramètres!$A$1:$I$89,3,0)*0.475*44/12</f>
        <v>10.099798231123991</v>
      </c>
      <c r="EX134" s="21">
        <f>EXP(-LN(2)/2)*EX133+(1-EXP(-LN(2)/2))/(LN(2)/2)*ER134*EU134*VLOOKUP('Données projet'!$B$15,Paramètres!$A$1:$I$89,3,0)*0.475*44/12</f>
        <v>2.1652228696249446E-7</v>
      </c>
      <c r="EY134" s="22">
        <f t="shared" si="129"/>
        <v>89.694163835332077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69.318158119719612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3.4106051316484809E-13</v>
      </c>
      <c r="FF134" s="17">
        <f>FE134*VLOOKUP('Données projet'!$B$16,Paramètres!$A$1:$I$89,3,0)*VLOOKUP('Données projet'!$B$16,Paramètres!$A$1:$I$89,5,0)</f>
        <v>1.5074874681886286E-13</v>
      </c>
      <c r="FG134" s="13">
        <f t="shared" si="155"/>
        <v>2.1590218794584103E-12</v>
      </c>
      <c r="FH134" s="20">
        <f t="shared" si="130"/>
        <v>4.0228505074329168E-12</v>
      </c>
      <c r="FI134" s="59">
        <f t="shared" si="131"/>
        <v>290.83324643897595</v>
      </c>
      <c r="FJ134" s="59">
        <f ca="1">AVERAGE(OFFSET($FI$3,0,0,'Données projet'!$E$16+1,1))-AVERAGE(OFFSET($H$3,0,0,'Données projet'!$E$16+1,1))</f>
        <v>508.71179785154317</v>
      </c>
      <c r="FK134" s="59">
        <f t="shared" si="156"/>
        <v>422.73937290731442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101.2060843822687</v>
      </c>
      <c r="FR134" s="21">
        <f>EXP(-LN(2)/25)*FR133+(1-EXP(-LN(2)/25))/(LN(2)/25)*Calculateur!FM134*Calculateur!FO134*VLOOKUP('Données projet'!$B$16,Paramètres!$A$1:$I$89,3,0)*0.475*44/12</f>
        <v>16.547755057808679</v>
      </c>
      <c r="FS134" s="21">
        <f>EXP(-LN(2)/2)*FS133+(1-EXP(-LN(2)/2))/(LN(2)/2)*FM134*FP134*VLOOKUP('Données projet'!$B$16,Paramètres!$A$1:$I$89,3,0)*0.475*44/12</f>
        <v>9.0760924288676754E-7</v>
      </c>
      <c r="FT134" s="22">
        <f t="shared" si="132"/>
        <v>117.75384034768662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69.318158119719612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69.318158119719612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1.35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4.95</v>
      </c>
      <c r="H135" s="67">
        <f t="shared" si="110"/>
        <v>236.86666666666665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69.329986551972397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5.6843418860808015E-14</v>
      </c>
      <c r="O135" s="13">
        <f>N135*VLOOKUP('Données projet'!$B$9,Paramètres!$A$1:$I$89,3,0)*VLOOKUP('Données projet'!$B$9,Paramètres!$A$1:$I$89,5,0)</f>
        <v>5.1431925385259088E-14</v>
      </c>
      <c r="P135" s="13">
        <f t="shared" si="141"/>
        <v>8.3482866290946129E-13</v>
      </c>
      <c r="Q135" s="20">
        <f t="shared" si="108"/>
        <v>1.5435705246133045E-12</v>
      </c>
      <c r="R135" s="59">
        <f t="shared" si="109"/>
        <v>290.87661735723367</v>
      </c>
      <c r="S135" s="59">
        <f ca="1">AVERAGE(OFFSET($R$3,0,0,'Données projet'!$E$9+1,1))-AVERAGE(OFFSET($H$3,0,0,'Données projet'!$E$9+1,1))</f>
        <v>466.90449882701591</v>
      </c>
      <c r="T135" s="59">
        <f t="shared" si="142"/>
        <v>283.37641704892053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147.39196654726021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147.39196654726021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69.329986551972397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-4.5474735088646412E-13</v>
      </c>
      <c r="AJ135" s="13">
        <f>AI135*VLOOKUP('Données projet'!$B$10,Paramètres!$A$1:$I$89,3,0)*VLOOKUP('Données projet'!$B$10,Paramètres!$A$1:$I$89,5,0)</f>
        <v>-4.3273757910355926E-13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399.5572791581468</v>
      </c>
      <c r="AO135" s="59">
        <f t="shared" si="144"/>
        <v>246.34185986079777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103.14829557458334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103.14829557458334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69.329986551972397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5.6843418860808015E-14</v>
      </c>
      <c r="BE135" s="13">
        <f>BD135*VLOOKUP('Données projet'!$B$11,Paramètres!$A$1:$I$89,3,0)*VLOOKUP('Données projet'!$B$11,Paramètres!$A$1:$I$89,5,0)</f>
        <v>4.4337866711430253E-14</v>
      </c>
      <c r="BF135" s="13">
        <f t="shared" si="145"/>
        <v>7.3222115536967035E-13</v>
      </c>
      <c r="BG135" s="20">
        <f t="shared" si="115"/>
        <v>1.3525069634579169E-12</v>
      </c>
      <c r="BH135" s="59">
        <f t="shared" si="116"/>
        <v>290.8766173572335</v>
      </c>
      <c r="BI135" s="59">
        <f ca="1">AVERAGE(OFFSET($BH$3,0,0,'Données projet'!$E$11+1,1))-AVERAGE(OFFSET($H$3,0,0,'Données projet'!$E$11+1,1))</f>
        <v>294.23449029791681</v>
      </c>
      <c r="BJ135" s="59">
        <f t="shared" si="146"/>
        <v>288.64639202306159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27.017157802679446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27.017157802679446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69.329986551972397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-4.5474735088646412E-13</v>
      </c>
      <c r="BZ135" s="13">
        <f>BY135*VLOOKUP('Données projet'!$B$12,Paramètres!$A$1:$I$89,3,0)*VLOOKUP('Données projet'!$B$12,Paramètres!$A$1:$I$89,5,0)</f>
        <v>-4.8949004849418999E-13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445.38112098358147</v>
      </c>
      <c r="CE135" s="59">
        <f t="shared" si="148"/>
        <v>272.45883568548516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116.67594089584026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116.67594089584026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69.329986551972397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-4.5474735088646412E-13</v>
      </c>
      <c r="CU135" s="17">
        <f>CT135*VLOOKUP('Données projet'!$B$13,Paramètres!$A$1:$I$89,3,0)*VLOOKUP('Données projet'!$B$13,Paramètres!$A$1:$I$89,5,0)</f>
        <v>-4.8949004849418999E-13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445.38112098358147</v>
      </c>
      <c r="CZ135" s="59">
        <f t="shared" si="150"/>
        <v>272.45883568548516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116.67594089584026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116.67594089584026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69.329986551972397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-4.5474735088646412E-13</v>
      </c>
      <c r="DP135" s="17">
        <f>DO135*VLOOKUP('Données projet'!$B$14,Paramètres!$A$1:$I$89,3,0)*VLOOKUP('Données projet'!$B$14,Paramètres!$A$1:$I$89,5,0)</f>
        <v>-4.3983163777738812E-13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405.29179902613089</v>
      </c>
      <c r="DU135" s="59">
        <f t="shared" si="152"/>
        <v>249.61049717638238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104.83925123974051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104.83925123974051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69.329986551972397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-5.6843418860808015E-13</v>
      </c>
      <c r="EK135" s="17">
        <f>EJ135*VLOOKUP('Données projet'!$B$15,Paramètres!$A$1:$I$89,3,0)*VLOOKUP('Données projet'!$B$15,Paramètres!$A$1:$I$89,5,0)</f>
        <v>-3.39923644787632E-13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444.77624981561257</v>
      </c>
      <c r="EP135" s="59">
        <f t="shared" si="154"/>
        <v>382.10319641527587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78.033568430202479</v>
      </c>
      <c r="EW135" s="21">
        <f>EXP(-LN(2)/25)*EW134+(1-EXP(-LN(2)/25))/(LN(2)/25)*Calculateur!ER135*Calculateur!ET135*VLOOKUP('Données projet'!$B$15,Paramètres!$A$1:$I$89,3,0)*0.475*44/12</f>
        <v>9.8236187173685998</v>
      </c>
      <c r="EX135" s="21">
        <f>EXP(-LN(2)/2)*EX134+(1-EXP(-LN(2)/2))/(LN(2)/2)*ER135*EU135*VLOOKUP('Données projet'!$B$15,Paramètres!$A$1:$I$89,3,0)*0.475*44/12</f>
        <v>1.5310437738919942E-7</v>
      </c>
      <c r="EY135" s="22">
        <f t="shared" si="129"/>
        <v>87.857187300675463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69.329986551972397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3.4106051316484809E-13</v>
      </c>
      <c r="FF135" s="17">
        <f>FE135*VLOOKUP('Données projet'!$B$16,Paramètres!$A$1:$I$89,3,0)*VLOOKUP('Données projet'!$B$16,Paramètres!$A$1:$I$89,5,0)</f>
        <v>1.5074874681886286E-13</v>
      </c>
      <c r="FG135" s="13">
        <f t="shared" si="155"/>
        <v>2.1590218794584103E-12</v>
      </c>
      <c r="FH135" s="20">
        <f t="shared" si="130"/>
        <v>4.0228505074329168E-12</v>
      </c>
      <c r="FI135" s="59">
        <f t="shared" si="131"/>
        <v>290.87661735723617</v>
      </c>
      <c r="FJ135" s="59">
        <f ca="1">AVERAGE(OFFSET($FI$3,0,0,'Données projet'!$E$16+1,1))-AVERAGE(OFFSET($H$3,0,0,'Données projet'!$E$16+1,1))</f>
        <v>508.71179785154317</v>
      </c>
      <c r="FK135" s="59">
        <f t="shared" si="156"/>
        <v>422.73937290731442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99.221494797148594</v>
      </c>
      <c r="FR135" s="21">
        <f>EXP(-LN(2)/25)*FR134+(1-EXP(-LN(2)/25))/(LN(2)/25)*Calculateur!FM135*Calculateur!FO135*VLOOKUP('Données projet'!$B$16,Paramètres!$A$1:$I$89,3,0)*0.475*44/12</f>
        <v>16.095255825544282</v>
      </c>
      <c r="FS135" s="21">
        <f>EXP(-LN(2)/2)*FS134+(1-EXP(-LN(2)/2))/(LN(2)/2)*FM135*FP135*VLOOKUP('Données projet'!$B$16,Paramètres!$A$1:$I$89,3,0)*0.475*44/12</f>
        <v>6.4177665031282159E-7</v>
      </c>
      <c r="FT135" s="22">
        <f t="shared" si="132"/>
        <v>115.31675126446953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69.329986551972397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69.329986551972397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1.35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4.95</v>
      </c>
      <c r="H136" s="67">
        <f t="shared" si="110"/>
        <v>236.86666666666665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69.341609787370004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5.6843418860808015E-14</v>
      </c>
      <c r="O136" s="13">
        <f>N136*VLOOKUP('Données projet'!$B$9,Paramètres!$A$1:$I$89,3,0)*VLOOKUP('Données projet'!$B$9,Paramètres!$A$1:$I$89,5,0)</f>
        <v>5.1431925385259088E-14</v>
      </c>
      <c r="P136" s="13">
        <f t="shared" si="141"/>
        <v>8.3482866290946129E-13</v>
      </c>
      <c r="Q136" s="20">
        <f t="shared" si="108"/>
        <v>1.5435705246133045E-12</v>
      </c>
      <c r="R136" s="59">
        <f t="shared" si="109"/>
        <v>290.91923588702491</v>
      </c>
      <c r="S136" s="59">
        <f ca="1">AVERAGE(OFFSET($R$3,0,0,'Données projet'!$E$9+1,1))-AVERAGE(OFFSET($H$3,0,0,'Données projet'!$E$9+1,1))</f>
        <v>466.90449882701591</v>
      </c>
      <c r="T136" s="59">
        <f t="shared" si="142"/>
        <v>283.37641704892053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144.50169998349114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144.50169998349114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69.341609787370004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-4.5474735088646412E-13</v>
      </c>
      <c r="AJ136" s="13">
        <f>AI136*VLOOKUP('Données projet'!$B$10,Paramètres!$A$1:$I$89,3,0)*VLOOKUP('Données projet'!$B$10,Paramètres!$A$1:$I$89,5,0)</f>
        <v>-4.3273757910355926E-13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399.5572791581468</v>
      </c>
      <c r="AO136" s="59">
        <f t="shared" si="144"/>
        <v>246.34185986079777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101.1256204126138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101.1256204126138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69.341609787370004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5.6843418860808015E-14</v>
      </c>
      <c r="BE136" s="13">
        <f>BD136*VLOOKUP('Données projet'!$B$11,Paramètres!$A$1:$I$89,3,0)*VLOOKUP('Données projet'!$B$11,Paramètres!$A$1:$I$89,5,0)</f>
        <v>4.4337866711430253E-14</v>
      </c>
      <c r="BF136" s="13">
        <f t="shared" si="145"/>
        <v>7.3222115536967035E-13</v>
      </c>
      <c r="BG136" s="20">
        <f t="shared" si="115"/>
        <v>1.3525069634579169E-12</v>
      </c>
      <c r="BH136" s="59">
        <f t="shared" si="116"/>
        <v>290.91923588702474</v>
      </c>
      <c r="BI136" s="59">
        <f ca="1">AVERAGE(OFFSET($BH$3,0,0,'Données projet'!$E$11+1,1))-AVERAGE(OFFSET($H$3,0,0,'Données projet'!$E$11+1,1))</f>
        <v>294.23449029791681</v>
      </c>
      <c r="BJ136" s="59">
        <f t="shared" si="146"/>
        <v>288.64639202306159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26.48736781700801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26.48736781700801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69.341609787370004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-4.5474735088646412E-13</v>
      </c>
      <c r="BZ136" s="13">
        <f>BY136*VLOOKUP('Données projet'!$B$12,Paramètres!$A$1:$I$89,3,0)*VLOOKUP('Données projet'!$B$12,Paramètres!$A$1:$I$89,5,0)</f>
        <v>-4.8949004849418999E-13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445.38112098358147</v>
      </c>
      <c r="CE136" s="59">
        <f t="shared" si="148"/>
        <v>272.45883568548516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114.38799686016979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114.38799686016979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69.341609787370004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-4.5474735088646412E-13</v>
      </c>
      <c r="CU136" s="17">
        <f>CT136*VLOOKUP('Données projet'!$B$13,Paramètres!$A$1:$I$89,3,0)*VLOOKUP('Données projet'!$B$13,Paramètres!$A$1:$I$89,5,0)</f>
        <v>-4.8949004849418999E-13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445.38112098358147</v>
      </c>
      <c r="CZ136" s="59">
        <f t="shared" si="150"/>
        <v>272.45883568548516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114.38799686016979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114.38799686016979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69.341609787370004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-4.5474735088646412E-13</v>
      </c>
      <c r="DP136" s="17">
        <f>DO136*VLOOKUP('Données projet'!$B$14,Paramètres!$A$1:$I$89,3,0)*VLOOKUP('Données projet'!$B$14,Paramètres!$A$1:$I$89,5,0)</f>
        <v>-4.3983163777738812E-13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405.29179902613089</v>
      </c>
      <c r="DU136" s="59">
        <f t="shared" si="152"/>
        <v>249.61049717638238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102.78341746855834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102.78341746855834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69.341609787370004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-5.6843418860808015E-13</v>
      </c>
      <c r="EK136" s="17">
        <f>EJ136*VLOOKUP('Données projet'!$B$15,Paramètres!$A$1:$I$89,3,0)*VLOOKUP('Données projet'!$B$15,Paramètres!$A$1:$I$89,5,0)</f>
        <v>-3.39923644787632E-13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444.77624981561257</v>
      </c>
      <c r="EP136" s="59">
        <f t="shared" si="154"/>
        <v>382.10319641527587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76.503377749063262</v>
      </c>
      <c r="EW136" s="21">
        <f>EXP(-LN(2)/25)*EW135+(1-EXP(-LN(2)/25))/(LN(2)/25)*Calculateur!ER136*Calculateur!ET136*VLOOKUP('Données projet'!$B$15,Paramètres!$A$1:$I$89,3,0)*0.475*44/12</f>
        <v>9.5549913469404988</v>
      </c>
      <c r="EX136" s="21">
        <f>EXP(-LN(2)/2)*EX135+(1-EXP(-LN(2)/2))/(LN(2)/2)*ER136*EU136*VLOOKUP('Données projet'!$B$15,Paramètres!$A$1:$I$89,3,0)*0.475*44/12</f>
        <v>1.0826114348124723E-7</v>
      </c>
      <c r="EY136" s="22">
        <f t="shared" si="129"/>
        <v>86.058369204264906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69.341609787370004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3.4106051316484809E-13</v>
      </c>
      <c r="FF136" s="17">
        <f>FE136*VLOOKUP('Données projet'!$B$16,Paramètres!$A$1:$I$89,3,0)*VLOOKUP('Données projet'!$B$16,Paramètres!$A$1:$I$89,5,0)</f>
        <v>1.5074874681886286E-13</v>
      </c>
      <c r="FG136" s="13">
        <f t="shared" si="155"/>
        <v>2.1590218794584103E-12</v>
      </c>
      <c r="FH136" s="20">
        <f t="shared" si="130"/>
        <v>4.0228505074329168E-12</v>
      </c>
      <c r="FI136" s="59">
        <f t="shared" si="131"/>
        <v>290.91923588702741</v>
      </c>
      <c r="FJ136" s="59">
        <f ca="1">AVERAGE(OFFSET($FI$3,0,0,'Données projet'!$E$16+1,1))-AVERAGE(OFFSET($H$3,0,0,'Données projet'!$E$16+1,1))</f>
        <v>508.71179785154317</v>
      </c>
      <c r="FK136" s="59">
        <f t="shared" si="156"/>
        <v>422.73937290731442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97.275821803312567</v>
      </c>
      <c r="FR136" s="21">
        <f>EXP(-LN(2)/25)*FR135+(1-EXP(-LN(2)/25))/(LN(2)/25)*Calculateur!FM136*Calculateur!FO136*VLOOKUP('Données projet'!$B$16,Paramètres!$A$1:$I$89,3,0)*0.475*44/12</f>
        <v>15.655130208582056</v>
      </c>
      <c r="FS136" s="21">
        <f>EXP(-LN(2)/2)*FS135+(1-EXP(-LN(2)/2))/(LN(2)/2)*FM136*FP136*VLOOKUP('Données projet'!$B$16,Paramètres!$A$1:$I$89,3,0)*0.475*44/12</f>
        <v>4.5380462144338377E-7</v>
      </c>
      <c r="FT136" s="22">
        <f t="shared" si="132"/>
        <v>112.93095246569924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69.341609787370004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69.341609787370004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1.35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4.95</v>
      </c>
      <c r="H137" s="67">
        <f t="shared" si="110"/>
        <v>236.86666666666665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69.353031385619133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5.6843418860808015E-14</v>
      </c>
      <c r="O137" s="13">
        <f>N137*VLOOKUP('Données projet'!$B$9,Paramètres!$A$1:$I$89,3,0)*VLOOKUP('Données projet'!$B$9,Paramètres!$A$1:$I$89,5,0)</f>
        <v>5.1431925385259088E-14</v>
      </c>
      <c r="P137" s="13">
        <f t="shared" si="141"/>
        <v>8.3482866290946129E-13</v>
      </c>
      <c r="Q137" s="20">
        <f t="shared" si="108"/>
        <v>1.5435705246133045E-12</v>
      </c>
      <c r="R137" s="59">
        <f t="shared" si="109"/>
        <v>290.96111508060505</v>
      </c>
      <c r="S137" s="59">
        <f ca="1">AVERAGE(OFFSET($R$3,0,0,'Données projet'!$E$9+1,1))-AVERAGE(OFFSET($H$3,0,0,'Données projet'!$E$9+1,1))</f>
        <v>466.90449882701591</v>
      </c>
      <c r="T137" s="59">
        <f t="shared" si="142"/>
        <v>283.37641704892053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141.66810978414904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141.66810978414904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69.353031385619133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-4.5474735088646412E-13</v>
      </c>
      <c r="AJ137" s="13">
        <f>AI137*VLOOKUP('Données projet'!$B$10,Paramètres!$A$1:$I$89,3,0)*VLOOKUP('Données projet'!$B$10,Paramètres!$A$1:$I$89,5,0)</f>
        <v>-4.3273757910355926E-13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399.5572791581468</v>
      </c>
      <c r="AO137" s="59">
        <f t="shared" si="144"/>
        <v>246.34185986079777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99.142608676860448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99.142608676860448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69.353031385619133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5.6843418860808015E-14</v>
      </c>
      <c r="BE137" s="13">
        <f>BD137*VLOOKUP('Données projet'!$B$11,Paramètres!$A$1:$I$89,3,0)*VLOOKUP('Données projet'!$B$11,Paramètres!$A$1:$I$89,5,0)</f>
        <v>4.4337866711430253E-14</v>
      </c>
      <c r="BF137" s="13">
        <f t="shared" si="145"/>
        <v>7.3222115536967035E-13</v>
      </c>
      <c r="BG137" s="20">
        <f t="shared" si="115"/>
        <v>1.3525069634579169E-12</v>
      </c>
      <c r="BH137" s="59">
        <f t="shared" si="116"/>
        <v>290.96111508060488</v>
      </c>
      <c r="BI137" s="59">
        <f ca="1">AVERAGE(OFFSET($BH$3,0,0,'Données projet'!$E$11+1,1))-AVERAGE(OFFSET($H$3,0,0,'Données projet'!$E$11+1,1))</f>
        <v>294.23449029791681</v>
      </c>
      <c r="BJ137" s="59">
        <f t="shared" si="146"/>
        <v>288.64639202306159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25.967966689815608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25.967966689815608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69.353031385619133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-4.5474735088646412E-13</v>
      </c>
      <c r="BZ137" s="13">
        <f>BY137*VLOOKUP('Données projet'!$B$12,Paramètres!$A$1:$I$89,3,0)*VLOOKUP('Données projet'!$B$12,Paramètres!$A$1:$I$89,5,0)</f>
        <v>-4.8949004849418999E-13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445.38112098358147</v>
      </c>
      <c r="CE137" s="59">
        <f t="shared" si="148"/>
        <v>272.45883568548516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112.14491801153075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112.14491801153075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69.353031385619133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-4.5474735088646412E-13</v>
      </c>
      <c r="CU137" s="17">
        <f>CT137*VLOOKUP('Données projet'!$B$13,Paramètres!$A$1:$I$89,3,0)*VLOOKUP('Données projet'!$B$13,Paramètres!$A$1:$I$89,5,0)</f>
        <v>-4.8949004849418999E-13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445.38112098358147</v>
      </c>
      <c r="CZ137" s="59">
        <f t="shared" si="150"/>
        <v>272.45883568548516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112.14491801153075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112.14491801153075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69.353031385619133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-4.5474735088646412E-13</v>
      </c>
      <c r="DP137" s="17">
        <f>DO137*VLOOKUP('Données projet'!$B$14,Paramètres!$A$1:$I$89,3,0)*VLOOKUP('Données projet'!$B$14,Paramètres!$A$1:$I$89,5,0)</f>
        <v>-4.3983163777738812E-13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405.29179902613089</v>
      </c>
      <c r="DU137" s="59">
        <f t="shared" si="152"/>
        <v>249.61049717638238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100.76789734369427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100.76789734369427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69.353031385619133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-5.6843418860808015E-13</v>
      </c>
      <c r="EK137" s="17">
        <f>EJ137*VLOOKUP('Données projet'!$B$15,Paramètres!$A$1:$I$89,3,0)*VLOOKUP('Données projet'!$B$15,Paramètres!$A$1:$I$89,5,0)</f>
        <v>-3.39923644787632E-13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444.77624981561257</v>
      </c>
      <c r="EP137" s="59">
        <f t="shared" si="154"/>
        <v>382.10319641527587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75.003193173857028</v>
      </c>
      <c r="EW137" s="21">
        <f>EXP(-LN(2)/25)*EW136+(1-EXP(-LN(2)/25))/(LN(2)/25)*Calculateur!ER137*Calculateur!ET137*VLOOKUP('Données projet'!$B$15,Paramètres!$A$1:$I$89,3,0)*0.475*44/12</f>
        <v>9.2937096060832545</v>
      </c>
      <c r="EX137" s="21">
        <f>EXP(-LN(2)/2)*EX136+(1-EXP(-LN(2)/2))/(LN(2)/2)*ER137*EU137*VLOOKUP('Données projet'!$B$15,Paramètres!$A$1:$I$89,3,0)*0.475*44/12</f>
        <v>7.655218869459971E-8</v>
      </c>
      <c r="EY137" s="22">
        <f t="shared" si="129"/>
        <v>84.296902856492466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69.353031385619133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3.4106051316484809E-13</v>
      </c>
      <c r="FF137" s="17">
        <f>FE137*VLOOKUP('Données projet'!$B$16,Paramètres!$A$1:$I$89,3,0)*VLOOKUP('Données projet'!$B$16,Paramètres!$A$1:$I$89,5,0)</f>
        <v>1.5074874681886286E-13</v>
      </c>
      <c r="FG137" s="13">
        <f t="shared" si="155"/>
        <v>2.1590218794584103E-12</v>
      </c>
      <c r="FH137" s="20">
        <f t="shared" si="130"/>
        <v>4.0228505074329168E-12</v>
      </c>
      <c r="FI137" s="59">
        <f t="shared" si="131"/>
        <v>290.96111508060756</v>
      </c>
      <c r="FJ137" s="59">
        <f ca="1">AVERAGE(OFFSET($FI$3,0,0,'Données projet'!$E$16+1,1))-AVERAGE(OFFSET($H$3,0,0,'Données projet'!$E$16+1,1))</f>
        <v>508.71179785154317</v>
      </c>
      <c r="FK137" s="59">
        <f t="shared" si="156"/>
        <v>422.73937290731442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95.368302270142323</v>
      </c>
      <c r="FR137" s="21">
        <f>EXP(-LN(2)/25)*FR136+(1-EXP(-LN(2)/25))/(LN(2)/25)*Calculateur!FM137*Calculateur!FO137*VLOOKUP('Données projet'!$B$16,Paramètres!$A$1:$I$89,3,0)*0.475*44/12</f>
        <v>15.227039849760862</v>
      </c>
      <c r="FS137" s="21">
        <f>EXP(-LN(2)/2)*FS136+(1-EXP(-LN(2)/2))/(LN(2)/2)*FM137*FP137*VLOOKUP('Données projet'!$B$16,Paramètres!$A$1:$I$89,3,0)*0.475*44/12</f>
        <v>3.208883251564108E-7</v>
      </c>
      <c r="FT137" s="22">
        <f t="shared" si="132"/>
        <v>110.5953424407915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69.353031385619133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69.353031385619133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1.35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4.95</v>
      </c>
      <c r="H138" s="67">
        <f t="shared" si="110"/>
        <v>236.86666666666665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69.364254844673511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5.6843418860808015E-14</v>
      </c>
      <c r="O138" s="13">
        <f>N138*VLOOKUP('Données projet'!$B$9,Paramètres!$A$1:$I$89,3,0)*VLOOKUP('Données projet'!$B$9,Paramètres!$A$1:$I$89,5,0)</f>
        <v>5.1431925385259088E-14</v>
      </c>
      <c r="P138" s="13">
        <f t="shared" si="141"/>
        <v>8.3482866290946129E-13</v>
      </c>
      <c r="Q138" s="20">
        <f t="shared" si="108"/>
        <v>1.5435705246133045E-12</v>
      </c>
      <c r="R138" s="59">
        <f t="shared" si="109"/>
        <v>291.00226776380441</v>
      </c>
      <c r="S138" s="59">
        <f ca="1">AVERAGE(OFFSET($R$3,0,0,'Données projet'!$E$9+1,1))-AVERAGE(OFFSET($H$3,0,0,'Données projet'!$E$9+1,1))</f>
        <v>466.90449882701591</v>
      </c>
      <c r="T138" s="59">
        <f t="shared" si="142"/>
        <v>283.37641704892053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138.89008456029666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138.89008456029666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69.364254844673511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-4.5474735088646412E-13</v>
      </c>
      <c r="AJ138" s="13">
        <f>AI138*VLOOKUP('Données projet'!$B$10,Paramètres!$A$1:$I$89,3,0)*VLOOKUP('Données projet'!$B$10,Paramètres!$A$1:$I$89,5,0)</f>
        <v>-4.3273757910355926E-13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399.5572791581468</v>
      </c>
      <c r="AO138" s="59">
        <f t="shared" si="144"/>
        <v>246.34185986079777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97.198482591727483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97.198482591727483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69.364254844673511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5.6843418860808015E-14</v>
      </c>
      <c r="BE138" s="13">
        <f>BD138*VLOOKUP('Données projet'!$B$11,Paramètres!$A$1:$I$89,3,0)*VLOOKUP('Données projet'!$B$11,Paramètres!$A$1:$I$89,5,0)</f>
        <v>4.4337866711430253E-14</v>
      </c>
      <c r="BF138" s="13">
        <f t="shared" si="145"/>
        <v>7.3222115536967035E-13</v>
      </c>
      <c r="BG138" s="20">
        <f t="shared" si="115"/>
        <v>1.3525069634579169E-12</v>
      </c>
      <c r="BH138" s="59">
        <f t="shared" si="116"/>
        <v>291.00226776380424</v>
      </c>
      <c r="BI138" s="59">
        <f ca="1">AVERAGE(OFFSET($BH$3,0,0,'Données projet'!$E$11+1,1))-AVERAGE(OFFSET($H$3,0,0,'Données projet'!$E$11+1,1))</f>
        <v>294.23449029791681</v>
      </c>
      <c r="BJ138" s="59">
        <f t="shared" si="146"/>
        <v>288.64639202306159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25.458750701924043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25.458750701924043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69.364254844673511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-4.5474735088646412E-13</v>
      </c>
      <c r="BZ138" s="13">
        <f>BY138*VLOOKUP('Données projet'!$B$12,Paramètres!$A$1:$I$89,3,0)*VLOOKUP('Données projet'!$B$12,Paramètres!$A$1:$I$89,5,0)</f>
        <v>-4.8949004849418999E-13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445.38112098358147</v>
      </c>
      <c r="CE138" s="59">
        <f t="shared" si="148"/>
        <v>272.45883568548516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109.94582457097052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109.94582457097052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69.364254844673511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-4.5474735088646412E-13</v>
      </c>
      <c r="CU138" s="17">
        <f>CT138*VLOOKUP('Données projet'!$B$13,Paramètres!$A$1:$I$89,3,0)*VLOOKUP('Données projet'!$B$13,Paramètres!$A$1:$I$89,5,0)</f>
        <v>-4.8949004849418999E-13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445.38112098358147</v>
      </c>
      <c r="CZ138" s="59">
        <f t="shared" si="150"/>
        <v>272.45883568548516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109.94582457097052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109.94582457097052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69.364254844673511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-4.5474735088646412E-13</v>
      </c>
      <c r="DP138" s="17">
        <f>DO138*VLOOKUP('Données projet'!$B$14,Paramètres!$A$1:$I$89,3,0)*VLOOKUP('Données projet'!$B$14,Paramètres!$A$1:$I$89,5,0)</f>
        <v>-4.3983163777738812E-13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405.29179902613089</v>
      </c>
      <c r="DU138" s="59">
        <f t="shared" si="152"/>
        <v>249.61049717638238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98.791900339132908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98.791900339132908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69.364254844673511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-5.6843418860808015E-13</v>
      </c>
      <c r="EK138" s="17">
        <f>EJ138*VLOOKUP('Données projet'!$B$15,Paramètres!$A$1:$I$89,3,0)*VLOOKUP('Données projet'!$B$15,Paramètres!$A$1:$I$89,5,0)</f>
        <v>-3.39923644787632E-13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444.77624981561257</v>
      </c>
      <c r="EP138" s="59">
        <f t="shared" si="154"/>
        <v>382.10319641527587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73.532426303148341</v>
      </c>
      <c r="EW138" s="21">
        <f>EXP(-LN(2)/25)*EW137+(1-EXP(-LN(2)/25))/(LN(2)/25)*Calculateur!ER138*Calculateur!ET138*VLOOKUP('Données projet'!$B$15,Paramètres!$A$1:$I$89,3,0)*0.475*44/12</f>
        <v>9.0395726281699602</v>
      </c>
      <c r="EX138" s="21">
        <f>EXP(-LN(2)/2)*EX137+(1-EXP(-LN(2)/2))/(LN(2)/2)*ER138*EU138*VLOOKUP('Données projet'!$B$15,Paramètres!$A$1:$I$89,3,0)*0.475*44/12</f>
        <v>5.4130571740623615E-8</v>
      </c>
      <c r="EY138" s="22">
        <f t="shared" si="129"/>
        <v>82.571998985448872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69.364254844673511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3.4106051316484809E-13</v>
      </c>
      <c r="FF138" s="17">
        <f>FE138*VLOOKUP('Données projet'!$B$16,Paramètres!$A$1:$I$89,3,0)*VLOOKUP('Données projet'!$B$16,Paramètres!$A$1:$I$89,5,0)</f>
        <v>1.5074874681886286E-13</v>
      </c>
      <c r="FG138" s="13">
        <f t="shared" si="155"/>
        <v>2.1590218794584103E-12</v>
      </c>
      <c r="FH138" s="20">
        <f t="shared" si="130"/>
        <v>4.0228505074329168E-12</v>
      </c>
      <c r="FI138" s="59">
        <f t="shared" si="131"/>
        <v>291.00226776380691</v>
      </c>
      <c r="FJ138" s="59">
        <f ca="1">AVERAGE(OFFSET($FI$3,0,0,'Données projet'!$E$16+1,1))-AVERAGE(OFFSET($H$3,0,0,'Données projet'!$E$16+1,1))</f>
        <v>508.71179785154317</v>
      </c>
      <c r="FK138" s="59">
        <f t="shared" si="156"/>
        <v>422.73937290731442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93.49818803154551</v>
      </c>
      <c r="FR138" s="21">
        <f>EXP(-LN(2)/25)*FR137+(1-EXP(-LN(2)/25))/(LN(2)/25)*Calculateur!FM138*Calculateur!FO138*VLOOKUP('Données projet'!$B$16,Paramètres!$A$1:$I$89,3,0)*0.475*44/12</f>
        <v>14.810655644313927</v>
      </c>
      <c r="FS138" s="21">
        <f>EXP(-LN(2)/2)*FS137+(1-EXP(-LN(2)/2))/(LN(2)/2)*FM138*FP138*VLOOKUP('Données projet'!$B$16,Paramètres!$A$1:$I$89,3,0)*0.475*44/12</f>
        <v>2.2690231072169189E-7</v>
      </c>
      <c r="FT138" s="22">
        <f t="shared" si="132"/>
        <v>108.30884390276175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69.364254844673511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69.364254844673511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1.35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4.95</v>
      </c>
      <c r="H139" s="67">
        <f t="shared" si="110"/>
        <v>236.86666666666665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69.375283601805194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5.6843418860808015E-14</v>
      </c>
      <c r="O139" s="13">
        <f>N139*VLOOKUP('Données projet'!$B$9,Paramètres!$A$1:$I$89,3,0)*VLOOKUP('Données projet'!$B$9,Paramètres!$A$1:$I$89,5,0)</f>
        <v>5.1431925385259088E-14</v>
      </c>
      <c r="P139" s="13">
        <f t="shared" si="141"/>
        <v>8.3482866290946129E-13</v>
      </c>
      <c r="Q139" s="20">
        <f t="shared" si="108"/>
        <v>1.5435705246133045E-12</v>
      </c>
      <c r="R139" s="59">
        <f t="shared" si="109"/>
        <v>291.04270653995388</v>
      </c>
      <c r="S139" s="59">
        <f ca="1">AVERAGE(OFFSET($R$3,0,0,'Données projet'!$E$9+1,1))-AVERAGE(OFFSET($H$3,0,0,'Données projet'!$E$9+1,1))</f>
        <v>466.90449882701591</v>
      </c>
      <c r="T139" s="59">
        <f t="shared" si="142"/>
        <v>283.37641704892053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136.16653471665595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136.16653471665595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69.375283601805194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-4.5474735088646412E-13</v>
      </c>
      <c r="AJ139" s="13">
        <f>AI139*VLOOKUP('Données projet'!$B$10,Paramètres!$A$1:$I$89,3,0)*VLOOKUP('Données projet'!$B$10,Paramètres!$A$1:$I$89,5,0)</f>
        <v>-4.3273757910355926E-13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399.5572791581468</v>
      </c>
      <c r="AO139" s="59">
        <f t="shared" si="144"/>
        <v>246.34185986079777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95.292479633324163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95.292479633324163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69.375283601805194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5.6843418860808015E-14</v>
      </c>
      <c r="BE139" s="13">
        <f>BD139*VLOOKUP('Données projet'!$B$11,Paramètres!$A$1:$I$89,3,0)*VLOOKUP('Données projet'!$B$11,Paramètres!$A$1:$I$89,5,0)</f>
        <v>4.4337866711430253E-14</v>
      </c>
      <c r="BF139" s="13">
        <f t="shared" si="145"/>
        <v>7.3222115536967035E-13</v>
      </c>
      <c r="BG139" s="20">
        <f t="shared" si="115"/>
        <v>1.3525069634579169E-12</v>
      </c>
      <c r="BH139" s="59">
        <f t="shared" si="116"/>
        <v>291.04270653995371</v>
      </c>
      <c r="BI139" s="59">
        <f ca="1">AVERAGE(OFFSET($BH$3,0,0,'Données projet'!$E$11+1,1))-AVERAGE(OFFSET($H$3,0,0,'Données projet'!$E$11+1,1))</f>
        <v>294.23449029791681</v>
      </c>
      <c r="BJ139" s="59">
        <f t="shared" si="146"/>
        <v>288.64639202306159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24.959520128963948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24.959520128963948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69.375283601805194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-4.5474735088646412E-13</v>
      </c>
      <c r="BZ139" s="13">
        <f>BY139*VLOOKUP('Données projet'!$B$12,Paramètres!$A$1:$I$89,3,0)*VLOOKUP('Données projet'!$B$12,Paramètres!$A$1:$I$89,5,0)</f>
        <v>-4.8949004849418999E-13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445.38112098358147</v>
      </c>
      <c r="CE139" s="59">
        <f t="shared" si="148"/>
        <v>272.45883568548516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107.78985401146511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107.78985401146511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69.375283601805194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-4.5474735088646412E-13</v>
      </c>
      <c r="CU139" s="17">
        <f>CT139*VLOOKUP('Données projet'!$B$13,Paramètres!$A$1:$I$89,3,0)*VLOOKUP('Données projet'!$B$13,Paramètres!$A$1:$I$89,5,0)</f>
        <v>-4.8949004849418999E-13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445.38112098358147</v>
      </c>
      <c r="CZ139" s="59">
        <f t="shared" si="150"/>
        <v>272.45883568548516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107.78985401146511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107.78985401146511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69.375283601805194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-4.5474735088646412E-13</v>
      </c>
      <c r="DP139" s="17">
        <f>DO139*VLOOKUP('Données projet'!$B$14,Paramètres!$A$1:$I$89,3,0)*VLOOKUP('Données projet'!$B$14,Paramètres!$A$1:$I$89,5,0)</f>
        <v>-4.3983163777738812E-13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405.29179902613089</v>
      </c>
      <c r="DU139" s="59">
        <f t="shared" si="152"/>
        <v>249.61049717638238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96.854651430591829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96.854651430591829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69.375283601805194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-5.6843418860808015E-13</v>
      </c>
      <c r="EK139" s="17">
        <f>EJ139*VLOOKUP('Données projet'!$B$15,Paramètres!$A$1:$I$89,3,0)*VLOOKUP('Données projet'!$B$15,Paramètres!$A$1:$I$89,5,0)</f>
        <v>-3.39923644787632E-13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444.77624981561257</v>
      </c>
      <c r="EP139" s="59">
        <f t="shared" si="154"/>
        <v>382.10319641527587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72.090500273695042</v>
      </c>
      <c r="EW139" s="21">
        <f>EXP(-LN(2)/25)*EW138+(1-EXP(-LN(2)/25))/(LN(2)/25)*Calculateur!ER139*Calculateur!ET139*VLOOKUP('Données projet'!$B$15,Paramètres!$A$1:$I$89,3,0)*0.475*44/12</f>
        <v>8.7923850392821876</v>
      </c>
      <c r="EX139" s="21">
        <f>EXP(-LN(2)/2)*EX138+(1-EXP(-LN(2)/2))/(LN(2)/2)*ER139*EU139*VLOOKUP('Données projet'!$B$15,Paramètres!$A$1:$I$89,3,0)*0.475*44/12</f>
        <v>3.8276094347299855E-8</v>
      </c>
      <c r="EY139" s="22">
        <f t="shared" si="129"/>
        <v>80.882885351253336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69.375283601805194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3.4106051316484809E-13</v>
      </c>
      <c r="FF139" s="17">
        <f>FE139*VLOOKUP('Données projet'!$B$16,Paramètres!$A$1:$I$89,3,0)*VLOOKUP('Données projet'!$B$16,Paramètres!$A$1:$I$89,5,0)</f>
        <v>1.5074874681886286E-13</v>
      </c>
      <c r="FG139" s="13">
        <f t="shared" si="155"/>
        <v>2.1590218794584103E-12</v>
      </c>
      <c r="FH139" s="20">
        <f t="shared" si="130"/>
        <v>4.0228505074329168E-12</v>
      </c>
      <c r="FI139" s="59">
        <f t="shared" si="131"/>
        <v>291.04270653995638</v>
      </c>
      <c r="FJ139" s="59">
        <f ca="1">AVERAGE(OFFSET($FI$3,0,0,'Données projet'!$E$16+1,1))-AVERAGE(OFFSET($H$3,0,0,'Données projet'!$E$16+1,1))</f>
        <v>508.71179785154317</v>
      </c>
      <c r="FK139" s="59">
        <f t="shared" si="156"/>
        <v>422.73937290731442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91.664745592510528</v>
      </c>
      <c r="FR139" s="21">
        <f>EXP(-LN(2)/25)*FR138+(1-EXP(-LN(2)/25))/(LN(2)/25)*Calculateur!FM139*Calculateur!FO139*VLOOKUP('Données projet'!$B$16,Paramètres!$A$1:$I$89,3,0)*0.475*44/12</f>
        <v>14.405657486861633</v>
      </c>
      <c r="FS139" s="21">
        <f>EXP(-LN(2)/2)*FS138+(1-EXP(-LN(2)/2))/(LN(2)/2)*FM139*FP139*VLOOKUP('Données projet'!$B$16,Paramètres!$A$1:$I$89,3,0)*0.475*44/12</f>
        <v>1.604441625782054E-7</v>
      </c>
      <c r="FT139" s="22">
        <f t="shared" si="132"/>
        <v>106.07040323981632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69.375283601805194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69.375283601805194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1.35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4.95</v>
      </c>
      <c r="H140" s="67">
        <f t="shared" si="110"/>
        <v>236.86666666666665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69.386121034657236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5.6843418860808015E-14</v>
      </c>
      <c r="O140" s="13">
        <f>N140*VLOOKUP('Données projet'!$B$9,Paramètres!$A$1:$I$89,3,0)*VLOOKUP('Données projet'!$B$9,Paramètres!$A$1:$I$89,5,0)</f>
        <v>5.1431925385259088E-14</v>
      </c>
      <c r="P140" s="13">
        <f t="shared" si="141"/>
        <v>8.3482866290946129E-13</v>
      </c>
      <c r="Q140" s="20">
        <f t="shared" si="108"/>
        <v>1.5435705246133045E-12</v>
      </c>
      <c r="R140" s="59">
        <f t="shared" si="109"/>
        <v>291.08244379374474</v>
      </c>
      <c r="S140" s="59">
        <f ca="1">AVERAGE(OFFSET($R$3,0,0,'Données projet'!$E$9+1,1))-AVERAGE(OFFSET($H$3,0,0,'Données projet'!$E$9+1,1))</f>
        <v>466.90449882701591</v>
      </c>
      <c r="T140" s="59">
        <f t="shared" si="142"/>
        <v>283.37641704892053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133.49639202424765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133.49639202424765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69.386121034657236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-4.5474735088646412E-13</v>
      </c>
      <c r="AJ140" s="13">
        <f>AI140*VLOOKUP('Données projet'!$B$10,Paramètres!$A$1:$I$89,3,0)*VLOOKUP('Données projet'!$B$10,Paramètres!$A$1:$I$89,5,0)</f>
        <v>-4.3273757910355926E-13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399.5572791581468</v>
      </c>
      <c r="AO140" s="59">
        <f t="shared" si="144"/>
        <v>246.34185986079777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93.423852230388121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93.423852230388121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69.386121034657236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5.6843418860808015E-14</v>
      </c>
      <c r="BE140" s="13">
        <f>BD140*VLOOKUP('Données projet'!$B$11,Paramètres!$A$1:$I$89,3,0)*VLOOKUP('Données projet'!$B$11,Paramètres!$A$1:$I$89,5,0)</f>
        <v>4.4337866711430253E-14</v>
      </c>
      <c r="BF140" s="13">
        <f t="shared" si="145"/>
        <v>7.3222115536967035E-13</v>
      </c>
      <c r="BG140" s="20">
        <f t="shared" si="115"/>
        <v>1.3525069634579169E-12</v>
      </c>
      <c r="BH140" s="59">
        <f t="shared" si="116"/>
        <v>291.08244379374457</v>
      </c>
      <c r="BI140" s="59">
        <f ca="1">AVERAGE(OFFSET($BH$3,0,0,'Données projet'!$E$11+1,1))-AVERAGE(OFFSET($H$3,0,0,'Données projet'!$E$11+1,1))</f>
        <v>294.23449029791681</v>
      </c>
      <c r="BJ140" s="59">
        <f t="shared" si="146"/>
        <v>288.64639202306159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24.470079163039017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24.470079163039017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69.386121034657236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-4.5474735088646412E-13</v>
      </c>
      <c r="BZ140" s="13">
        <f>BY140*VLOOKUP('Données projet'!$B$12,Paramètres!$A$1:$I$89,3,0)*VLOOKUP('Données projet'!$B$12,Paramètres!$A$1:$I$89,5,0)</f>
        <v>-4.8949004849418999E-13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445.38112098358147</v>
      </c>
      <c r="CE140" s="59">
        <f t="shared" si="148"/>
        <v>272.45883568548516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105.67616071961942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105.67616071961942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69.386121034657236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-4.5474735088646412E-13</v>
      </c>
      <c r="CU140" s="17">
        <f>CT140*VLOOKUP('Données projet'!$B$13,Paramètres!$A$1:$I$89,3,0)*VLOOKUP('Données projet'!$B$13,Paramètres!$A$1:$I$89,5,0)</f>
        <v>-4.8949004849418999E-13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445.38112098358147</v>
      </c>
      <c r="CZ140" s="59">
        <f t="shared" si="150"/>
        <v>272.45883568548516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105.67616071961942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105.67616071961942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69.386121034657236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-4.5474735088646412E-13</v>
      </c>
      <c r="DP140" s="17">
        <f>DO140*VLOOKUP('Données projet'!$B$14,Paramètres!$A$1:$I$89,3,0)*VLOOKUP('Données projet'!$B$14,Paramètres!$A$1:$I$89,5,0)</f>
        <v>-4.3983163777738812E-13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405.29179902613089</v>
      </c>
      <c r="DU140" s="59">
        <f t="shared" si="152"/>
        <v>249.61049717638238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94.955390791542072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94.955390791542072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69.386121034657236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-5.6843418860808015E-13</v>
      </c>
      <c r="EK140" s="17">
        <f>EJ140*VLOOKUP('Données projet'!$B$15,Paramètres!$A$1:$I$89,3,0)*VLOOKUP('Données projet'!$B$15,Paramètres!$A$1:$I$89,5,0)</f>
        <v>-3.39923644787632E-13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444.77624981561257</v>
      </c>
      <c r="EP140" s="59">
        <f t="shared" si="154"/>
        <v>382.10319641527587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70.676849534191291</v>
      </c>
      <c r="EW140" s="21">
        <f>EXP(-LN(2)/25)*EW139+(1-EXP(-LN(2)/25))/(LN(2)/25)*Calculateur!ER140*Calculateur!ET140*VLOOKUP('Données projet'!$B$15,Paramètres!$A$1:$I$89,3,0)*0.475*44/12</f>
        <v>8.5519568080115818</v>
      </c>
      <c r="EX140" s="21">
        <f>EXP(-LN(2)/2)*EX139+(1-EXP(-LN(2)/2))/(LN(2)/2)*ER140*EU140*VLOOKUP('Données projet'!$B$15,Paramètres!$A$1:$I$89,3,0)*0.475*44/12</f>
        <v>2.7065285870311808E-8</v>
      </c>
      <c r="EY140" s="22">
        <f t="shared" si="129"/>
        <v>79.228806369268156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69.386121034657236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3.4106051316484809E-13</v>
      </c>
      <c r="FF140" s="17">
        <f>FE140*VLOOKUP('Données projet'!$B$16,Paramètres!$A$1:$I$89,3,0)*VLOOKUP('Données projet'!$B$16,Paramètres!$A$1:$I$89,5,0)</f>
        <v>1.5074874681886286E-13</v>
      </c>
      <c r="FG140" s="13">
        <f t="shared" si="155"/>
        <v>2.1590218794584103E-12</v>
      </c>
      <c r="FH140" s="20">
        <f t="shared" si="130"/>
        <v>4.0228505074329168E-12</v>
      </c>
      <c r="FI140" s="59">
        <f t="shared" si="131"/>
        <v>291.08244379374725</v>
      </c>
      <c r="FJ140" s="59">
        <f ca="1">AVERAGE(OFFSET($FI$3,0,0,'Données projet'!$E$16+1,1))-AVERAGE(OFFSET($H$3,0,0,'Données projet'!$E$16+1,1))</f>
        <v>508.71179785154317</v>
      </c>
      <c r="FK140" s="59">
        <f t="shared" si="156"/>
        <v>422.73937290731442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89.867255841415556</v>
      </c>
      <c r="FR140" s="21">
        <f>EXP(-LN(2)/25)*FR139+(1-EXP(-LN(2)/25))/(LN(2)/25)*Calculateur!FM140*Calculateur!FO140*VLOOKUP('Données projet'!$B$16,Paramètres!$A$1:$I$89,3,0)*0.475*44/12</f>
        <v>14.011734025322799</v>
      </c>
      <c r="FS140" s="21">
        <f>EXP(-LN(2)/2)*FS139+(1-EXP(-LN(2)/2))/(LN(2)/2)*FM140*FP140*VLOOKUP('Données projet'!$B$16,Paramètres!$A$1:$I$89,3,0)*0.475*44/12</f>
        <v>1.1345115536084594E-7</v>
      </c>
      <c r="FT140" s="22">
        <f t="shared" si="132"/>
        <v>103.8789899801895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69.386121034657236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69.386121034657236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1.35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4.95</v>
      </c>
      <c r="H141" s="67">
        <f t="shared" si="110"/>
        <v>236.86666666666665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69.39677046227817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5.6843418860808015E-14</v>
      </c>
      <c r="O141" s="13">
        <f>N141*VLOOKUP('Données projet'!$B$9,Paramètres!$A$1:$I$89,3,0)*VLOOKUP('Données projet'!$B$9,Paramètres!$A$1:$I$89,5,0)</f>
        <v>5.1431925385259088E-14</v>
      </c>
      <c r="P141" s="13">
        <f t="shared" si="141"/>
        <v>8.3482866290946129E-13</v>
      </c>
      <c r="Q141" s="20">
        <f t="shared" si="108"/>
        <v>1.5435705246133045E-12</v>
      </c>
      <c r="R141" s="59">
        <f t="shared" si="109"/>
        <v>291.12149169502152</v>
      </c>
      <c r="S141" s="59">
        <f ca="1">AVERAGE(OFFSET($R$3,0,0,'Données projet'!$E$9+1,1))-AVERAGE(OFFSET($H$3,0,0,'Données projet'!$E$9+1,1))</f>
        <v>466.90449882701591</v>
      </c>
      <c r="T141" s="59">
        <f t="shared" si="142"/>
        <v>283.37641704892053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130.87860920141128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130.87860920141128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69.39677046227817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-4.5474735088646412E-13</v>
      </c>
      <c r="AJ141" s="13">
        <f>AI141*VLOOKUP('Données projet'!$B$10,Paramètres!$A$1:$I$89,3,0)*VLOOKUP('Données projet'!$B$10,Paramètres!$A$1:$I$89,5,0)</f>
        <v>-4.3273757910355926E-13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399.5572791581468</v>
      </c>
      <c r="AO141" s="59">
        <f t="shared" si="144"/>
        <v>246.34185986079777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91.591867471073471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91.591867471073471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69.39677046227817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5.6843418860808015E-14</v>
      </c>
      <c r="BE141" s="13">
        <f>BD141*VLOOKUP('Données projet'!$B$11,Paramètres!$A$1:$I$89,3,0)*VLOOKUP('Données projet'!$B$11,Paramètres!$A$1:$I$89,5,0)</f>
        <v>4.4337866711430253E-14</v>
      </c>
      <c r="BF141" s="13">
        <f t="shared" si="145"/>
        <v>7.3222115536967035E-13</v>
      </c>
      <c r="BG141" s="20">
        <f t="shared" si="115"/>
        <v>1.3525069634579169E-12</v>
      </c>
      <c r="BH141" s="59">
        <f t="shared" si="116"/>
        <v>291.12149169502135</v>
      </c>
      <c r="BI141" s="59">
        <f ca="1">AVERAGE(OFFSET($BH$3,0,0,'Données projet'!$E$11+1,1))-AVERAGE(OFFSET($H$3,0,0,'Données projet'!$E$11+1,1))</f>
        <v>294.23449029791681</v>
      </c>
      <c r="BJ141" s="59">
        <f t="shared" si="146"/>
        <v>288.64639202306159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23.990235835926363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23.990235835926363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69.39677046227817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-4.5474735088646412E-13</v>
      </c>
      <c r="BZ141" s="13">
        <f>BY141*VLOOKUP('Données projet'!$B$12,Paramètres!$A$1:$I$89,3,0)*VLOOKUP('Données projet'!$B$12,Paramètres!$A$1:$I$89,5,0)</f>
        <v>-4.8949004849418999E-13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445.38112098358147</v>
      </c>
      <c r="CE141" s="59">
        <f t="shared" si="148"/>
        <v>272.45883568548516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103.60391566400121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103.60391566400121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69.39677046227817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-4.5474735088646412E-13</v>
      </c>
      <c r="CU141" s="17">
        <f>CT141*VLOOKUP('Données projet'!$B$13,Paramètres!$A$1:$I$89,3,0)*VLOOKUP('Données projet'!$B$13,Paramètres!$A$1:$I$89,5,0)</f>
        <v>-4.8949004849418999E-13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445.38112098358147</v>
      </c>
      <c r="CZ141" s="59">
        <f t="shared" si="150"/>
        <v>272.45883568548516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103.60391566400121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103.60391566400121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69.39677046227817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-4.5474735088646412E-13</v>
      </c>
      <c r="DP141" s="17">
        <f>DO141*VLOOKUP('Données projet'!$B$14,Paramètres!$A$1:$I$89,3,0)*VLOOKUP('Données projet'!$B$14,Paramètres!$A$1:$I$89,5,0)</f>
        <v>-4.3983163777738812E-13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405.29179902613089</v>
      </c>
      <c r="DU141" s="59">
        <f t="shared" si="152"/>
        <v>249.61049717638238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93.093373495189482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93.093373495189482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69.39677046227817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-5.6843418860808015E-13</v>
      </c>
      <c r="EK141" s="17">
        <f>EJ141*VLOOKUP('Données projet'!$B$15,Paramètres!$A$1:$I$89,3,0)*VLOOKUP('Données projet'!$B$15,Paramètres!$A$1:$I$89,5,0)</f>
        <v>-3.39923644787632E-13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444.77624981561257</v>
      </c>
      <c r="EP141" s="59">
        <f t="shared" si="154"/>
        <v>382.10319641527587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69.290919623447394</v>
      </c>
      <c r="EW141" s="21">
        <f>EXP(-LN(2)/25)*EW140+(1-EXP(-LN(2)/25))/(LN(2)/25)*Calculateur!ER141*Calculateur!ET141*VLOOKUP('Données projet'!$B$15,Paramètres!$A$1:$I$89,3,0)*0.475*44/12</f>
        <v>8.318103099368642</v>
      </c>
      <c r="EX141" s="21">
        <f>EXP(-LN(2)/2)*EX140+(1-EXP(-LN(2)/2))/(LN(2)/2)*ER141*EU141*VLOOKUP('Données projet'!$B$15,Paramètres!$A$1:$I$89,3,0)*0.475*44/12</f>
        <v>1.9138047173649928E-8</v>
      </c>
      <c r="EY141" s="22">
        <f t="shared" si="129"/>
        <v>77.609022741954078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69.39677046227817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3.4106051316484809E-13</v>
      </c>
      <c r="FF141" s="17">
        <f>FE141*VLOOKUP('Données projet'!$B$16,Paramètres!$A$1:$I$89,3,0)*VLOOKUP('Données projet'!$B$16,Paramètres!$A$1:$I$89,5,0)</f>
        <v>1.5074874681886286E-13</v>
      </c>
      <c r="FG141" s="13">
        <f t="shared" si="155"/>
        <v>2.1590218794584103E-12</v>
      </c>
      <c r="FH141" s="20">
        <f t="shared" si="130"/>
        <v>4.0228505074329168E-12</v>
      </c>
      <c r="FI141" s="59">
        <f t="shared" si="131"/>
        <v>291.12149169502402</v>
      </c>
      <c r="FJ141" s="59">
        <f ca="1">AVERAGE(OFFSET($FI$3,0,0,'Données projet'!$E$16+1,1))-AVERAGE(OFFSET($H$3,0,0,'Données projet'!$E$16+1,1))</f>
        <v>508.71179785154317</v>
      </c>
      <c r="FK141" s="59">
        <f t="shared" si="156"/>
        <v>422.73937290731442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88.105013767979059</v>
      </c>
      <c r="FR141" s="21">
        <f>EXP(-LN(2)/25)*FR140+(1-EXP(-LN(2)/25))/(LN(2)/25)*Calculateur!FM141*Calculateur!FO141*VLOOKUP('Données projet'!$B$16,Paramètres!$A$1:$I$89,3,0)*0.475*44/12</f>
        <v>13.628582421555279</v>
      </c>
      <c r="FS141" s="21">
        <f>EXP(-LN(2)/2)*FS140+(1-EXP(-LN(2)/2))/(LN(2)/2)*FM141*FP141*VLOOKUP('Données projet'!$B$16,Paramètres!$A$1:$I$89,3,0)*0.475*44/12</f>
        <v>8.0222081289102699E-8</v>
      </c>
      <c r="FT141" s="22">
        <f t="shared" si="132"/>
        <v>101.73359626975642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69.39677046227817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69.39677046227817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1.35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4.95</v>
      </c>
      <c r="H142" s="67">
        <f t="shared" si="110"/>
        <v>236.86666666666665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69.407235146138433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5.6843418860808015E-14</v>
      </c>
      <c r="O142" s="13">
        <f>N142*VLOOKUP('Données projet'!$B$9,Paramètres!$A$1:$I$89,3,0)*VLOOKUP('Données projet'!$B$9,Paramètres!$A$1:$I$89,5,0)</f>
        <v>5.1431925385259088E-14</v>
      </c>
      <c r="P142" s="13">
        <f t="shared" si="141"/>
        <v>8.3482866290946129E-13</v>
      </c>
      <c r="Q142" s="20">
        <f t="shared" si="108"/>
        <v>1.5435705246133045E-12</v>
      </c>
      <c r="R142" s="59">
        <f t="shared" si="109"/>
        <v>291.15986220250909</v>
      </c>
      <c r="S142" s="59">
        <f ca="1">AVERAGE(OFFSET($R$3,0,0,'Données projet'!$E$9+1,1))-AVERAGE(OFFSET($H$3,0,0,'Données projet'!$E$9+1,1))</f>
        <v>466.90449882701591</v>
      </c>
      <c r="T142" s="59">
        <f t="shared" si="142"/>
        <v>283.37641704892053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128.31215950304085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128.31215950304085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69.407235146138433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-4.5474735088646412E-13</v>
      </c>
      <c r="AJ142" s="13">
        <f>AI142*VLOOKUP('Données projet'!$B$10,Paramètres!$A$1:$I$89,3,0)*VLOOKUP('Données projet'!$B$10,Paramètres!$A$1:$I$89,5,0)</f>
        <v>-4.3273757910355926E-13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399.5572791581468</v>
      </c>
      <c r="AO142" s="59">
        <f t="shared" si="144"/>
        <v>246.34185986079777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89.795806815488618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89.795806815488618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69.407235146138433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5.6843418860808015E-14</v>
      </c>
      <c r="BE142" s="13">
        <f>BD142*VLOOKUP('Données projet'!$B$11,Paramètres!$A$1:$I$89,3,0)*VLOOKUP('Données projet'!$B$11,Paramètres!$A$1:$I$89,5,0)</f>
        <v>4.4337866711430253E-14</v>
      </c>
      <c r="BF142" s="13">
        <f t="shared" si="145"/>
        <v>7.3222115536967035E-13</v>
      </c>
      <c r="BG142" s="20">
        <f t="shared" si="115"/>
        <v>1.3525069634579169E-12</v>
      </c>
      <c r="BH142" s="59">
        <f t="shared" si="116"/>
        <v>291.15986220250892</v>
      </c>
      <c r="BI142" s="59">
        <f ca="1">AVERAGE(OFFSET($BH$3,0,0,'Données projet'!$E$11+1,1))-AVERAGE(OFFSET($H$3,0,0,'Données projet'!$E$11+1,1))</f>
        <v>294.23449029791681</v>
      </c>
      <c r="BJ142" s="59">
        <f t="shared" si="146"/>
        <v>288.64639202306159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23.519801943782859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23.519801943782859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69.407235146138433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-4.5474735088646412E-13</v>
      </c>
      <c r="BZ142" s="13">
        <f>BY142*VLOOKUP('Données projet'!$B$12,Paramètres!$A$1:$I$89,3,0)*VLOOKUP('Données projet'!$B$12,Paramètres!$A$1:$I$89,5,0)</f>
        <v>-4.8949004849418999E-13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445.38112098358147</v>
      </c>
      <c r="CE142" s="59">
        <f t="shared" si="148"/>
        <v>272.45883568548516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101.57230606997899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101.57230606997899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69.407235146138433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-4.5474735088646412E-13</v>
      </c>
      <c r="CU142" s="17">
        <f>CT142*VLOOKUP('Données projet'!$B$13,Paramètres!$A$1:$I$89,3,0)*VLOOKUP('Données projet'!$B$13,Paramètres!$A$1:$I$89,5,0)</f>
        <v>-4.8949004849418999E-13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445.38112098358147</v>
      </c>
      <c r="CZ142" s="59">
        <f t="shared" si="150"/>
        <v>272.45883568548516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101.57230606997899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101.57230606997899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69.407235146138433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-4.5474735088646412E-13</v>
      </c>
      <c r="DP142" s="17">
        <f>DO142*VLOOKUP('Données projet'!$B$14,Paramètres!$A$1:$I$89,3,0)*VLOOKUP('Données projet'!$B$14,Paramètres!$A$1:$I$89,5,0)</f>
        <v>-4.3983163777738812E-13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405.29179902613089</v>
      </c>
      <c r="DU142" s="59">
        <f t="shared" si="152"/>
        <v>249.61049717638238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91.26786922229995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91.26786922229995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69.407235146138433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-5.6843418860808015E-13</v>
      </c>
      <c r="EK142" s="17">
        <f>EJ142*VLOOKUP('Données projet'!$B$15,Paramètres!$A$1:$I$89,3,0)*VLOOKUP('Données projet'!$B$15,Paramètres!$A$1:$I$89,5,0)</f>
        <v>-3.39923644787632E-13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444.77624981561257</v>
      </c>
      <c r="EP142" s="59">
        <f t="shared" si="154"/>
        <v>382.10319641527587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67.932166952919403</v>
      </c>
      <c r="EW142" s="21">
        <f>EXP(-LN(2)/25)*EW141+(1-EXP(-LN(2)/25))/(LN(2)/25)*Calculateur!ER142*Calculateur!ET142*VLOOKUP('Données projet'!$B$15,Paramètres!$A$1:$I$89,3,0)*0.475*44/12</f>
        <v>8.0906441326863749</v>
      </c>
      <c r="EX142" s="21">
        <f>EXP(-LN(2)/2)*EX141+(1-EXP(-LN(2)/2))/(LN(2)/2)*ER142*EU142*VLOOKUP('Données projet'!$B$15,Paramètres!$A$1:$I$89,3,0)*0.475*44/12</f>
        <v>1.3532642935155904E-8</v>
      </c>
      <c r="EY142" s="22">
        <f t="shared" si="129"/>
        <v>76.022811099138423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69.407235146138433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3.4106051316484809E-13</v>
      </c>
      <c r="FF142" s="17">
        <f>FE142*VLOOKUP('Données projet'!$B$16,Paramètres!$A$1:$I$89,3,0)*VLOOKUP('Données projet'!$B$16,Paramètres!$A$1:$I$89,5,0)</f>
        <v>1.5074874681886286E-13</v>
      </c>
      <c r="FG142" s="13">
        <f t="shared" si="155"/>
        <v>2.1590218794584103E-12</v>
      </c>
      <c r="FH142" s="20">
        <f t="shared" si="130"/>
        <v>4.0228505074329168E-12</v>
      </c>
      <c r="FI142" s="59">
        <f t="shared" si="131"/>
        <v>291.15986220251159</v>
      </c>
      <c r="FJ142" s="59">
        <f ca="1">AVERAGE(OFFSET($FI$3,0,0,'Données projet'!$E$16+1,1))-AVERAGE(OFFSET($H$3,0,0,'Données projet'!$E$16+1,1))</f>
        <v>508.71179785154317</v>
      </c>
      <c r="FK142" s="59">
        <f t="shared" si="156"/>
        <v>422.73937290731442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86.377328186741124</v>
      </c>
      <c r="FR142" s="21">
        <f>EXP(-LN(2)/25)*FR141+(1-EXP(-LN(2)/25))/(LN(2)/25)*Calculateur!FM142*Calculateur!FO142*VLOOKUP('Données projet'!$B$16,Paramètres!$A$1:$I$89,3,0)*0.475*44/12</f>
        <v>13.25590811854185</v>
      </c>
      <c r="FS142" s="21">
        <f>EXP(-LN(2)/2)*FS141+(1-EXP(-LN(2)/2))/(LN(2)/2)*FM142*FP142*VLOOKUP('Données projet'!$B$16,Paramètres!$A$1:$I$89,3,0)*0.475*44/12</f>
        <v>5.6725577680422971E-8</v>
      </c>
      <c r="FT142" s="22">
        <f t="shared" si="132"/>
        <v>99.63323636200856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69.407235146138433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69.407235146138433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1.35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4.95</v>
      </c>
      <c r="H143" s="67">
        <f t="shared" si="110"/>
        <v>236.86666666666665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69.417518291129255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5.6843418860808015E-14</v>
      </c>
      <c r="O143" s="13">
        <f>N143*VLOOKUP('Données projet'!$B$9,Paramètres!$A$1:$I$89,3,0)*VLOOKUP('Données projet'!$B$9,Paramètres!$A$1:$I$89,5,0)</f>
        <v>5.1431925385259088E-14</v>
      </c>
      <c r="P143" s="13">
        <f t="shared" si="141"/>
        <v>8.3482866290946129E-13</v>
      </c>
      <c r="Q143" s="20">
        <f t="shared" si="108"/>
        <v>1.5435705246133045E-12</v>
      </c>
      <c r="R143" s="59">
        <f t="shared" si="109"/>
        <v>291.19756706747546</v>
      </c>
      <c r="S143" s="59">
        <f ca="1">AVERAGE(OFFSET($R$3,0,0,'Données projet'!$E$9+1,1))-AVERAGE(OFFSET($H$3,0,0,'Données projet'!$E$9+1,1))</f>
        <v>466.90449882701591</v>
      </c>
      <c r="T143" s="59">
        <f t="shared" si="142"/>
        <v>283.37641704892053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125.79603631787572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125.79603631787572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69.417518291129255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-4.5474735088646412E-13</v>
      </c>
      <c r="AJ143" s="13">
        <f>AI143*VLOOKUP('Données projet'!$B$10,Paramètres!$A$1:$I$89,3,0)*VLOOKUP('Données projet'!$B$10,Paramètres!$A$1:$I$89,5,0)</f>
        <v>-4.3273757910355926E-13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399.5572791581468</v>
      </c>
      <c r="AO143" s="59">
        <f t="shared" si="144"/>
        <v>246.34185986079777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88.034965813870954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88.034965813870954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69.417518291129255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5.6843418860808015E-14</v>
      </c>
      <c r="BE143" s="13">
        <f>BD143*VLOOKUP('Données projet'!$B$11,Paramètres!$A$1:$I$89,3,0)*VLOOKUP('Données projet'!$B$11,Paramètres!$A$1:$I$89,5,0)</f>
        <v>4.4337866711430253E-14</v>
      </c>
      <c r="BF143" s="13">
        <f t="shared" si="145"/>
        <v>7.3222115536967035E-13</v>
      </c>
      <c r="BG143" s="20">
        <f t="shared" si="115"/>
        <v>1.3525069634579169E-12</v>
      </c>
      <c r="BH143" s="59">
        <f t="shared" si="116"/>
        <v>291.19756706747529</v>
      </c>
      <c r="BI143" s="59">
        <f ca="1">AVERAGE(OFFSET($BH$3,0,0,'Données projet'!$E$11+1,1))-AVERAGE(OFFSET($H$3,0,0,'Données projet'!$E$11+1,1))</f>
        <v>294.23449029791681</v>
      </c>
      <c r="BJ143" s="59">
        <f t="shared" si="146"/>
        <v>288.64639202306159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23.058592973327947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23.058592973327947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69.417518291129255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-4.5474735088646412E-13</v>
      </c>
      <c r="BZ143" s="13">
        <f>BY143*VLOOKUP('Données projet'!$B$12,Paramètres!$A$1:$I$89,3,0)*VLOOKUP('Données projet'!$B$12,Paramètres!$A$1:$I$89,5,0)</f>
        <v>-4.8949004849418999E-13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445.38112098358147</v>
      </c>
      <c r="CE143" s="59">
        <f t="shared" si="148"/>
        <v>272.45883568548516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99.580535100936061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99.580535100936061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69.417518291129255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-4.5474735088646412E-13</v>
      </c>
      <c r="CU143" s="17">
        <f>CT143*VLOOKUP('Données projet'!$B$13,Paramètres!$A$1:$I$89,3,0)*VLOOKUP('Données projet'!$B$13,Paramètres!$A$1:$I$89,5,0)</f>
        <v>-4.8949004849418999E-13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445.38112098358147</v>
      </c>
      <c r="CZ143" s="59">
        <f t="shared" si="150"/>
        <v>272.45883568548516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99.580535100936061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99.580535100936061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69.417518291129255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-4.5474735088646412E-13</v>
      </c>
      <c r="DP143" s="17">
        <f>DO143*VLOOKUP('Données projet'!$B$14,Paramètres!$A$1:$I$89,3,0)*VLOOKUP('Données projet'!$B$14,Paramètres!$A$1:$I$89,5,0)</f>
        <v>-4.3983163777738812E-13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405.29179902613089</v>
      </c>
      <c r="DU143" s="59">
        <f t="shared" si="152"/>
        <v>249.61049717638238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89.47816197475413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89.47816197475413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69.417518291129255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-5.6843418860808015E-13</v>
      </c>
      <c r="EK143" s="17">
        <f>EJ143*VLOOKUP('Données projet'!$B$15,Paramètres!$A$1:$I$89,3,0)*VLOOKUP('Données projet'!$B$15,Paramètres!$A$1:$I$89,5,0)</f>
        <v>-3.39923644787632E-13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444.77624981561257</v>
      </c>
      <c r="EP143" s="59">
        <f t="shared" si="154"/>
        <v>382.10319641527587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66.600058593503178</v>
      </c>
      <c r="EW143" s="21">
        <f>EXP(-LN(2)/25)*EW142+(1-EXP(-LN(2)/25))/(LN(2)/25)*Calculateur!ER143*Calculateur!ET143*VLOOKUP('Données projet'!$B$15,Paramètres!$A$1:$I$89,3,0)*0.475*44/12</f>
        <v>7.8694050434095821</v>
      </c>
      <c r="EX143" s="21">
        <f>EXP(-LN(2)/2)*EX142+(1-EXP(-LN(2)/2))/(LN(2)/2)*ER143*EU143*VLOOKUP('Données projet'!$B$15,Paramètres!$A$1:$I$89,3,0)*0.475*44/12</f>
        <v>9.5690235868249638E-9</v>
      </c>
      <c r="EY143" s="22">
        <f t="shared" si="129"/>
        <v>74.469463646481785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69.417518291129255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3.4106051316484809E-13</v>
      </c>
      <c r="FF143" s="17">
        <f>FE143*VLOOKUP('Données projet'!$B$16,Paramètres!$A$1:$I$89,3,0)*VLOOKUP('Données projet'!$B$16,Paramètres!$A$1:$I$89,5,0)</f>
        <v>1.5074874681886286E-13</v>
      </c>
      <c r="FG143" s="13">
        <f t="shared" si="155"/>
        <v>2.1590218794584103E-12</v>
      </c>
      <c r="FH143" s="20">
        <f t="shared" si="130"/>
        <v>4.0228505074329168E-12</v>
      </c>
      <c r="FI143" s="59">
        <f t="shared" si="131"/>
        <v>291.19756706747796</v>
      </c>
      <c r="FJ143" s="59">
        <f ca="1">AVERAGE(OFFSET($FI$3,0,0,'Données projet'!$E$16+1,1))-AVERAGE(OFFSET($H$3,0,0,'Données projet'!$E$16+1,1))</f>
        <v>508.71179785154317</v>
      </c>
      <c r="FK143" s="59">
        <f t="shared" si="156"/>
        <v>422.73937290731442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84.683521465967118</v>
      </c>
      <c r="FR143" s="21">
        <f>EXP(-LN(2)/25)*FR142+(1-EXP(-LN(2)/25))/(LN(2)/25)*Calculateur!FM143*Calculateur!FO143*VLOOKUP('Données projet'!$B$16,Paramètres!$A$1:$I$89,3,0)*0.475*44/12</f>
        <v>12.893424613942411</v>
      </c>
      <c r="FS143" s="21">
        <f>EXP(-LN(2)/2)*FS142+(1-EXP(-LN(2)/2))/(LN(2)/2)*FM143*FP143*VLOOKUP('Données projet'!$B$16,Paramètres!$A$1:$I$89,3,0)*0.475*44/12</f>
        <v>4.011104064455135E-8</v>
      </c>
      <c r="FT143" s="22">
        <f t="shared" si="132"/>
        <v>97.57694612002058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69.417518291129255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69.417518291129255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1.35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4.95</v>
      </c>
      <c r="H144" s="67">
        <f t="shared" si="110"/>
        <v>236.86666666666665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69.427623046544142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5.6843418860808015E-14</v>
      </c>
      <c r="O144" s="13">
        <f>N144*VLOOKUP('Données projet'!$B$9,Paramètres!$A$1:$I$89,3,0)*VLOOKUP('Données projet'!$B$9,Paramètres!$A$1:$I$89,5,0)</f>
        <v>5.1431925385259088E-14</v>
      </c>
      <c r="P144" s="13">
        <f t="shared" si="141"/>
        <v>8.3482866290946129E-13</v>
      </c>
      <c r="Q144" s="20">
        <f t="shared" si="108"/>
        <v>1.5435705246133045E-12</v>
      </c>
      <c r="R144" s="59">
        <f t="shared" si="109"/>
        <v>291.23461783733006</v>
      </c>
      <c r="S144" s="59">
        <f ca="1">AVERAGE(OFFSET($R$3,0,0,'Données projet'!$E$9+1,1))-AVERAGE(OFFSET($H$3,0,0,'Données projet'!$E$9+1,1))</f>
        <v>466.90449882701591</v>
      </c>
      <c r="T144" s="59">
        <f t="shared" si="142"/>
        <v>283.37641704892053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123.32925277368807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123.32925277368807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69.427623046544142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-4.5474735088646412E-13</v>
      </c>
      <c r="AJ144" s="13">
        <f>AI144*VLOOKUP('Données projet'!$B$10,Paramètres!$A$1:$I$89,3,0)*VLOOKUP('Données projet'!$B$10,Paramètres!$A$1:$I$89,5,0)</f>
        <v>-4.3273757910355926E-13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399.5572791581468</v>
      </c>
      <c r="AO144" s="59">
        <f t="shared" si="144"/>
        <v>246.34185986079777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86.308653830288051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86.308653830288051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69.427623046544142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5.6843418860808015E-14</v>
      </c>
      <c r="BE144" s="13">
        <f>BD144*VLOOKUP('Données projet'!$B$11,Paramètres!$A$1:$I$89,3,0)*VLOOKUP('Données projet'!$B$11,Paramètres!$A$1:$I$89,5,0)</f>
        <v>4.4337866711430253E-14</v>
      </c>
      <c r="BF144" s="13">
        <f t="shared" si="145"/>
        <v>7.3222115536967035E-13</v>
      </c>
      <c r="BG144" s="20">
        <f t="shared" si="115"/>
        <v>1.3525069634579169E-12</v>
      </c>
      <c r="BH144" s="59">
        <f t="shared" si="116"/>
        <v>291.23461783732989</v>
      </c>
      <c r="BI144" s="59">
        <f ca="1">AVERAGE(OFFSET($BH$3,0,0,'Données projet'!$E$11+1,1))-AVERAGE(OFFSET($H$3,0,0,'Données projet'!$E$11+1,1))</f>
        <v>294.23449029791681</v>
      </c>
      <c r="BJ144" s="59">
        <f t="shared" si="146"/>
        <v>288.64639202306159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22.60642802947396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22.60642802947396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69.427623046544142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-4.5474735088646412E-13</v>
      </c>
      <c r="BZ144" s="13">
        <f>BY144*VLOOKUP('Données projet'!$B$12,Paramètres!$A$1:$I$89,3,0)*VLOOKUP('Données projet'!$B$12,Paramètres!$A$1:$I$89,5,0)</f>
        <v>-4.8949004849418999E-13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445.38112098358147</v>
      </c>
      <c r="CE144" s="59">
        <f t="shared" si="148"/>
        <v>272.45883568548516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97.627821545735728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97.627821545735728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69.427623046544142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-4.5474735088646412E-13</v>
      </c>
      <c r="CU144" s="17">
        <f>CT144*VLOOKUP('Données projet'!$B$13,Paramètres!$A$1:$I$89,3,0)*VLOOKUP('Données projet'!$B$13,Paramètres!$A$1:$I$89,5,0)</f>
        <v>-4.8949004849418999E-13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445.38112098358147</v>
      </c>
      <c r="CZ144" s="59">
        <f t="shared" si="150"/>
        <v>272.45883568548516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97.627821545735728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97.627821545735728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69.427623046544142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-4.5474735088646412E-13</v>
      </c>
      <c r="DP144" s="17">
        <f>DO144*VLOOKUP('Données projet'!$B$14,Paramètres!$A$1:$I$89,3,0)*VLOOKUP('Données projet'!$B$14,Paramètres!$A$1:$I$89,5,0)</f>
        <v>-4.3983163777738812E-13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405.29179902613089</v>
      </c>
      <c r="DU144" s="59">
        <f t="shared" si="152"/>
        <v>249.61049717638238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87.723549794719048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87.723549794719048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69.427623046544142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-5.6843418860808015E-13</v>
      </c>
      <c r="EK144" s="17">
        <f>EJ144*VLOOKUP('Données projet'!$B$15,Paramètres!$A$1:$I$89,3,0)*VLOOKUP('Données projet'!$B$15,Paramètres!$A$1:$I$89,5,0)</f>
        <v>-3.39923644787632E-13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444.77624981561257</v>
      </c>
      <c r="EP144" s="59">
        <f t="shared" si="154"/>
        <v>382.10319641527587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65.29407206650923</v>
      </c>
      <c r="EW144" s="21">
        <f>EXP(-LN(2)/25)*EW143+(1-EXP(-LN(2)/25))/(LN(2)/25)*Calculateur!ER144*Calculateur!ET144*VLOOKUP('Données projet'!$B$15,Paramètres!$A$1:$I$89,3,0)*0.475*44/12</f>
        <v>7.6542157486635221</v>
      </c>
      <c r="EX144" s="21">
        <f>EXP(-LN(2)/2)*EX143+(1-EXP(-LN(2)/2))/(LN(2)/2)*ER144*EU144*VLOOKUP('Données projet'!$B$15,Paramètres!$A$1:$I$89,3,0)*0.475*44/12</f>
        <v>6.7663214675779519E-9</v>
      </c>
      <c r="EY144" s="22">
        <f t="shared" si="129"/>
        <v>72.948287821939076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69.427623046544142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3.4106051316484809E-13</v>
      </c>
      <c r="FF144" s="17">
        <f>FE144*VLOOKUP('Données projet'!$B$16,Paramètres!$A$1:$I$89,3,0)*VLOOKUP('Données projet'!$B$16,Paramètres!$A$1:$I$89,5,0)</f>
        <v>1.5074874681886286E-13</v>
      </c>
      <c r="FG144" s="13">
        <f t="shared" si="155"/>
        <v>2.1590218794584103E-12</v>
      </c>
      <c r="FH144" s="20">
        <f t="shared" si="130"/>
        <v>4.0228505074329168E-12</v>
      </c>
      <c r="FI144" s="59">
        <f t="shared" si="131"/>
        <v>291.23461783733256</v>
      </c>
      <c r="FJ144" s="59">
        <f ca="1">AVERAGE(OFFSET($FI$3,0,0,'Données projet'!$E$16+1,1))-AVERAGE(OFFSET($H$3,0,0,'Données projet'!$E$16+1,1))</f>
        <v>508.71179785154317</v>
      </c>
      <c r="FK144" s="59">
        <f t="shared" si="156"/>
        <v>422.73937290731442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83.022929261867404</v>
      </c>
      <c r="FR144" s="21">
        <f>EXP(-LN(2)/25)*FR143+(1-EXP(-LN(2)/25))/(LN(2)/25)*Calculateur!FM144*Calculateur!FO144*VLOOKUP('Données projet'!$B$16,Paramètres!$A$1:$I$89,3,0)*0.475*44/12</f>
        <v>12.540853239838423</v>
      </c>
      <c r="FS144" s="21">
        <f>EXP(-LN(2)/2)*FS143+(1-EXP(-LN(2)/2))/(LN(2)/2)*FM144*FP144*VLOOKUP('Données projet'!$B$16,Paramètres!$A$1:$I$89,3,0)*0.475*44/12</f>
        <v>2.8362788840211486E-8</v>
      </c>
      <c r="FT144" s="22">
        <f t="shared" si="132"/>
        <v>95.563782530068622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69.427623046544142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69.427623046544142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1.35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4.95</v>
      </c>
      <c r="H145" s="67">
        <f t="shared" si="110"/>
        <v>236.86666666666665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69.437552507043449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5.6843418860808015E-14</v>
      </c>
      <c r="O145" s="13">
        <f>N145*VLOOKUP('Données projet'!$B$9,Paramètres!$A$1:$I$89,3,0)*VLOOKUP('Données projet'!$B$9,Paramètres!$A$1:$I$89,5,0)</f>
        <v>5.1431925385259088E-14</v>
      </c>
      <c r="P145" s="13">
        <f t="shared" si="141"/>
        <v>8.3482866290946129E-13</v>
      </c>
      <c r="Q145" s="20">
        <f t="shared" si="108"/>
        <v>1.5435705246133045E-12</v>
      </c>
      <c r="R145" s="59">
        <f t="shared" si="109"/>
        <v>291.27102585916089</v>
      </c>
      <c r="S145" s="59">
        <f ca="1">AVERAGE(OFFSET($R$3,0,0,'Données projet'!$E$9+1,1))-AVERAGE(OFFSET($H$3,0,0,'Données projet'!$E$9+1,1))</f>
        <v>466.90449882701591</v>
      </c>
      <c r="T145" s="59">
        <f t="shared" si="142"/>
        <v>283.37641704892053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120.91084135021254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120.91084135021254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69.437552507043449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-4.5474735088646412E-13</v>
      </c>
      <c r="AJ145" s="13">
        <f>AI145*VLOOKUP('Données projet'!$B$10,Paramètres!$A$1:$I$89,3,0)*VLOOKUP('Données projet'!$B$10,Paramètres!$A$1:$I$89,5,0)</f>
        <v>-4.3273757910355926E-13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399.5572791581468</v>
      </c>
      <c r="AO145" s="59">
        <f t="shared" si="144"/>
        <v>246.34185986079777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84.616193771756869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84.616193771756869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69.437552507043449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5.6843418860808015E-14</v>
      </c>
      <c r="BE145" s="13">
        <f>BD145*VLOOKUP('Données projet'!$B$11,Paramètres!$A$1:$I$89,3,0)*VLOOKUP('Données projet'!$B$11,Paramètres!$A$1:$I$89,5,0)</f>
        <v>4.4337866711430253E-14</v>
      </c>
      <c r="BF145" s="13">
        <f t="shared" si="145"/>
        <v>7.3222115536967035E-13</v>
      </c>
      <c r="BG145" s="20">
        <f t="shared" si="115"/>
        <v>1.3525069634579169E-12</v>
      </c>
      <c r="BH145" s="59">
        <f t="shared" si="116"/>
        <v>291.27102585916072</v>
      </c>
      <c r="BI145" s="59">
        <f ca="1">AVERAGE(OFFSET($BH$3,0,0,'Données projet'!$E$11+1,1))-AVERAGE(OFFSET($H$3,0,0,'Données projet'!$E$11+1,1))</f>
        <v>294.23449029791681</v>
      </c>
      <c r="BJ145" s="59">
        <f t="shared" si="146"/>
        <v>288.64639202306159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22.163129764375565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22.163129764375565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69.437552507043449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-4.5474735088646412E-13</v>
      </c>
      <c r="BZ145" s="13">
        <f>BY145*VLOOKUP('Données projet'!$B$12,Paramètres!$A$1:$I$89,3,0)*VLOOKUP('Données projet'!$B$12,Paramètres!$A$1:$I$89,5,0)</f>
        <v>-4.8949004849418999E-13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445.38112098358147</v>
      </c>
      <c r="CE145" s="59">
        <f t="shared" si="148"/>
        <v>272.45883568548516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95.713399512315206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95.713399512315206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69.437552507043449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-4.5474735088646412E-13</v>
      </c>
      <c r="CU145" s="17">
        <f>CT145*VLOOKUP('Données projet'!$B$13,Paramètres!$A$1:$I$89,3,0)*VLOOKUP('Données projet'!$B$13,Paramètres!$A$1:$I$89,5,0)</f>
        <v>-4.8949004849418999E-13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445.38112098358147</v>
      </c>
      <c r="CZ145" s="59">
        <f t="shared" si="150"/>
        <v>272.45883568548516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95.713399512315206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95.713399512315206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69.437552507043449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-4.5474735088646412E-13</v>
      </c>
      <c r="DP145" s="17">
        <f>DO145*VLOOKUP('Données projet'!$B$14,Paramètres!$A$1:$I$89,3,0)*VLOOKUP('Données projet'!$B$14,Paramètres!$A$1:$I$89,5,0)</f>
        <v>-4.3983163777738812E-13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405.29179902613089</v>
      </c>
      <c r="DU145" s="59">
        <f t="shared" si="152"/>
        <v>249.61049717638238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86.003344489326693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86.003344489326693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69.437552507043449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-5.6843418860808015E-13</v>
      </c>
      <c r="EK145" s="17">
        <f>EJ145*VLOOKUP('Données projet'!$B$15,Paramètres!$A$1:$I$89,3,0)*VLOOKUP('Données projet'!$B$15,Paramètres!$A$1:$I$89,5,0)</f>
        <v>-3.39923644787632E-13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444.77624981561257</v>
      </c>
      <c r="EP145" s="59">
        <f t="shared" si="154"/>
        <v>382.10319641527587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64.013695138736509</v>
      </c>
      <c r="EW145" s="21">
        <f>EXP(-LN(2)/25)*EW144+(1-EXP(-LN(2)/25))/(LN(2)/25)*Calculateur!ER145*Calculateur!ET145*VLOOKUP('Données projet'!$B$15,Paramètres!$A$1:$I$89,3,0)*0.475*44/12</f>
        <v>7.4449108164986058</v>
      </c>
      <c r="EX145" s="21">
        <f>EXP(-LN(2)/2)*EX144+(1-EXP(-LN(2)/2))/(LN(2)/2)*ER145*EU145*VLOOKUP('Données projet'!$B$15,Paramètres!$A$1:$I$89,3,0)*0.475*44/12</f>
        <v>4.7845117934124819E-9</v>
      </c>
      <c r="EY145" s="22">
        <f t="shared" si="129"/>
        <v>71.458605960019625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69.437552507043449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3.4106051316484809E-13</v>
      </c>
      <c r="FF145" s="17">
        <f>FE145*VLOOKUP('Données projet'!$B$16,Paramètres!$A$1:$I$89,3,0)*VLOOKUP('Données projet'!$B$16,Paramètres!$A$1:$I$89,5,0)</f>
        <v>1.5074874681886286E-13</v>
      </c>
      <c r="FG145" s="13">
        <f t="shared" si="155"/>
        <v>2.1590218794584103E-12</v>
      </c>
      <c r="FH145" s="20">
        <f t="shared" si="130"/>
        <v>4.0228505074329168E-12</v>
      </c>
      <c r="FI145" s="59">
        <f t="shared" si="131"/>
        <v>291.27102585916339</v>
      </c>
      <c r="FJ145" s="59">
        <f ca="1">AVERAGE(OFFSET($FI$3,0,0,'Données projet'!$E$16+1,1))-AVERAGE(OFFSET($H$3,0,0,'Données projet'!$E$16+1,1))</f>
        <v>508.71179785154317</v>
      </c>
      <c r="FK145" s="59">
        <f t="shared" si="156"/>
        <v>422.73937290731442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81.394900258028855</v>
      </c>
      <c r="FR145" s="21">
        <f>EXP(-LN(2)/25)*FR144+(1-EXP(-LN(2)/25))/(LN(2)/25)*Calculateur!FM145*Calculateur!FO145*VLOOKUP('Données projet'!$B$16,Paramètres!$A$1:$I$89,3,0)*0.475*44/12</f>
        <v>12.197922948500231</v>
      </c>
      <c r="FS145" s="21">
        <f>EXP(-LN(2)/2)*FS144+(1-EXP(-LN(2)/2))/(LN(2)/2)*FM145*FP145*VLOOKUP('Données projet'!$B$16,Paramètres!$A$1:$I$89,3,0)*0.475*44/12</f>
        <v>2.0055520322275675E-8</v>
      </c>
      <c r="FT145" s="22">
        <f t="shared" si="132"/>
        <v>93.592823226584613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69.437552507043449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69.437552507043449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1.35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4.95</v>
      </c>
      <c r="H146" s="67">
        <f t="shared" si="110"/>
        <v>236.86666666666665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69.447309713602024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5.6843418860808015E-14</v>
      </c>
      <c r="O146" s="13">
        <f>N146*VLOOKUP('Données projet'!$B$9,Paramètres!$A$1:$I$89,3,0)*VLOOKUP('Données projet'!$B$9,Paramètres!$A$1:$I$89,5,0)</f>
        <v>5.1431925385259088E-14</v>
      </c>
      <c r="P146" s="13">
        <f t="shared" si="141"/>
        <v>8.3482866290946129E-13</v>
      </c>
      <c r="Q146" s="20">
        <f t="shared" si="108"/>
        <v>1.5435705246133045E-12</v>
      </c>
      <c r="R146" s="59">
        <f t="shared" si="109"/>
        <v>291.30680228320898</v>
      </c>
      <c r="S146" s="59">
        <f ca="1">AVERAGE(OFFSET($R$3,0,0,'Données projet'!$E$9+1,1))-AVERAGE(OFFSET($H$3,0,0,'Données projet'!$E$9+1,1))</f>
        <v>466.90449882701591</v>
      </c>
      <c r="T146" s="59">
        <f t="shared" si="142"/>
        <v>283.37641704892053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118.53985349966605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118.53985349966605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69.447309713602024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-4.5474735088646412E-13</v>
      </c>
      <c r="AJ146" s="13">
        <f>AI146*VLOOKUP('Données projet'!$B$10,Paramètres!$A$1:$I$89,3,0)*VLOOKUP('Données projet'!$B$10,Paramètres!$A$1:$I$89,5,0)</f>
        <v>-4.3273757910355926E-13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399.5572791581468</v>
      </c>
      <c r="AO146" s="59">
        <f t="shared" si="144"/>
        <v>246.34185986079777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82.956921822674772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82.956921822674772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69.447309713602024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5.6843418860808015E-14</v>
      </c>
      <c r="BE146" s="13">
        <f>BD146*VLOOKUP('Données projet'!$B$11,Paramètres!$A$1:$I$89,3,0)*VLOOKUP('Données projet'!$B$11,Paramètres!$A$1:$I$89,5,0)</f>
        <v>4.4337866711430253E-14</v>
      </c>
      <c r="BF146" s="13">
        <f t="shared" si="145"/>
        <v>7.3222115536967035E-13</v>
      </c>
      <c r="BG146" s="20">
        <f t="shared" si="115"/>
        <v>1.3525069634579169E-12</v>
      </c>
      <c r="BH146" s="59">
        <f t="shared" si="116"/>
        <v>291.30680228320881</v>
      </c>
      <c r="BI146" s="59">
        <f ca="1">AVERAGE(OFFSET($BH$3,0,0,'Données projet'!$E$11+1,1))-AVERAGE(OFFSET($H$3,0,0,'Données projet'!$E$11+1,1))</f>
        <v>294.23449029791681</v>
      </c>
      <c r="BJ146" s="59">
        <f t="shared" si="146"/>
        <v>288.64639202306159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21.728524307870508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21.728524307870508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69.447309713602024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-4.5474735088646412E-13</v>
      </c>
      <c r="BZ146" s="13">
        <f>BY146*VLOOKUP('Données projet'!$B$12,Paramètres!$A$1:$I$89,3,0)*VLOOKUP('Données projet'!$B$12,Paramètres!$A$1:$I$89,5,0)</f>
        <v>-4.8949004849418999E-13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445.38112098358147</v>
      </c>
      <c r="CE146" s="59">
        <f t="shared" si="148"/>
        <v>272.45883568548516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93.836518127287917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93.836518127287917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69.447309713602024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-4.5474735088646412E-13</v>
      </c>
      <c r="CU146" s="17">
        <f>CT146*VLOOKUP('Données projet'!$B$13,Paramètres!$A$1:$I$89,3,0)*VLOOKUP('Données projet'!$B$13,Paramètres!$A$1:$I$89,5,0)</f>
        <v>-4.8949004849418999E-13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445.38112098358147</v>
      </c>
      <c r="CZ146" s="59">
        <f t="shared" si="150"/>
        <v>272.45883568548516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93.836518127287917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93.836518127287917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69.447309713602024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-4.5474735088646412E-13</v>
      </c>
      <c r="DP146" s="17">
        <f>DO146*VLOOKUP('Données projet'!$B$14,Paramètres!$A$1:$I$89,3,0)*VLOOKUP('Données projet'!$B$14,Paramètres!$A$1:$I$89,5,0)</f>
        <v>-4.3983163777738812E-13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405.29179902613089</v>
      </c>
      <c r="DU146" s="59">
        <f t="shared" si="152"/>
        <v>249.61049717638238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84.316871360751449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84.316871360751449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69.447309713602024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-5.6843418860808015E-13</v>
      </c>
      <c r="EK146" s="17">
        <f>EJ146*VLOOKUP('Données projet'!$B$15,Paramètres!$A$1:$I$89,3,0)*VLOOKUP('Données projet'!$B$15,Paramètres!$A$1:$I$89,5,0)</f>
        <v>-3.39923644787632E-13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444.77624981561257</v>
      </c>
      <c r="EP146" s="59">
        <f t="shared" si="154"/>
        <v>382.10319641527587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62.758425621564598</v>
      </c>
      <c r="EW146" s="21">
        <f>EXP(-LN(2)/25)*EW145+(1-EXP(-LN(2)/25))/(LN(2)/25)*Calculateur!ER146*Calculateur!ET146*VLOOKUP('Données projet'!$B$15,Paramètres!$A$1:$I$89,3,0)*0.475*44/12</f>
        <v>7.2413293387106075</v>
      </c>
      <c r="EX146" s="21">
        <f>EXP(-LN(2)/2)*EX145+(1-EXP(-LN(2)/2))/(LN(2)/2)*ER146*EU146*VLOOKUP('Données projet'!$B$15,Paramètres!$A$1:$I$89,3,0)*0.475*44/12</f>
        <v>3.3831607337889759E-9</v>
      </c>
      <c r="EY146" s="22">
        <f t="shared" si="129"/>
        <v>69.999754963658376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69.447309713602024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3.4106051316484809E-13</v>
      </c>
      <c r="FF146" s="17">
        <f>FE146*VLOOKUP('Données projet'!$B$16,Paramètres!$A$1:$I$89,3,0)*VLOOKUP('Données projet'!$B$16,Paramètres!$A$1:$I$89,5,0)</f>
        <v>1.5074874681886286E-13</v>
      </c>
      <c r="FG146" s="13">
        <f t="shared" si="155"/>
        <v>2.1590218794584103E-12</v>
      </c>
      <c r="FH146" s="20">
        <f t="shared" si="130"/>
        <v>4.0228505074329168E-12</v>
      </c>
      <c r="FI146" s="59">
        <f t="shared" si="131"/>
        <v>291.30680228321148</v>
      </c>
      <c r="FJ146" s="59">
        <f ca="1">AVERAGE(OFFSET($FI$3,0,0,'Données projet'!$E$16+1,1))-AVERAGE(OFFSET($H$3,0,0,'Données projet'!$E$16+1,1))</f>
        <v>508.71179785154317</v>
      </c>
      <c r="FK146" s="59">
        <f t="shared" si="156"/>
        <v>422.73937290731442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79.798795909955928</v>
      </c>
      <c r="FR146" s="21">
        <f>EXP(-LN(2)/25)*FR145+(1-EXP(-LN(2)/25))/(LN(2)/25)*Calculateur!FM146*Calculateur!FO146*VLOOKUP('Données projet'!$B$16,Paramètres!$A$1:$I$89,3,0)*0.475*44/12</f>
        <v>11.864370104012604</v>
      </c>
      <c r="FS146" s="21">
        <f>EXP(-LN(2)/2)*FS145+(1-EXP(-LN(2)/2))/(LN(2)/2)*FM146*FP146*VLOOKUP('Données projet'!$B$16,Paramètres!$A$1:$I$89,3,0)*0.475*44/12</f>
        <v>1.4181394420105743E-8</v>
      </c>
      <c r="FT146" s="22">
        <f t="shared" si="132"/>
        <v>91.663166028149931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69.447309713602024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69.447309713602024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1.35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4.95</v>
      </c>
      <c r="H147" s="67">
        <f t="shared" si="110"/>
        <v>236.86666666666665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69.456897654440667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5.6843418860808015E-14</v>
      </c>
      <c r="O147" s="13">
        <f>N147*VLOOKUP('Données projet'!$B$9,Paramètres!$A$1:$I$89,3,0)*VLOOKUP('Données projet'!$B$9,Paramètres!$A$1:$I$89,5,0)</f>
        <v>5.1431925385259088E-14</v>
      </c>
      <c r="P147" s="13">
        <f t="shared" si="141"/>
        <v>8.3482866290946129E-13</v>
      </c>
      <c r="Q147" s="20">
        <f t="shared" si="108"/>
        <v>1.5435705246133045E-12</v>
      </c>
      <c r="R147" s="59">
        <f t="shared" si="109"/>
        <v>291.34195806628395</v>
      </c>
      <c r="S147" s="59">
        <f ca="1">AVERAGE(OFFSET($R$3,0,0,'Données projet'!$E$9+1,1))-AVERAGE(OFFSET($H$3,0,0,'Données projet'!$E$9+1,1))</f>
        <v>466.90449882701591</v>
      </c>
      <c r="T147" s="59">
        <f t="shared" si="142"/>
        <v>283.37641704892053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116.21535927470899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116.21535927470899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69.456897654440667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-4.5474735088646412E-13</v>
      </c>
      <c r="AJ147" s="13">
        <f>AI147*VLOOKUP('Données projet'!$B$10,Paramètres!$A$1:$I$89,3,0)*VLOOKUP('Données projet'!$B$10,Paramètres!$A$1:$I$89,5,0)</f>
        <v>-4.3273757910355926E-13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399.5572791581468</v>
      </c>
      <c r="AO147" s="59">
        <f t="shared" si="144"/>
        <v>246.34185986079777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81.330187184458225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81.330187184458225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69.456897654440667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5.6843418860808015E-14</v>
      </c>
      <c r="BE147" s="13">
        <f>BD147*VLOOKUP('Données projet'!$B$11,Paramètres!$A$1:$I$89,3,0)*VLOOKUP('Données projet'!$B$11,Paramètres!$A$1:$I$89,5,0)</f>
        <v>4.4337866711430253E-14</v>
      </c>
      <c r="BF147" s="13">
        <f t="shared" si="145"/>
        <v>7.3222115536967035E-13</v>
      </c>
      <c r="BG147" s="20">
        <f t="shared" si="115"/>
        <v>1.3525069634579169E-12</v>
      </c>
      <c r="BH147" s="59">
        <f t="shared" si="116"/>
        <v>291.34195806628378</v>
      </c>
      <c r="BI147" s="59">
        <f ca="1">AVERAGE(OFFSET($BH$3,0,0,'Données projet'!$E$11+1,1))-AVERAGE(OFFSET($H$3,0,0,'Données projet'!$E$11+1,1))</f>
        <v>294.23449029791681</v>
      </c>
      <c r="BJ147" s="59">
        <f t="shared" si="146"/>
        <v>288.64639202306159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21.30244119928436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21.30244119928436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69.456897654440667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-4.5474735088646412E-13</v>
      </c>
      <c r="BZ147" s="13">
        <f>BY147*VLOOKUP('Données projet'!$B$12,Paramètres!$A$1:$I$89,3,0)*VLOOKUP('Données projet'!$B$12,Paramètres!$A$1:$I$89,5,0)</f>
        <v>-4.8949004849418999E-13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445.38112098358147</v>
      </c>
      <c r="CE147" s="59">
        <f t="shared" si="148"/>
        <v>272.45883568548516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91.996441241436415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91.996441241436415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69.456897654440667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-4.5474735088646412E-13</v>
      </c>
      <c r="CU147" s="17">
        <f>CT147*VLOOKUP('Données projet'!$B$13,Paramètres!$A$1:$I$89,3,0)*VLOOKUP('Données projet'!$B$13,Paramètres!$A$1:$I$89,5,0)</f>
        <v>-4.8949004849418999E-13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445.38112098358147</v>
      </c>
      <c r="CZ147" s="59">
        <f t="shared" si="150"/>
        <v>272.45883568548516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91.996441241436415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91.996441241436415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69.456897654440667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-4.5474735088646412E-13</v>
      </c>
      <c r="DP147" s="17">
        <f>DO147*VLOOKUP('Données projet'!$B$14,Paramètres!$A$1:$I$89,3,0)*VLOOKUP('Données projet'!$B$14,Paramètres!$A$1:$I$89,5,0)</f>
        <v>-4.3983163777738812E-13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405.29179902613089</v>
      </c>
      <c r="DU147" s="59">
        <f t="shared" si="152"/>
        <v>249.61049717638238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82.663468941580533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82.663468941580533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69.456897654440667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-5.6843418860808015E-13</v>
      </c>
      <c r="EK147" s="17">
        <f>EJ147*VLOOKUP('Données projet'!$B$15,Paramètres!$A$1:$I$89,3,0)*VLOOKUP('Données projet'!$B$15,Paramètres!$A$1:$I$89,5,0)</f>
        <v>-3.39923644787632E-13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444.77624981561257</v>
      </c>
      <c r="EP147" s="59">
        <f t="shared" si="154"/>
        <v>382.10319641527587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61.52777117398562</v>
      </c>
      <c r="EW147" s="21">
        <f>EXP(-LN(2)/25)*EW146+(1-EXP(-LN(2)/25))/(LN(2)/25)*Calculateur!ER147*Calculateur!ET147*VLOOKUP('Données projet'!$B$15,Paramètres!$A$1:$I$89,3,0)*0.475*44/12</f>
        <v>7.0433148071386062</v>
      </c>
      <c r="EX147" s="21">
        <f>EXP(-LN(2)/2)*EX146+(1-EXP(-LN(2)/2))/(LN(2)/2)*ER147*EU147*VLOOKUP('Données projet'!$B$15,Paramètres!$A$1:$I$89,3,0)*0.475*44/12</f>
        <v>2.3922558967062409E-9</v>
      </c>
      <c r="EY147" s="22">
        <f t="shared" si="129"/>
        <v>68.571085983516483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69.456897654440667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3.4106051316484809E-13</v>
      </c>
      <c r="FF147" s="17">
        <f>FE147*VLOOKUP('Données projet'!$B$16,Paramètres!$A$1:$I$89,3,0)*VLOOKUP('Données projet'!$B$16,Paramètres!$A$1:$I$89,5,0)</f>
        <v>1.5074874681886286E-13</v>
      </c>
      <c r="FG147" s="13">
        <f t="shared" si="155"/>
        <v>2.1590218794584103E-12</v>
      </c>
      <c r="FH147" s="20">
        <f t="shared" si="130"/>
        <v>4.0228505074329168E-12</v>
      </c>
      <c r="FI147" s="59">
        <f t="shared" si="131"/>
        <v>291.34195806628645</v>
      </c>
      <c r="FJ147" s="59">
        <f ca="1">AVERAGE(OFFSET($FI$3,0,0,'Données projet'!$E$16+1,1))-AVERAGE(OFFSET($H$3,0,0,'Données projet'!$E$16+1,1))</f>
        <v>508.71179785154317</v>
      </c>
      <c r="FK147" s="59">
        <f t="shared" si="156"/>
        <v>422.73937290731442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78.233990194621185</v>
      </c>
      <c r="FR147" s="21">
        <f>EXP(-LN(2)/25)*FR146+(1-EXP(-LN(2)/25))/(LN(2)/25)*Calculateur!FM147*Calculateur!FO147*VLOOKUP('Données projet'!$B$16,Paramètres!$A$1:$I$89,3,0)*0.475*44/12</f>
        <v>11.539938279598273</v>
      </c>
      <c r="FS147" s="21">
        <f>EXP(-LN(2)/2)*FS146+(1-EXP(-LN(2)/2))/(LN(2)/2)*FM147*FP147*VLOOKUP('Données projet'!$B$16,Paramètres!$A$1:$I$89,3,0)*0.475*44/12</f>
        <v>1.0027760161137837E-8</v>
      </c>
      <c r="FT147" s="22">
        <f t="shared" si="132"/>
        <v>89.773928484247222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69.456897654440667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69.456897654440667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1.35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4.95</v>
      </c>
      <c r="H148" s="67">
        <f t="shared" si="110"/>
        <v>236.86666666666665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69.466319265941166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5.6843418860808015E-14</v>
      </c>
      <c r="O148" s="13">
        <f>N148*VLOOKUP('Données projet'!$B$9,Paramètres!$A$1:$I$89,3,0)*VLOOKUP('Données projet'!$B$9,Paramètres!$A$1:$I$89,5,0)</f>
        <v>5.1431925385259088E-14</v>
      </c>
      <c r="P148" s="13">
        <f t="shared" si="141"/>
        <v>8.3482866290946129E-13</v>
      </c>
      <c r="Q148" s="20">
        <f t="shared" si="108"/>
        <v>1.5435705246133045E-12</v>
      </c>
      <c r="R148" s="59">
        <f t="shared" si="109"/>
        <v>291.37650397511914</v>
      </c>
      <c r="S148" s="59">
        <f ca="1">AVERAGE(OFFSET($R$3,0,0,'Données projet'!$E$9+1,1))-AVERAGE(OFFSET($H$3,0,0,'Données projet'!$E$9+1,1))</f>
        <v>466.90449882701591</v>
      </c>
      <c r="T148" s="59">
        <f t="shared" si="142"/>
        <v>283.37641704892053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113.93644696370185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113.93644696370185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69.466319265941166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-4.5474735088646412E-13</v>
      </c>
      <c r="AJ148" s="13">
        <f>AI148*VLOOKUP('Données projet'!$B$10,Paramètres!$A$1:$I$89,3,0)*VLOOKUP('Données projet'!$B$10,Paramètres!$A$1:$I$89,5,0)</f>
        <v>-4.3273757910355926E-13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399.5572791581468</v>
      </c>
      <c r="AO148" s="59">
        <f t="shared" si="144"/>
        <v>246.34185986079777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79.735351820286951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79.735351820286951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69.466319265941166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5.6843418860808015E-14</v>
      </c>
      <c r="BE148" s="13">
        <f>BD148*VLOOKUP('Données projet'!$B$11,Paramètres!$A$1:$I$89,3,0)*VLOOKUP('Données projet'!$B$11,Paramètres!$A$1:$I$89,5,0)</f>
        <v>4.4337866711430253E-14</v>
      </c>
      <c r="BF148" s="13">
        <f t="shared" si="145"/>
        <v>7.3222115536967035E-13</v>
      </c>
      <c r="BG148" s="20">
        <f t="shared" si="115"/>
        <v>1.3525069634579169E-12</v>
      </c>
      <c r="BH148" s="59">
        <f t="shared" si="116"/>
        <v>291.37650397511896</v>
      </c>
      <c r="BI148" s="59">
        <f ca="1">AVERAGE(OFFSET($BH$3,0,0,'Données projet'!$E$11+1,1))-AVERAGE(OFFSET($H$3,0,0,'Données projet'!$E$11+1,1))</f>
        <v>294.23449029791681</v>
      </c>
      <c r="BJ148" s="59">
        <f t="shared" si="146"/>
        <v>288.64639202306159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20.884713320572551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20.884713320572551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69.466319265941166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-4.5474735088646412E-13</v>
      </c>
      <c r="BZ148" s="13">
        <f>BY148*VLOOKUP('Données projet'!$B$12,Paramètres!$A$1:$I$89,3,0)*VLOOKUP('Données projet'!$B$12,Paramètres!$A$1:$I$89,5,0)</f>
        <v>-4.8949004849418999E-13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445.38112098358147</v>
      </c>
      <c r="CE148" s="59">
        <f t="shared" si="148"/>
        <v>272.45883568548516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90.192447140980377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90.192447140980377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69.466319265941166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-4.5474735088646412E-13</v>
      </c>
      <c r="CU148" s="17">
        <f>CT148*VLOOKUP('Données projet'!$B$13,Paramètres!$A$1:$I$89,3,0)*VLOOKUP('Données projet'!$B$13,Paramètres!$A$1:$I$89,5,0)</f>
        <v>-4.8949004849418999E-13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445.38112098358147</v>
      </c>
      <c r="CZ148" s="59">
        <f t="shared" si="150"/>
        <v>272.45883568548516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90.192447140980377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90.192447140980377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69.466319265941166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-4.5474735088646412E-13</v>
      </c>
      <c r="DP148" s="17">
        <f>DO148*VLOOKUP('Données projet'!$B$14,Paramètres!$A$1:$I$89,3,0)*VLOOKUP('Données projet'!$B$14,Paramètres!$A$1:$I$89,5,0)</f>
        <v>-4.3983163777738812E-13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405.29179902613089</v>
      </c>
      <c r="DU148" s="59">
        <f t="shared" si="152"/>
        <v>249.61049717638238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81.042488735373652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81.042488735373652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69.466319265941166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-5.6843418860808015E-13</v>
      </c>
      <c r="EK148" s="17">
        <f>EJ148*VLOOKUP('Données projet'!$B$15,Paramètres!$A$1:$I$89,3,0)*VLOOKUP('Données projet'!$B$15,Paramètres!$A$1:$I$89,5,0)</f>
        <v>-3.39923644787632E-13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444.77624981561257</v>
      </c>
      <c r="EP148" s="59">
        <f t="shared" si="154"/>
        <v>382.10319641527587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60.321249109498574</v>
      </c>
      <c r="EW148" s="21">
        <f>EXP(-LN(2)/25)*EW147+(1-EXP(-LN(2)/25))/(LN(2)/25)*Calculateur!ER148*Calculateur!ET148*VLOOKUP('Données projet'!$B$15,Paramètres!$A$1:$I$89,3,0)*0.475*44/12</f>
        <v>6.8507149933455729</v>
      </c>
      <c r="EX148" s="21">
        <f>EXP(-LN(2)/2)*EX147+(1-EXP(-LN(2)/2))/(LN(2)/2)*ER148*EU148*VLOOKUP('Données projet'!$B$15,Paramètres!$A$1:$I$89,3,0)*0.475*44/12</f>
        <v>1.691580366894488E-9</v>
      </c>
      <c r="EY148" s="22">
        <f t="shared" si="129"/>
        <v>67.171964104535718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69.466319265941166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3.4106051316484809E-13</v>
      </c>
      <c r="FF148" s="17">
        <f>FE148*VLOOKUP('Données projet'!$B$16,Paramètres!$A$1:$I$89,3,0)*VLOOKUP('Données projet'!$B$16,Paramètres!$A$1:$I$89,5,0)</f>
        <v>1.5074874681886286E-13</v>
      </c>
      <c r="FG148" s="13">
        <f t="shared" si="155"/>
        <v>2.1590218794584103E-12</v>
      </c>
      <c r="FH148" s="20">
        <f t="shared" si="130"/>
        <v>4.0228505074329168E-12</v>
      </c>
      <c r="FI148" s="59">
        <f t="shared" si="131"/>
        <v>291.37650397512164</v>
      </c>
      <c r="FJ148" s="59">
        <f ca="1">AVERAGE(OFFSET($FI$3,0,0,'Données projet'!$E$16+1,1))-AVERAGE(OFFSET($H$3,0,0,'Données projet'!$E$16+1,1))</f>
        <v>508.71179785154317</v>
      </c>
      <c r="FK148" s="59">
        <f t="shared" si="156"/>
        <v>422.73937290731442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76.699869364926926</v>
      </c>
      <c r="FR148" s="21">
        <f>EXP(-LN(2)/25)*FR147+(1-EXP(-LN(2)/25))/(LN(2)/25)*Calculateur!FM148*Calculateur!FO148*VLOOKUP('Données projet'!$B$16,Paramètres!$A$1:$I$89,3,0)*0.475*44/12</f>
        <v>11.224378060483678</v>
      </c>
      <c r="FS148" s="21">
        <f>EXP(-LN(2)/2)*FS147+(1-EXP(-LN(2)/2))/(LN(2)/2)*FM148*FP148*VLOOKUP('Données projet'!$B$16,Paramètres!$A$1:$I$89,3,0)*0.475*44/12</f>
        <v>7.0906972100528714E-9</v>
      </c>
      <c r="FT148" s="22">
        <f t="shared" si="132"/>
        <v>87.924247432501289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69.466319265941166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69.466319265941166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1.35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4.95</v>
      </c>
      <c r="H149" s="67">
        <f t="shared" si="110"/>
        <v>236.86666666666665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69.475577433545709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5.6843418860808015E-14</v>
      </c>
      <c r="O149" s="13">
        <f>N149*VLOOKUP('Données projet'!$B$9,Paramètres!$A$1:$I$89,3,0)*VLOOKUP('Données projet'!$B$9,Paramètres!$A$1:$I$89,5,0)</f>
        <v>5.1431925385259088E-14</v>
      </c>
      <c r="P149" s="13">
        <f t="shared" si="141"/>
        <v>8.3482866290946129E-13</v>
      </c>
      <c r="Q149" s="20">
        <f t="shared" si="108"/>
        <v>1.5435705246133045E-12</v>
      </c>
      <c r="R149" s="59">
        <f t="shared" si="109"/>
        <v>291.41045058966915</v>
      </c>
      <c r="S149" s="59">
        <f ca="1">AVERAGE(OFFSET($R$3,0,0,'Données projet'!$E$9+1,1))-AVERAGE(OFFSET($H$3,0,0,'Données projet'!$E$9+1,1))</f>
        <v>466.90449882701591</v>
      </c>
      <c r="T149" s="59">
        <f t="shared" si="142"/>
        <v>283.37641704892053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111.70222273311431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111.70222273311431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69.475577433545709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-4.5474735088646412E-13</v>
      </c>
      <c r="AJ149" s="13">
        <f>AI149*VLOOKUP('Données projet'!$B$10,Paramètres!$A$1:$I$89,3,0)*VLOOKUP('Données projet'!$B$10,Paramètres!$A$1:$I$89,5,0)</f>
        <v>-4.3273757910355926E-13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399.5572791581468</v>
      </c>
      <c r="AO149" s="59">
        <f t="shared" si="144"/>
        <v>246.34185986079777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78.171790204853551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78.171790204853551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69.475577433545709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5.6843418860808015E-14</v>
      </c>
      <c r="BE149" s="13">
        <f>BD149*VLOOKUP('Données projet'!$B$11,Paramètres!$A$1:$I$89,3,0)*VLOOKUP('Données projet'!$B$11,Paramètres!$A$1:$I$89,5,0)</f>
        <v>4.4337866711430253E-14</v>
      </c>
      <c r="BF149" s="13">
        <f t="shared" si="145"/>
        <v>7.3222115536967035E-13</v>
      </c>
      <c r="BG149" s="20">
        <f t="shared" si="115"/>
        <v>1.3525069634579169E-12</v>
      </c>
      <c r="BH149" s="59">
        <f t="shared" si="116"/>
        <v>291.41045058966898</v>
      </c>
      <c r="BI149" s="59">
        <f ca="1">AVERAGE(OFFSET($BH$3,0,0,'Données projet'!$E$11+1,1))-AVERAGE(OFFSET($H$3,0,0,'Données projet'!$E$11+1,1))</f>
        <v>294.23449029791681</v>
      </c>
      <c r="BJ149" s="59">
        <f t="shared" si="146"/>
        <v>288.64639202306159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20.475176830773435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20.475176830773435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69.475577433545709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-4.5474735088646412E-13</v>
      </c>
      <c r="BZ149" s="13">
        <f>BY149*VLOOKUP('Données projet'!$B$12,Paramètres!$A$1:$I$89,3,0)*VLOOKUP('Données projet'!$B$12,Paramètres!$A$1:$I$89,5,0)</f>
        <v>-4.8949004849418999E-13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445.38112098358147</v>
      </c>
      <c r="CE149" s="59">
        <f t="shared" si="148"/>
        <v>272.45883568548516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88.423828264506525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88.423828264506525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69.475577433545709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-4.5474735088646412E-13</v>
      </c>
      <c r="CU149" s="17">
        <f>CT149*VLOOKUP('Données projet'!$B$13,Paramètres!$A$1:$I$89,3,0)*VLOOKUP('Données projet'!$B$13,Paramètres!$A$1:$I$89,5,0)</f>
        <v>-4.8949004849418999E-13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445.38112098358147</v>
      </c>
      <c r="CZ149" s="59">
        <f t="shared" si="150"/>
        <v>272.45883568548516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88.423828264506525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88.423828264506525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69.475577433545709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-4.5474735088646412E-13</v>
      </c>
      <c r="DP149" s="17">
        <f>DO149*VLOOKUP('Données projet'!$B$14,Paramètres!$A$1:$I$89,3,0)*VLOOKUP('Données projet'!$B$14,Paramètres!$A$1:$I$89,5,0)</f>
        <v>-4.3983163777738812E-13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405.29179902613089</v>
      </c>
      <c r="DU149" s="59">
        <f t="shared" si="152"/>
        <v>249.61049717638238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79.453294962310196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79.453294962310196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69.475577433545709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-5.6843418860808015E-13</v>
      </c>
      <c r="EK149" s="17">
        <f>EJ149*VLOOKUP('Données projet'!$B$15,Paramètres!$A$1:$I$89,3,0)*VLOOKUP('Données projet'!$B$15,Paramètres!$A$1:$I$89,5,0)</f>
        <v>-3.39923644787632E-13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444.77624981561257</v>
      </c>
      <c r="EP149" s="59">
        <f t="shared" si="154"/>
        <v>382.10319641527587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59.138386206790322</v>
      </c>
      <c r="EW149" s="21">
        <f>EXP(-LN(2)/25)*EW148+(1-EXP(-LN(2)/25))/(LN(2)/25)*Calculateur!ER149*Calculateur!ET149*VLOOKUP('Données projet'!$B$15,Paramètres!$A$1:$I$89,3,0)*0.475*44/12</f>
        <v>6.6633818315890938</v>
      </c>
      <c r="EX149" s="21">
        <f>EXP(-LN(2)/2)*EX148+(1-EXP(-LN(2)/2))/(LN(2)/2)*ER149*EU149*VLOOKUP('Données projet'!$B$15,Paramètres!$A$1:$I$89,3,0)*0.475*44/12</f>
        <v>1.1961279483531205E-9</v>
      </c>
      <c r="EY149" s="22">
        <f t="shared" si="129"/>
        <v>65.801768039575549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69.475577433545709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3.4106051316484809E-13</v>
      </c>
      <c r="FF149" s="17">
        <f>FE149*VLOOKUP('Données projet'!$B$16,Paramètres!$A$1:$I$89,3,0)*VLOOKUP('Données projet'!$B$16,Paramètres!$A$1:$I$89,5,0)</f>
        <v>1.5074874681886286E-13</v>
      </c>
      <c r="FG149" s="13">
        <f t="shared" si="155"/>
        <v>2.1590218794584103E-12</v>
      </c>
      <c r="FH149" s="20">
        <f t="shared" si="130"/>
        <v>4.0228505074329168E-12</v>
      </c>
      <c r="FI149" s="59">
        <f t="shared" si="131"/>
        <v>291.41045058967165</v>
      </c>
      <c r="FJ149" s="59">
        <f ca="1">AVERAGE(OFFSET($FI$3,0,0,'Données projet'!$E$16+1,1))-AVERAGE(OFFSET($H$3,0,0,'Données projet'!$E$16+1,1))</f>
        <v>508.71179785154317</v>
      </c>
      <c r="FK149" s="59">
        <f t="shared" si="156"/>
        <v>422.73937290731442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75.195831708981657</v>
      </c>
      <c r="FR149" s="21">
        <f>EXP(-LN(2)/25)*FR148+(1-EXP(-LN(2)/25))/(LN(2)/25)*Calculateur!FM149*Calculateur!FO149*VLOOKUP('Données projet'!$B$16,Paramètres!$A$1:$I$89,3,0)*0.475*44/12</f>
        <v>10.917446852155363</v>
      </c>
      <c r="FS149" s="21">
        <f>EXP(-LN(2)/2)*FS148+(1-EXP(-LN(2)/2))/(LN(2)/2)*FM149*FP149*VLOOKUP('Données projet'!$B$16,Paramètres!$A$1:$I$89,3,0)*0.475*44/12</f>
        <v>5.0138800805689187E-9</v>
      </c>
      <c r="FT149" s="22">
        <f t="shared" si="132"/>
        <v>86.113278566150896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69.475577433545709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69.475577433545709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1.35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4.95</v>
      </c>
      <c r="H150" s="67">
        <f t="shared" si="110"/>
        <v>236.86666666666665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69.484674992640478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5.6843418860808015E-14</v>
      </c>
      <c r="O150" s="13">
        <f>N150*VLOOKUP('Données projet'!$B$9,Paramètres!$A$1:$I$89,3,0)*VLOOKUP('Données projet'!$B$9,Paramètres!$A$1:$I$89,5,0)</f>
        <v>5.1431925385259088E-14</v>
      </c>
      <c r="P150" s="13">
        <f t="shared" si="141"/>
        <v>8.3482866290946129E-13</v>
      </c>
      <c r="Q150" s="20">
        <f t="shared" si="108"/>
        <v>1.5435705246133045E-12</v>
      </c>
      <c r="R150" s="59">
        <f t="shared" si="109"/>
        <v>291.44380830634998</v>
      </c>
      <c r="S150" s="59">
        <f ca="1">AVERAGE(OFFSET($R$3,0,0,'Données projet'!$E$9+1,1))-AVERAGE(OFFSET($H$3,0,0,'Données projet'!$E$9+1,1))</f>
        <v>466.90449882701591</v>
      </c>
      <c r="T150" s="59">
        <f t="shared" si="142"/>
        <v>283.37641704892053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109.51181027694636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109.51181027694636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69.484674992640478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-4.5474735088646412E-13</v>
      </c>
      <c r="AJ150" s="13">
        <f>AI150*VLOOKUP('Données projet'!$B$10,Paramètres!$A$1:$I$89,3,0)*VLOOKUP('Données projet'!$B$10,Paramètres!$A$1:$I$89,5,0)</f>
        <v>-4.3273757910355926E-13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399.5572791581468</v>
      </c>
      <c r="AO150" s="59">
        <f t="shared" si="144"/>
        <v>246.34185986079777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76.638889079020373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76.638889079020373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69.484674992640478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5.6843418860808015E-14</v>
      </c>
      <c r="BE150" s="13">
        <f>BD150*VLOOKUP('Données projet'!$B$11,Paramètres!$A$1:$I$89,3,0)*VLOOKUP('Données projet'!$B$11,Paramètres!$A$1:$I$89,5,0)</f>
        <v>4.4337866711430253E-14</v>
      </c>
      <c r="BF150" s="13">
        <f t="shared" si="145"/>
        <v>7.3222115536967035E-13</v>
      </c>
      <c r="BG150" s="20">
        <f t="shared" si="115"/>
        <v>1.3525069634579169E-12</v>
      </c>
      <c r="BH150" s="59">
        <f t="shared" si="116"/>
        <v>291.44380830634981</v>
      </c>
      <c r="BI150" s="59">
        <f ca="1">AVERAGE(OFFSET($BH$3,0,0,'Données projet'!$E$11+1,1))-AVERAGE(OFFSET($H$3,0,0,'Données projet'!$E$11+1,1))</f>
        <v>294.23449029791681</v>
      </c>
      <c r="BJ150" s="59">
        <f t="shared" si="146"/>
        <v>288.64639202306159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20.073671101746687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20.073671101746687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69.484674992640478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-4.5474735088646412E-13</v>
      </c>
      <c r="BZ150" s="13">
        <f>BY150*VLOOKUP('Données projet'!$B$12,Paramètres!$A$1:$I$89,3,0)*VLOOKUP('Données projet'!$B$12,Paramètres!$A$1:$I$89,5,0)</f>
        <v>-4.8949004849418999E-13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445.38112098358147</v>
      </c>
      <c r="CE150" s="59">
        <f t="shared" si="148"/>
        <v>272.45883568548516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86.689890925449333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86.689890925449333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69.484674992640478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-4.5474735088646412E-13</v>
      </c>
      <c r="CU150" s="17">
        <f>CT150*VLOOKUP('Données projet'!$B$13,Paramètres!$A$1:$I$89,3,0)*VLOOKUP('Données projet'!$B$13,Paramètres!$A$1:$I$89,5,0)</f>
        <v>-4.8949004849418999E-13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445.38112098358147</v>
      </c>
      <c r="CZ150" s="59">
        <f t="shared" si="150"/>
        <v>272.45883568548516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86.689890925449333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86.689890925449333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69.484674992640478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-4.5474735088646412E-13</v>
      </c>
      <c r="DP150" s="17">
        <f>DO150*VLOOKUP('Données projet'!$B$14,Paramètres!$A$1:$I$89,3,0)*VLOOKUP('Données projet'!$B$14,Paramètres!$A$1:$I$89,5,0)</f>
        <v>-4.3983163777738812E-13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405.29179902613089</v>
      </c>
      <c r="DU150" s="59">
        <f t="shared" si="152"/>
        <v>249.61049717638238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77.895264309824029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77.895264309824029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69.484674992640478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-5.6843418860808015E-13</v>
      </c>
      <c r="EK150" s="17">
        <f>EJ150*VLOOKUP('Données projet'!$B$15,Paramètres!$A$1:$I$89,3,0)*VLOOKUP('Données projet'!$B$15,Paramètres!$A$1:$I$89,5,0)</f>
        <v>-3.39923644787632E-13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444.77624981561257</v>
      </c>
      <c r="EP150" s="59">
        <f t="shared" si="154"/>
        <v>382.10319641527587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57.97871852412905</v>
      </c>
      <c r="EW150" s="21">
        <f>EXP(-LN(2)/25)*EW149+(1-EXP(-LN(2)/25))/(LN(2)/25)*Calculateur!ER150*Calculateur!ET150*VLOOKUP('Données projet'!$B$15,Paramètres!$A$1:$I$89,3,0)*0.475*44/12</f>
        <v>6.4811713049922686</v>
      </c>
      <c r="EX150" s="21">
        <f>EXP(-LN(2)/2)*EX149+(1-EXP(-LN(2)/2))/(LN(2)/2)*ER150*EU150*VLOOKUP('Données projet'!$B$15,Paramètres!$A$1:$I$89,3,0)*0.475*44/12</f>
        <v>8.4579018344724398E-10</v>
      </c>
      <c r="EY150" s="22">
        <f t="shared" si="129"/>
        <v>64.459889829967111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69.484674992640478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3.4106051316484809E-13</v>
      </c>
      <c r="FF150" s="17">
        <f>FE150*VLOOKUP('Données projet'!$B$16,Paramètres!$A$1:$I$89,3,0)*VLOOKUP('Données projet'!$B$16,Paramètres!$A$1:$I$89,5,0)</f>
        <v>1.5074874681886286E-13</v>
      </c>
      <c r="FG150" s="13">
        <f t="shared" si="155"/>
        <v>2.1590218794584103E-12</v>
      </c>
      <c r="FH150" s="20">
        <f t="shared" si="130"/>
        <v>4.0228505074329168E-12</v>
      </c>
      <c r="FI150" s="59">
        <f t="shared" si="131"/>
        <v>291.44380830635248</v>
      </c>
      <c r="FJ150" s="59">
        <f ca="1">AVERAGE(OFFSET($FI$3,0,0,'Données projet'!$E$16+1,1))-AVERAGE(OFFSET($H$3,0,0,'Données projet'!$E$16+1,1))</f>
        <v>508.71179785154317</v>
      </c>
      <c r="FK150" s="59">
        <f t="shared" si="156"/>
        <v>422.73937290731442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73.721287314097083</v>
      </c>
      <c r="FR150" s="21">
        <f>EXP(-LN(2)/25)*FR149+(1-EXP(-LN(2)/25))/(LN(2)/25)*Calculateur!FM150*Calculateur!FO150*VLOOKUP('Données projet'!$B$16,Paramètres!$A$1:$I$89,3,0)*0.475*44/12</f>
        <v>10.618908693859597</v>
      </c>
      <c r="FS150" s="21">
        <f>EXP(-LN(2)/2)*FS149+(1-EXP(-LN(2)/2))/(LN(2)/2)*FM150*FP150*VLOOKUP('Données projet'!$B$16,Paramètres!$A$1:$I$89,3,0)*0.475*44/12</f>
        <v>3.5453486050264357E-9</v>
      </c>
      <c r="FT150" s="22">
        <f t="shared" si="132"/>
        <v>84.34019601150203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69.484674992640478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69.484674992640478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1.35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4.95</v>
      </c>
      <c r="H151" s="67">
        <f t="shared" si="110"/>
        <v>236.86666666666665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69.493614729424053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5.6843418860808015E-14</v>
      </c>
      <c r="O151" s="13">
        <f>N151*VLOOKUP('Données projet'!$B$9,Paramètres!$A$1:$I$89,3,0)*VLOOKUP('Données projet'!$B$9,Paramètres!$A$1:$I$89,5,0)</f>
        <v>5.1431925385259088E-14</v>
      </c>
      <c r="P151" s="13">
        <f t="shared" si="141"/>
        <v>8.3482866290946129E-13</v>
      </c>
      <c r="Q151" s="20">
        <f t="shared" si="108"/>
        <v>1.5435705246133045E-12</v>
      </c>
      <c r="R151" s="59">
        <f t="shared" si="109"/>
        <v>291.47658734122308</v>
      </c>
      <c r="S151" s="59">
        <f ca="1">AVERAGE(OFFSET($R$3,0,0,'Données projet'!$E$9+1,1))-AVERAGE(OFFSET($H$3,0,0,'Données projet'!$E$9+1,1))</f>
        <v>466.90449882701591</v>
      </c>
      <c r="T151" s="59">
        <f t="shared" si="142"/>
        <v>283.37641704892053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107.36435047302419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107.36435047302419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69.493614729424053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-4.5474735088646412E-13</v>
      </c>
      <c r="AJ151" s="13">
        <f>AI151*VLOOKUP('Données projet'!$B$10,Paramètres!$A$1:$I$89,3,0)*VLOOKUP('Données projet'!$B$10,Paramètres!$A$1:$I$89,5,0)</f>
        <v>-4.3273757910355926E-13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399.5572791581468</v>
      </c>
      <c r="AO151" s="59">
        <f t="shared" si="144"/>
        <v>246.34185986079777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75.136047209287426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75.136047209287426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69.493614729424053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5.6843418860808015E-14</v>
      </c>
      <c r="BE151" s="13">
        <f>BD151*VLOOKUP('Données projet'!$B$11,Paramètres!$A$1:$I$89,3,0)*VLOOKUP('Données projet'!$B$11,Paramètres!$A$1:$I$89,5,0)</f>
        <v>4.4337866711430253E-14</v>
      </c>
      <c r="BF151" s="13">
        <f t="shared" si="145"/>
        <v>7.3222115536967035E-13</v>
      </c>
      <c r="BG151" s="20">
        <f t="shared" si="115"/>
        <v>1.3525069634579169E-12</v>
      </c>
      <c r="BH151" s="59">
        <f t="shared" si="116"/>
        <v>291.47658734122291</v>
      </c>
      <c r="BI151" s="59">
        <f ca="1">AVERAGE(OFFSET($BH$3,0,0,'Données projet'!$E$11+1,1))-AVERAGE(OFFSET($H$3,0,0,'Données projet'!$E$11+1,1))</f>
        <v>294.23449029791681</v>
      </c>
      <c r="BJ151" s="59">
        <f t="shared" si="146"/>
        <v>288.64639202306159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19.680038655171838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19.680038655171838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69.493614729424053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-4.5474735088646412E-13</v>
      </c>
      <c r="BZ151" s="13">
        <f>BY151*VLOOKUP('Données projet'!$B$12,Paramètres!$A$1:$I$89,3,0)*VLOOKUP('Données projet'!$B$12,Paramètres!$A$1:$I$89,5,0)</f>
        <v>-4.8949004849418999E-13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445.38112098358147</v>
      </c>
      <c r="CE151" s="59">
        <f t="shared" si="148"/>
        <v>272.45883568548516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84.989955040013697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84.989955040013697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69.493614729424053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-4.5474735088646412E-13</v>
      </c>
      <c r="CU151" s="17">
        <f>CT151*VLOOKUP('Données projet'!$B$13,Paramètres!$A$1:$I$89,3,0)*VLOOKUP('Données projet'!$B$13,Paramètres!$A$1:$I$89,5,0)</f>
        <v>-4.8949004849418999E-13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445.38112098358147</v>
      </c>
      <c r="CZ151" s="59">
        <f t="shared" si="150"/>
        <v>272.45883568548516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84.989955040013697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84.989955040013697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69.493614729424053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-4.5474735088646412E-13</v>
      </c>
      <c r="DP151" s="17">
        <f>DO151*VLOOKUP('Données projet'!$B$14,Paramètres!$A$1:$I$89,3,0)*VLOOKUP('Données projet'!$B$14,Paramètres!$A$1:$I$89,5,0)</f>
        <v>-4.3983163777738812E-13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405.29179902613089</v>
      </c>
      <c r="DU151" s="59">
        <f t="shared" si="152"/>
        <v>249.61049717638238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76.367785688128251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76.367785688128251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69.493614729424053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-5.6843418860808015E-13</v>
      </c>
      <c r="EK151" s="17">
        <f>EJ151*VLOOKUP('Données projet'!$B$15,Paramètres!$A$1:$I$89,3,0)*VLOOKUP('Données projet'!$B$15,Paramètres!$A$1:$I$89,5,0)</f>
        <v>-3.39923644787632E-13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444.77624981561257</v>
      </c>
      <c r="EP151" s="59">
        <f t="shared" si="154"/>
        <v>382.10319641527587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56.841791217397322</v>
      </c>
      <c r="EW151" s="21">
        <f>EXP(-LN(2)/25)*EW150+(1-EXP(-LN(2)/25))/(LN(2)/25)*Calculateur!ER151*Calculateur!ET151*VLOOKUP('Données projet'!$B$15,Paramètres!$A$1:$I$89,3,0)*0.475*44/12</f>
        <v>6.3039433348272693</v>
      </c>
      <c r="EX151" s="21">
        <f>EXP(-LN(2)/2)*EX150+(1-EXP(-LN(2)/2))/(LN(2)/2)*ER151*EU151*VLOOKUP('Données projet'!$B$15,Paramètres!$A$1:$I$89,3,0)*0.475*44/12</f>
        <v>5.9806397417656024E-10</v>
      </c>
      <c r="EY151" s="22">
        <f t="shared" si="129"/>
        <v>63.145734552822653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69.493614729424053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3.4106051316484809E-13</v>
      </c>
      <c r="FF151" s="17">
        <f>FE151*VLOOKUP('Données projet'!$B$16,Paramètres!$A$1:$I$89,3,0)*VLOOKUP('Données projet'!$B$16,Paramètres!$A$1:$I$89,5,0)</f>
        <v>1.5074874681886286E-13</v>
      </c>
      <c r="FG151" s="13">
        <f t="shared" si="155"/>
        <v>2.1590218794584103E-12</v>
      </c>
      <c r="FH151" s="20">
        <f t="shared" si="130"/>
        <v>4.0228505074329168E-12</v>
      </c>
      <c r="FI151" s="59">
        <f t="shared" si="131"/>
        <v>291.47658734122558</v>
      </c>
      <c r="FJ151" s="59">
        <f ca="1">AVERAGE(OFFSET($FI$3,0,0,'Données projet'!$E$16+1,1))-AVERAGE(OFFSET($H$3,0,0,'Données projet'!$E$16+1,1))</f>
        <v>508.71179785154317</v>
      </c>
      <c r="FK151" s="59">
        <f t="shared" si="156"/>
        <v>422.73937290731442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72.275657835412929</v>
      </c>
      <c r="FR151" s="21">
        <f>EXP(-LN(2)/25)*FR150+(1-EXP(-LN(2)/25))/(LN(2)/25)*Calculateur!FM151*Calculateur!FO151*VLOOKUP('Données projet'!$B$16,Paramètres!$A$1:$I$89,3,0)*0.475*44/12</f>
        <v>10.328534077201867</v>
      </c>
      <c r="FS151" s="21">
        <f>EXP(-LN(2)/2)*FS150+(1-EXP(-LN(2)/2))/(LN(2)/2)*FM151*FP151*VLOOKUP('Données projet'!$B$16,Paramètres!$A$1:$I$89,3,0)*0.475*44/12</f>
        <v>2.5069400402844593E-9</v>
      </c>
      <c r="FT151" s="22">
        <f t="shared" si="132"/>
        <v>82.604191915121731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69.493614729424053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69.493614729424053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1.35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4.95</v>
      </c>
      <c r="H152" s="67">
        <f t="shared" si="110"/>
        <v>236.86666666666665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69.502399381760682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5.6843418860808015E-14</v>
      </c>
      <c r="O152" s="13">
        <f>N152*VLOOKUP('Données projet'!$B$9,Paramètres!$A$1:$I$89,3,0)*VLOOKUP('Données projet'!$B$9,Paramètres!$A$1:$I$89,5,0)</f>
        <v>5.1431925385259088E-14</v>
      </c>
      <c r="P152" s="13">
        <f t="shared" si="141"/>
        <v>8.3482866290946129E-13</v>
      </c>
      <c r="Q152" s="20">
        <f t="shared" si="108"/>
        <v>1.5435705246133045E-12</v>
      </c>
      <c r="R152" s="59">
        <f t="shared" si="109"/>
        <v>291.50879773312403</v>
      </c>
      <c r="S152" s="59">
        <f ca="1">AVERAGE(OFFSET($R$3,0,0,'Données projet'!$E$9+1,1))-AVERAGE(OFFSET($H$3,0,0,'Données projet'!$E$9+1,1))</f>
        <v>466.90449882701591</v>
      </c>
      <c r="T152" s="59">
        <f t="shared" si="142"/>
        <v>283.37641704892053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105.25900104603579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105.25900104603579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69.502399381760682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-4.5474735088646412E-13</v>
      </c>
      <c r="AJ152" s="13">
        <f>AI152*VLOOKUP('Données projet'!$B$10,Paramètres!$A$1:$I$89,3,0)*VLOOKUP('Données projet'!$B$10,Paramètres!$A$1:$I$89,5,0)</f>
        <v>-4.3273757910355926E-13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399.5572791581468</v>
      </c>
      <c r="AO152" s="59">
        <f t="shared" si="144"/>
        <v>246.34185986079777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73.662675151976913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73.662675151976913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69.502399381760682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5.6843418860808015E-14</v>
      </c>
      <c r="BE152" s="13">
        <f>BD152*VLOOKUP('Données projet'!$B$11,Paramètres!$A$1:$I$89,3,0)*VLOOKUP('Données projet'!$B$11,Paramètres!$A$1:$I$89,5,0)</f>
        <v>4.4337866711430253E-14</v>
      </c>
      <c r="BF152" s="13">
        <f t="shared" si="145"/>
        <v>7.3222115536967035E-13</v>
      </c>
      <c r="BG152" s="20">
        <f t="shared" si="115"/>
        <v>1.3525069634579169E-12</v>
      </c>
      <c r="BH152" s="59">
        <f t="shared" si="116"/>
        <v>291.50879773312386</v>
      </c>
      <c r="BI152" s="59">
        <f ca="1">AVERAGE(OFFSET($BH$3,0,0,'Données projet'!$E$11+1,1))-AVERAGE(OFFSET($H$3,0,0,'Données projet'!$E$11+1,1))</f>
        <v>294.23449029791681</v>
      </c>
      <c r="BJ152" s="59">
        <f t="shared" si="146"/>
        <v>288.64639202306159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19.294125100782239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19.294125100782239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69.502399381760682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-4.5474735088646412E-13</v>
      </c>
      <c r="BZ152" s="13">
        <f>BY152*VLOOKUP('Données projet'!$B$12,Paramètres!$A$1:$I$89,3,0)*VLOOKUP('Données projet'!$B$12,Paramètres!$A$1:$I$89,5,0)</f>
        <v>-4.8949004849418999E-13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445.38112098358147</v>
      </c>
      <c r="CE152" s="59">
        <f t="shared" si="148"/>
        <v>272.45883568548516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83.323353860432945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83.323353860432945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69.502399381760682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-4.5474735088646412E-13</v>
      </c>
      <c r="CU152" s="17">
        <f>CT152*VLOOKUP('Données projet'!$B$13,Paramètres!$A$1:$I$89,3,0)*VLOOKUP('Données projet'!$B$13,Paramètres!$A$1:$I$89,5,0)</f>
        <v>-4.8949004849418999E-13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445.38112098358147</v>
      </c>
      <c r="CZ152" s="59">
        <f t="shared" si="150"/>
        <v>272.45883568548516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83.323353860432945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83.323353860432945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69.502399381760682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-4.5474735088646412E-13</v>
      </c>
      <c r="DP152" s="17">
        <f>DO152*VLOOKUP('Données projet'!$B$14,Paramètres!$A$1:$I$89,3,0)*VLOOKUP('Données projet'!$B$14,Paramètres!$A$1:$I$89,5,0)</f>
        <v>-4.3983163777738812E-13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405.29179902613089</v>
      </c>
      <c r="DU152" s="59">
        <f t="shared" si="152"/>
        <v>249.61049717638238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74.870259990533953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74.870259990533953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69.502399381760682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-5.6843418860808015E-13</v>
      </c>
      <c r="EK152" s="17">
        <f>EJ152*VLOOKUP('Données projet'!$B$15,Paramètres!$A$1:$I$89,3,0)*VLOOKUP('Données projet'!$B$15,Paramètres!$A$1:$I$89,5,0)</f>
        <v>-3.39923644787632E-13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444.77624981561257</v>
      </c>
      <c r="EP152" s="59">
        <f t="shared" si="154"/>
        <v>382.10319641527587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55.727158361693419</v>
      </c>
      <c r="EW152" s="21">
        <f>EXP(-LN(2)/25)*EW151+(1-EXP(-LN(2)/25))/(LN(2)/25)*Calculateur!ER152*Calculateur!ET152*VLOOKUP('Données projet'!$B$15,Paramètres!$A$1:$I$89,3,0)*0.475*44/12</f>
        <v>6.1315616728264457</v>
      </c>
      <c r="EX152" s="21">
        <f>EXP(-LN(2)/2)*EX151+(1-EXP(-LN(2)/2))/(LN(2)/2)*ER152*EU152*VLOOKUP('Données projet'!$B$15,Paramètres!$A$1:$I$89,3,0)*0.475*44/12</f>
        <v>4.2289509172362199E-10</v>
      </c>
      <c r="EY152" s="22">
        <f t="shared" si="129"/>
        <v>61.858720034942756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69.502399381760682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3.4106051316484809E-13</v>
      </c>
      <c r="FF152" s="17">
        <f>FE152*VLOOKUP('Données projet'!$B$16,Paramètres!$A$1:$I$89,3,0)*VLOOKUP('Données projet'!$B$16,Paramètres!$A$1:$I$89,5,0)</f>
        <v>1.5074874681886286E-13</v>
      </c>
      <c r="FG152" s="13">
        <f t="shared" si="155"/>
        <v>2.1590218794584103E-12</v>
      </c>
      <c r="FH152" s="20">
        <f t="shared" si="130"/>
        <v>4.0228505074329168E-12</v>
      </c>
      <c r="FI152" s="59">
        <f t="shared" si="131"/>
        <v>291.50879773312653</v>
      </c>
      <c r="FJ152" s="59">
        <f ca="1">AVERAGE(OFFSET($FI$3,0,0,'Données projet'!$E$16+1,1))-AVERAGE(OFFSET($H$3,0,0,'Données projet'!$E$16+1,1))</f>
        <v>508.71179785154317</v>
      </c>
      <c r="FK152" s="59">
        <f t="shared" si="156"/>
        <v>422.73937290731442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70.858376269058851</v>
      </c>
      <c r="FR152" s="21">
        <f>EXP(-LN(2)/25)*FR151+(1-EXP(-LN(2)/25))/(LN(2)/25)*Calculateur!FM152*Calculateur!FO152*VLOOKUP('Données projet'!$B$16,Paramètres!$A$1:$I$89,3,0)*0.475*44/12</f>
        <v>10.046099769706782</v>
      </c>
      <c r="FS152" s="21">
        <f>EXP(-LN(2)/2)*FS151+(1-EXP(-LN(2)/2))/(LN(2)/2)*FM152*FP152*VLOOKUP('Données projet'!$B$16,Paramètres!$A$1:$I$89,3,0)*0.475*44/12</f>
        <v>1.7726743025132179E-9</v>
      </c>
      <c r="FT152" s="22">
        <f t="shared" si="132"/>
        <v>80.904476040538313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69.502399381760682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69.502399381760682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1.35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4.95</v>
      </c>
      <c r="H153" s="67">
        <f t="shared" si="110"/>
        <v>236.86666666666665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69.511031640018814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5.6843418860808015E-14</v>
      </c>
      <c r="O153" s="13">
        <f>N153*VLOOKUP('Données projet'!$B$9,Paramètres!$A$1:$I$89,3,0)*VLOOKUP('Données projet'!$B$9,Paramètres!$A$1:$I$89,5,0)</f>
        <v>5.1431925385259088E-14</v>
      </c>
      <c r="P153" s="13">
        <f t="shared" si="141"/>
        <v>8.3482866290946129E-13</v>
      </c>
      <c r="Q153" s="20">
        <f t="shared" si="108"/>
        <v>1.5435705246133045E-12</v>
      </c>
      <c r="R153" s="59">
        <f t="shared" si="109"/>
        <v>291.5404493467372</v>
      </c>
      <c r="S153" s="59">
        <f ca="1">AVERAGE(OFFSET($R$3,0,0,'Données projet'!$E$9+1,1))-AVERAGE(OFFSET($H$3,0,0,'Données projet'!$E$9+1,1))</f>
        <v>466.90449882701591</v>
      </c>
      <c r="T153" s="59">
        <f t="shared" si="142"/>
        <v>283.37641704892053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103.19493623717428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103.19493623717428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69.511031640018814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-4.5474735088646412E-13</v>
      </c>
      <c r="AJ153" s="13">
        <f>AI153*VLOOKUP('Données projet'!$B$10,Paramètres!$A$1:$I$89,3,0)*VLOOKUP('Données projet'!$B$10,Paramètres!$A$1:$I$89,5,0)</f>
        <v>-4.3273757910355926E-13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399.5572791581468</v>
      </c>
      <c r="AO153" s="59">
        <f t="shared" si="144"/>
        <v>246.34185986079777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72.218195022042039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72.218195022042039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69.511031640018814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5.6843418860808015E-14</v>
      </c>
      <c r="BE153" s="13">
        <f>BD153*VLOOKUP('Données projet'!$B$11,Paramètres!$A$1:$I$89,3,0)*VLOOKUP('Données projet'!$B$11,Paramètres!$A$1:$I$89,5,0)</f>
        <v>4.4337866711430253E-14</v>
      </c>
      <c r="BF153" s="13">
        <f t="shared" si="145"/>
        <v>7.3222115536967035E-13</v>
      </c>
      <c r="BG153" s="20">
        <f t="shared" si="115"/>
        <v>1.3525069634579169E-12</v>
      </c>
      <c r="BH153" s="59">
        <f t="shared" si="116"/>
        <v>291.54044934673703</v>
      </c>
      <c r="BI153" s="59">
        <f ca="1">AVERAGE(OFFSET($BH$3,0,0,'Données projet'!$E$11+1,1))-AVERAGE(OFFSET($H$3,0,0,'Données projet'!$E$11+1,1))</f>
        <v>294.23449029791681</v>
      </c>
      <c r="BJ153" s="59">
        <f t="shared" si="146"/>
        <v>288.64639202306159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18.915779075810192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18.915779075810192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69.511031640018814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-4.5474735088646412E-13</v>
      </c>
      <c r="BZ153" s="13">
        <f>BY153*VLOOKUP('Données projet'!$B$12,Paramètres!$A$1:$I$89,3,0)*VLOOKUP('Données projet'!$B$12,Paramètres!$A$1:$I$89,5,0)</f>
        <v>-4.8949004849418999E-13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445.38112098358147</v>
      </c>
      <c r="CE153" s="59">
        <f t="shared" si="148"/>
        <v>272.45883568548516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81.689433713457433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81.689433713457433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69.511031640018814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-4.5474735088646412E-13</v>
      </c>
      <c r="CU153" s="17">
        <f>CT153*VLOOKUP('Données projet'!$B$13,Paramètres!$A$1:$I$89,3,0)*VLOOKUP('Données projet'!$B$13,Paramètres!$A$1:$I$89,5,0)</f>
        <v>-4.8949004849418999E-13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445.38112098358147</v>
      </c>
      <c r="CZ153" s="59">
        <f t="shared" si="150"/>
        <v>272.45883568548516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81.689433713457433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81.689433713457433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69.511031640018814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-4.5474735088646412E-13</v>
      </c>
      <c r="DP153" s="17">
        <f>DO153*VLOOKUP('Données projet'!$B$14,Paramètres!$A$1:$I$89,3,0)*VLOOKUP('Données projet'!$B$14,Paramètres!$A$1:$I$89,5,0)</f>
        <v>-4.3983163777738812E-13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405.29179902613089</v>
      </c>
      <c r="DU153" s="59">
        <f t="shared" si="152"/>
        <v>249.61049717638238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73.402099858469001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73.402099858469001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69.511031640018814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-5.6843418860808015E-13</v>
      </c>
      <c r="EK153" s="17">
        <f>EJ153*VLOOKUP('Données projet'!$B$15,Paramètres!$A$1:$I$89,3,0)*VLOOKUP('Données projet'!$B$15,Paramètres!$A$1:$I$89,5,0)</f>
        <v>-3.39923644787632E-13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444.77624981561257</v>
      </c>
      <c r="EP153" s="59">
        <f t="shared" si="154"/>
        <v>382.10319641527587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54.634382776430961</v>
      </c>
      <c r="EW153" s="21">
        <f>EXP(-LN(2)/25)*EW152+(1-EXP(-LN(2)/25))/(LN(2)/25)*Calculateur!ER153*Calculateur!ET153*VLOOKUP('Données projet'!$B$15,Paramètres!$A$1:$I$89,3,0)*0.475*44/12</f>
        <v>5.9638937964381924</v>
      </c>
      <c r="EX153" s="21">
        <f>EXP(-LN(2)/2)*EX152+(1-EXP(-LN(2)/2))/(LN(2)/2)*ER153*EU153*VLOOKUP('Données projet'!$B$15,Paramètres!$A$1:$I$89,3,0)*0.475*44/12</f>
        <v>2.9903198708828012E-10</v>
      </c>
      <c r="EY153" s="22">
        <f t="shared" si="129"/>
        <v>60.598276573168185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69.511031640018814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3.4106051316484809E-13</v>
      </c>
      <c r="FF153" s="17">
        <f>FE153*VLOOKUP('Données projet'!$B$16,Paramètres!$A$1:$I$89,3,0)*VLOOKUP('Données projet'!$B$16,Paramètres!$A$1:$I$89,5,0)</f>
        <v>1.5074874681886286E-13</v>
      </c>
      <c r="FG153" s="13">
        <f t="shared" si="155"/>
        <v>2.1590218794584103E-12</v>
      </c>
      <c r="FH153" s="20">
        <f t="shared" si="130"/>
        <v>4.0228505074329168E-12</v>
      </c>
      <c r="FI153" s="59">
        <f t="shared" si="131"/>
        <v>291.54044934673971</v>
      </c>
      <c r="FJ153" s="59">
        <f ca="1">AVERAGE(OFFSET($FI$3,0,0,'Données projet'!$E$16+1,1))-AVERAGE(OFFSET($H$3,0,0,'Données projet'!$E$16+1,1))</f>
        <v>508.71179785154317</v>
      </c>
      <c r="FK153" s="59">
        <f t="shared" si="156"/>
        <v>422.73937290731442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69.468886729764577</v>
      </c>
      <c r="FR153" s="21">
        <f>EXP(-LN(2)/25)*FR152+(1-EXP(-LN(2)/25))/(LN(2)/25)*Calculateur!FM153*Calculateur!FO153*VLOOKUP('Données projet'!$B$16,Paramètres!$A$1:$I$89,3,0)*0.475*44/12</f>
        <v>9.771388643202723</v>
      </c>
      <c r="FS153" s="21">
        <f>EXP(-LN(2)/2)*FS152+(1-EXP(-LN(2)/2))/(LN(2)/2)*FM153*FP153*VLOOKUP('Données projet'!$B$16,Paramètres!$A$1:$I$89,3,0)*0.475*44/12</f>
        <v>1.2534700201422297E-9</v>
      </c>
      <c r="FT153" s="22">
        <f t="shared" si="132"/>
        <v>79.240275374220772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69.511031640018814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69.511031640018814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1.35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4.95</v>
      </c>
      <c r="H154" s="67">
        <f t="shared" si="110"/>
        <v>236.86666666666665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69.519514147894995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5.6843418860808015E-14</v>
      </c>
      <c r="O154" s="13">
        <f>N154*VLOOKUP('Données projet'!$B$9,Paramètres!$A$1:$I$89,3,0)*VLOOKUP('Données projet'!$B$9,Paramètres!$A$1:$I$89,5,0)</f>
        <v>5.1431925385259088E-14</v>
      </c>
      <c r="P154" s="13">
        <f t="shared" si="141"/>
        <v>8.3482866290946129E-13</v>
      </c>
      <c r="Q154" s="20">
        <f t="shared" ref="Q154:Q203" si="162">(O154+P154)*0.475*44/12</f>
        <v>1.5435705246133045E-12</v>
      </c>
      <c r="R154" s="59">
        <f t="shared" si="109"/>
        <v>291.57155187561648</v>
      </c>
      <c r="S154" s="59">
        <f ca="1">AVERAGE(OFFSET($R$3,0,0,'Données projet'!$E$9+1,1))-AVERAGE(OFFSET($H$3,0,0,'Données projet'!$E$9+1,1))</f>
        <v>466.90449882701591</v>
      </c>
      <c r="T154" s="59">
        <f t="shared" si="142"/>
        <v>283.37641704892053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101.17134648025932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101.17134648025932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69.519514147894995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-4.5474735088646412E-13</v>
      </c>
      <c r="AJ154" s="13">
        <f>AI154*VLOOKUP('Données projet'!$B$10,Paramètres!$A$1:$I$89,3,0)*VLOOKUP('Données projet'!$B$10,Paramètres!$A$1:$I$89,5,0)</f>
        <v>-4.3273757910355926E-13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399.5572791581468</v>
      </c>
      <c r="AO154" s="59">
        <f t="shared" si="144"/>
        <v>246.34185986079777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70.802040266409307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70.802040266409307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69.519514147894995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5.6843418860808015E-14</v>
      </c>
      <c r="BE154" s="13">
        <f>BD154*VLOOKUP('Données projet'!$B$11,Paramètres!$A$1:$I$89,3,0)*VLOOKUP('Données projet'!$B$11,Paramètres!$A$1:$I$89,5,0)</f>
        <v>4.4337866711430253E-14</v>
      </c>
      <c r="BF154" s="13">
        <f t="shared" ref="BF154:BF203" si="167">EXP(-1.0587+0.8836*LN(BE154)+0.284)</f>
        <v>7.3222115536967035E-13</v>
      </c>
      <c r="BG154" s="20">
        <f t="shared" ref="BG154:BG203" si="168">(BE154+BF154)*0.475*44/12</f>
        <v>1.3525069634579169E-12</v>
      </c>
      <c r="BH154" s="59">
        <f t="shared" si="116"/>
        <v>291.57155187561631</v>
      </c>
      <c r="BI154" s="59">
        <f ca="1">AVERAGE(OFFSET($BH$3,0,0,'Données projet'!$E$11+1,1))-AVERAGE(OFFSET($H$3,0,0,'Données projet'!$E$11+1,1))</f>
        <v>294.23449029791681</v>
      </c>
      <c r="BJ154" s="59">
        <f t="shared" si="146"/>
        <v>288.64639202306159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18.544852185619558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18.544852185619558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69.519514147894995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-4.5474735088646412E-13</v>
      </c>
      <c r="BZ154" s="13">
        <f>BY154*VLOOKUP('Données projet'!$B$12,Paramètres!$A$1:$I$89,3,0)*VLOOKUP('Données projet'!$B$12,Paramètres!$A$1:$I$89,5,0)</f>
        <v>-4.8949004849418999E-13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445.38112098358147</v>
      </c>
      <c r="CE154" s="59">
        <f t="shared" si="148"/>
        <v>272.45883568548516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80.087553743971228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80.087553743971228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69.519514147894995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-4.5474735088646412E-13</v>
      </c>
      <c r="CU154" s="17">
        <f>CT154*VLOOKUP('Données projet'!$B$13,Paramètres!$A$1:$I$89,3,0)*VLOOKUP('Données projet'!$B$13,Paramètres!$A$1:$I$89,5,0)</f>
        <v>-4.8949004849418999E-13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445.38112098358147</v>
      </c>
      <c r="CZ154" s="59">
        <f t="shared" si="150"/>
        <v>272.45883568548516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80.087553743971228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80.087553743971228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69.519514147894995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-4.5474735088646412E-13</v>
      </c>
      <c r="DP154" s="17">
        <f>DO154*VLOOKUP('Données projet'!$B$14,Paramètres!$A$1:$I$89,3,0)*VLOOKUP('Données projet'!$B$14,Paramètres!$A$1:$I$89,5,0)</f>
        <v>-4.3983163777738812E-13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405.29179902613089</v>
      </c>
      <c r="DU154" s="59">
        <f t="shared" si="152"/>
        <v>249.61049717638238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71.962729451104579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71.962729451104579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69.519514147894995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-5.6843418860808015E-13</v>
      </c>
      <c r="EK154" s="17">
        <f>EJ154*VLOOKUP('Données projet'!$B$15,Paramètres!$A$1:$I$89,3,0)*VLOOKUP('Données projet'!$B$15,Paramètres!$A$1:$I$89,5,0)</f>
        <v>-3.39923644787632E-13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444.77624981561257</v>
      </c>
      <c r="EP154" s="59">
        <f t="shared" si="154"/>
        <v>382.10319641527587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53.5630358538682</v>
      </c>
      <c r="EW154" s="21">
        <f>EXP(-LN(2)/25)*EW153+(1-EXP(-LN(2)/25))/(LN(2)/25)*Calculateur!ER154*Calculateur!ET154*VLOOKUP('Données projet'!$B$15,Paramètres!$A$1:$I$89,3,0)*0.475*44/12</f>
        <v>5.8008108069470463</v>
      </c>
      <c r="EX154" s="21">
        <f>EXP(-LN(2)/2)*EX153+(1-EXP(-LN(2)/2))/(LN(2)/2)*ER154*EU154*VLOOKUP('Données projet'!$B$15,Paramètres!$A$1:$I$89,3,0)*0.475*44/12</f>
        <v>2.11447545861811E-10</v>
      </c>
      <c r="EY154" s="22">
        <f t="shared" ref="EY154:EY203" si="181">SUM(EV154:EX154)</f>
        <v>59.363846661026699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69.519514147894995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3.4106051316484809E-13</v>
      </c>
      <c r="FF154" s="17">
        <f>FE154*VLOOKUP('Données projet'!$B$16,Paramètres!$A$1:$I$89,3,0)*VLOOKUP('Données projet'!$B$16,Paramètres!$A$1:$I$89,5,0)</f>
        <v>1.5074874681886286E-13</v>
      </c>
      <c r="FG154" s="13">
        <f t="shared" ref="FG154:FG203" si="182">EXP(-1.0587+0.8836*LN(FF154)+0.284)</f>
        <v>2.1590218794584103E-12</v>
      </c>
      <c r="FH154" s="20">
        <f t="shared" ref="FH154:FH203" si="183">(FF154+FG154)*0.475*44/12</f>
        <v>4.0228505074329168E-12</v>
      </c>
      <c r="FI154" s="59">
        <f t="shared" si="131"/>
        <v>291.57155187561898</v>
      </c>
      <c r="FJ154" s="59">
        <f ca="1">AVERAGE(OFFSET($FI$3,0,0,'Données projet'!$E$16+1,1))-AVERAGE(OFFSET($H$3,0,0,'Données projet'!$E$16+1,1))</f>
        <v>508.71179785154317</v>
      </c>
      <c r="FK154" s="59">
        <f t="shared" si="156"/>
        <v>422.73937290731442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68.106644232830931</v>
      </c>
      <c r="FR154" s="21">
        <f>EXP(-LN(2)/25)*FR153+(1-EXP(-LN(2)/25))/(LN(2)/25)*Calculateur!FM154*Calculateur!FO154*VLOOKUP('Données projet'!$B$16,Paramètres!$A$1:$I$89,3,0)*0.475*44/12</f>
        <v>9.5041895068993494</v>
      </c>
      <c r="FS154" s="21">
        <f>EXP(-LN(2)/2)*FS153+(1-EXP(-LN(2)/2))/(LN(2)/2)*FM154*FP154*VLOOKUP('Données projet'!$B$16,Paramètres!$A$1:$I$89,3,0)*0.475*44/12</f>
        <v>8.8633715125660893E-10</v>
      </c>
      <c r="FT154" s="22">
        <f t="shared" ref="FT154:FT203" si="184">SUM(FQ154:FS154)</f>
        <v>77.610833740616613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69.519514147894995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69.519514147894995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1.35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4.95</v>
      </c>
      <c r="H155" s="67">
        <f t="shared" si="110"/>
        <v>236.86666666666665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69.527849503223578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5.6843418860808015E-14</v>
      </c>
      <c r="O155" s="13">
        <f>N155*VLOOKUP('Données projet'!$B$9,Paramètres!$A$1:$I$89,3,0)*VLOOKUP('Données projet'!$B$9,Paramètres!$A$1:$I$89,5,0)</f>
        <v>5.1431925385259088E-14</v>
      </c>
      <c r="P155" s="13">
        <f t="shared" si="141"/>
        <v>8.3482866290946129E-13</v>
      </c>
      <c r="Q155" s="20">
        <f t="shared" si="162"/>
        <v>1.5435705246133045E-12</v>
      </c>
      <c r="R155" s="59">
        <f t="shared" si="109"/>
        <v>291.60211484515469</v>
      </c>
      <c r="S155" s="59">
        <f ca="1">AVERAGE(OFFSET($R$3,0,0,'Données projet'!$E$9+1,1))-AVERAGE(OFFSET($H$3,0,0,'Données projet'!$E$9+1,1))</f>
        <v>466.90449882701591</v>
      </c>
      <c r="T155" s="59">
        <f t="shared" si="142"/>
        <v>283.37641704892053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99.187438084209589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99.187438084209589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69.527849503223578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-4.5474735088646412E-13</v>
      </c>
      <c r="AJ155" s="13">
        <f>AI155*VLOOKUP('Données projet'!$B$10,Paramètres!$A$1:$I$89,3,0)*VLOOKUP('Données projet'!$B$10,Paramètres!$A$1:$I$89,5,0)</f>
        <v>-4.3273757910355926E-13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399.5572791581468</v>
      </c>
      <c r="AO155" s="59">
        <f t="shared" si="144"/>
        <v>246.34185986079777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69.413655441765414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69.413655441765414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69.527849503223578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5.6843418860808015E-14</v>
      </c>
      <c r="BE155" s="13">
        <f>BD155*VLOOKUP('Données projet'!$B$11,Paramètres!$A$1:$I$89,3,0)*VLOOKUP('Données projet'!$B$11,Paramètres!$A$1:$I$89,5,0)</f>
        <v>4.4337866711430253E-14</v>
      </c>
      <c r="BF155" s="13">
        <f t="shared" si="167"/>
        <v>7.3222115536967035E-13</v>
      </c>
      <c r="BG155" s="20">
        <f t="shared" si="168"/>
        <v>1.3525069634579169E-12</v>
      </c>
      <c r="BH155" s="59">
        <f t="shared" si="116"/>
        <v>291.60211484515452</v>
      </c>
      <c r="BI155" s="59">
        <f ca="1">AVERAGE(OFFSET($BH$3,0,0,'Données projet'!$E$11+1,1))-AVERAGE(OFFSET($H$3,0,0,'Données projet'!$E$11+1,1))</f>
        <v>294.23449029791681</v>
      </c>
      <c r="BJ155" s="59">
        <f t="shared" si="146"/>
        <v>288.64639202306159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18.181198945502498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18.181198945502498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69.527849503223578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-4.5474735088646412E-13</v>
      </c>
      <c r="BZ155" s="13">
        <f>BY155*VLOOKUP('Données projet'!$B$12,Paramètres!$A$1:$I$89,3,0)*VLOOKUP('Données projet'!$B$12,Paramètres!$A$1:$I$89,5,0)</f>
        <v>-4.8949004849418999E-13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445.38112098358147</v>
      </c>
      <c r="CE155" s="59">
        <f t="shared" si="148"/>
        <v>272.45883568548516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78.517085663636337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78.517085663636337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69.527849503223578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-4.5474735088646412E-13</v>
      </c>
      <c r="CU155" s="17">
        <f>CT155*VLOOKUP('Données projet'!$B$13,Paramètres!$A$1:$I$89,3,0)*VLOOKUP('Données projet'!$B$13,Paramètres!$A$1:$I$89,5,0)</f>
        <v>-4.8949004849418999E-13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445.38112098358147</v>
      </c>
      <c r="CZ155" s="59">
        <f t="shared" si="150"/>
        <v>272.45883568548516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78.517085663636337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78.517085663636337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69.527849503223578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-4.5474735088646412E-13</v>
      </c>
      <c r="DP155" s="17">
        <f>DO155*VLOOKUP('Données projet'!$B$14,Paramètres!$A$1:$I$89,3,0)*VLOOKUP('Données projet'!$B$14,Paramètres!$A$1:$I$89,5,0)</f>
        <v>-4.3983163777738812E-13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405.29179902613089</v>
      </c>
      <c r="DU155" s="59">
        <f t="shared" si="152"/>
        <v>249.61049717638238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70.551584219499318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70.551584219499318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69.527849503223578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-5.6843418860808015E-13</v>
      </c>
      <c r="EK155" s="17">
        <f>EJ155*VLOOKUP('Données projet'!$B$15,Paramètres!$A$1:$I$89,3,0)*VLOOKUP('Données projet'!$B$15,Paramètres!$A$1:$I$89,5,0)</f>
        <v>-3.39923644787632E-13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444.77624981561257</v>
      </c>
      <c r="EP155" s="59">
        <f t="shared" si="154"/>
        <v>382.10319641527587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52.512697390999797</v>
      </c>
      <c r="EW155" s="21">
        <f>EXP(-LN(2)/25)*EW154+(1-EXP(-LN(2)/25))/(LN(2)/25)*Calculateur!ER155*Calculateur!ET155*VLOOKUP('Données projet'!$B$15,Paramètres!$A$1:$I$89,3,0)*0.475*44/12</f>
        <v>5.6421873303796968</v>
      </c>
      <c r="EX155" s="21">
        <f>EXP(-LN(2)/2)*EX154+(1-EXP(-LN(2)/2))/(LN(2)/2)*ER155*EU155*VLOOKUP('Données projet'!$B$15,Paramètres!$A$1:$I$89,3,0)*0.475*44/12</f>
        <v>1.4951599354414006E-10</v>
      </c>
      <c r="EY155" s="22">
        <f t="shared" si="181"/>
        <v>58.154884721529015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69.527849503223578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3.4106051316484809E-13</v>
      </c>
      <c r="FF155" s="17">
        <f>FE155*VLOOKUP('Données projet'!$B$16,Paramètres!$A$1:$I$89,3,0)*VLOOKUP('Données projet'!$B$16,Paramètres!$A$1:$I$89,5,0)</f>
        <v>1.5074874681886286E-13</v>
      </c>
      <c r="FG155" s="13">
        <f t="shared" si="182"/>
        <v>2.1590218794584103E-12</v>
      </c>
      <c r="FH155" s="20">
        <f t="shared" si="183"/>
        <v>4.0228505074329168E-12</v>
      </c>
      <c r="FI155" s="59">
        <f t="shared" si="131"/>
        <v>291.60211484515719</v>
      </c>
      <c r="FJ155" s="59">
        <f ca="1">AVERAGE(OFFSET($FI$3,0,0,'Données projet'!$E$16+1,1))-AVERAGE(OFFSET($H$3,0,0,'Données projet'!$E$16+1,1))</f>
        <v>508.71179785154317</v>
      </c>
      <c r="FK155" s="59">
        <f t="shared" si="156"/>
        <v>422.73937290731442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66.771114480376269</v>
      </c>
      <c r="FR155" s="21">
        <f>EXP(-LN(2)/25)*FR154+(1-EXP(-LN(2)/25))/(LN(2)/25)*Calculateur!FM155*Calculateur!FO155*VLOOKUP('Données projet'!$B$16,Paramètres!$A$1:$I$89,3,0)*0.475*44/12</f>
        <v>9.244296945029582</v>
      </c>
      <c r="FS155" s="21">
        <f>EXP(-LN(2)/2)*FS154+(1-EXP(-LN(2)/2))/(LN(2)/2)*FM155*FP155*VLOOKUP('Données projet'!$B$16,Paramètres!$A$1:$I$89,3,0)*0.475*44/12</f>
        <v>6.2673501007111484E-10</v>
      </c>
      <c r="FT155" s="22">
        <f t="shared" si="184"/>
        <v>76.0154114260326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69.527849503223578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69.527849503223578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1.35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4.95</v>
      </c>
      <c r="H156" s="67">
        <f t="shared" si="110"/>
        <v>236.86666666666665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69.536040258772275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5.6843418860808015E-14</v>
      </c>
      <c r="O156" s="13">
        <f>N156*VLOOKUP('Données projet'!$B$9,Paramètres!$A$1:$I$89,3,0)*VLOOKUP('Données projet'!$B$9,Paramètres!$A$1:$I$89,5,0)</f>
        <v>5.1431925385259088E-14</v>
      </c>
      <c r="P156" s="13">
        <f t="shared" si="141"/>
        <v>8.3482866290946129E-13</v>
      </c>
      <c r="Q156" s="20">
        <f t="shared" si="162"/>
        <v>1.5435705246133045E-12</v>
      </c>
      <c r="R156" s="59">
        <f t="shared" si="109"/>
        <v>291.63214761549989</v>
      </c>
      <c r="S156" s="59">
        <f ca="1">AVERAGE(OFFSET($R$3,0,0,'Données projet'!$E$9+1,1))-AVERAGE(OFFSET($H$3,0,0,'Données projet'!$E$9+1,1))</f>
        <v>466.90449882701591</v>
      </c>
      <c r="T156" s="59">
        <f t="shared" si="142"/>
        <v>283.37641704892053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97.242432921741752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97.242432921741752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69.536040258772275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-4.5474735088646412E-13</v>
      </c>
      <c r="AJ156" s="13">
        <f>AI156*VLOOKUP('Données projet'!$B$10,Paramètres!$A$1:$I$89,3,0)*VLOOKUP('Données projet'!$B$10,Paramètres!$A$1:$I$89,5,0)</f>
        <v>-4.3273757910355926E-13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399.5572791581468</v>
      </c>
      <c r="AO156" s="59">
        <f t="shared" si="144"/>
        <v>246.34185986079777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68.052495996701666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68.052495996701666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69.536040258772275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5.6843418860808015E-14</v>
      </c>
      <c r="BE156" s="13">
        <f>BD156*VLOOKUP('Données projet'!$B$11,Paramètres!$A$1:$I$89,3,0)*VLOOKUP('Données projet'!$B$11,Paramètres!$A$1:$I$89,5,0)</f>
        <v>4.4337866711430253E-14</v>
      </c>
      <c r="BF156" s="13">
        <f t="shared" si="167"/>
        <v>7.3222115536967035E-13</v>
      </c>
      <c r="BG156" s="20">
        <f t="shared" si="168"/>
        <v>1.3525069634579169E-12</v>
      </c>
      <c r="BH156" s="59">
        <f t="shared" si="116"/>
        <v>291.63214761549972</v>
      </c>
      <c r="BI156" s="59">
        <f ca="1">AVERAGE(OFFSET($BH$3,0,0,'Données projet'!$E$11+1,1))-AVERAGE(OFFSET($H$3,0,0,'Données projet'!$E$11+1,1))</f>
        <v>294.23449029791681</v>
      </c>
      <c r="BJ156" s="59">
        <f t="shared" si="146"/>
        <v>288.64639202306159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17.824676723617561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17.824676723617561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69.536040258772275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-4.5474735088646412E-13</v>
      </c>
      <c r="BZ156" s="13">
        <f>BY156*VLOOKUP('Données projet'!$B$12,Paramètres!$A$1:$I$89,3,0)*VLOOKUP('Données projet'!$B$12,Paramètres!$A$1:$I$89,5,0)</f>
        <v>-4.8949004849418999E-13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445.38112098358147</v>
      </c>
      <c r="CE156" s="59">
        <f t="shared" si="148"/>
        <v>272.45883568548516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76.977413504465872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76.977413504465872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69.536040258772275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-4.5474735088646412E-13</v>
      </c>
      <c r="CU156" s="17">
        <f>CT156*VLOOKUP('Données projet'!$B$13,Paramètres!$A$1:$I$89,3,0)*VLOOKUP('Données projet'!$B$13,Paramètres!$A$1:$I$89,5,0)</f>
        <v>-4.8949004849418999E-13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445.38112098358147</v>
      </c>
      <c r="CZ156" s="59">
        <f t="shared" si="150"/>
        <v>272.45883568548516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76.977413504465872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76.977413504465872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69.536040258772275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-4.5474735088646412E-13</v>
      </c>
      <c r="DP156" s="17">
        <f>DO156*VLOOKUP('Données projet'!$B$14,Paramètres!$A$1:$I$89,3,0)*VLOOKUP('Données projet'!$B$14,Paramètres!$A$1:$I$89,5,0)</f>
        <v>-4.3983163777738812E-13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405.29179902613089</v>
      </c>
      <c r="DU156" s="59">
        <f t="shared" si="152"/>
        <v>249.61049717638238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69.168110685172238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69.168110685172238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69.536040258772275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-5.6843418860808015E-13</v>
      </c>
      <c r="EK156" s="17">
        <f>EJ156*VLOOKUP('Données projet'!$B$15,Paramètres!$A$1:$I$89,3,0)*VLOOKUP('Données projet'!$B$15,Paramètres!$A$1:$I$89,5,0)</f>
        <v>-3.39923644787632E-13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444.77624981561257</v>
      </c>
      <c r="EP156" s="59">
        <f t="shared" si="154"/>
        <v>382.10319641527587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51.482955424745043</v>
      </c>
      <c r="EW156" s="21">
        <f>EXP(-LN(2)/25)*EW155+(1-EXP(-LN(2)/25))/(LN(2)/25)*Calculateur!ER156*Calculateur!ET156*VLOOKUP('Données projet'!$B$15,Paramètres!$A$1:$I$89,3,0)*0.475*44/12</f>
        <v>5.4879014211207275</v>
      </c>
      <c r="EX156" s="21">
        <f>EXP(-LN(2)/2)*EX155+(1-EXP(-LN(2)/2))/(LN(2)/2)*ER156*EU156*VLOOKUP('Données projet'!$B$15,Paramètres!$A$1:$I$89,3,0)*0.475*44/12</f>
        <v>1.057237729309055E-10</v>
      </c>
      <c r="EY156" s="22">
        <f t="shared" si="181"/>
        <v>56.97085684597149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69.536040258772275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3.4106051316484809E-13</v>
      </c>
      <c r="FF156" s="17">
        <f>FE156*VLOOKUP('Données projet'!$B$16,Paramètres!$A$1:$I$89,3,0)*VLOOKUP('Données projet'!$B$16,Paramètres!$A$1:$I$89,5,0)</f>
        <v>1.5074874681886286E-13</v>
      </c>
      <c r="FG156" s="13">
        <f t="shared" si="182"/>
        <v>2.1590218794584103E-12</v>
      </c>
      <c r="FH156" s="20">
        <f t="shared" si="183"/>
        <v>4.0228505074329168E-12</v>
      </c>
      <c r="FI156" s="59">
        <f t="shared" si="131"/>
        <v>291.63214761550239</v>
      </c>
      <c r="FJ156" s="59">
        <f ca="1">AVERAGE(OFFSET($FI$3,0,0,'Données projet'!$E$16+1,1))-AVERAGE(OFFSET($H$3,0,0,'Données projet'!$E$16+1,1))</f>
        <v>508.71179785154317</v>
      </c>
      <c r="FK156" s="59">
        <f t="shared" si="156"/>
        <v>422.73937290731442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65.461773651774536</v>
      </c>
      <c r="FR156" s="21">
        <f>EXP(-LN(2)/25)*FR155+(1-EXP(-LN(2)/25))/(LN(2)/25)*Calculateur!FM156*Calculateur!FO156*VLOOKUP('Données projet'!$B$16,Paramètres!$A$1:$I$89,3,0)*0.475*44/12</f>
        <v>8.9915111589312993</v>
      </c>
      <c r="FS156" s="21">
        <f>EXP(-LN(2)/2)*FS155+(1-EXP(-LN(2)/2))/(LN(2)/2)*FM156*FP156*VLOOKUP('Données projet'!$B$16,Paramètres!$A$1:$I$89,3,0)*0.475*44/12</f>
        <v>4.4316857562830446E-10</v>
      </c>
      <c r="FT156" s="22">
        <f t="shared" si="184"/>
        <v>74.453284811149004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69.536040258772275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69.536040258772275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1.35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4.95</v>
      </c>
      <c r="H157" s="67">
        <f t="shared" si="110"/>
        <v>236.86666666666665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69.544088923023992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5.6843418860808015E-14</v>
      </c>
      <c r="O157" s="13">
        <f>N157*VLOOKUP('Données projet'!$B$9,Paramètres!$A$1:$I$89,3,0)*VLOOKUP('Données projet'!$B$9,Paramètres!$A$1:$I$89,5,0)</f>
        <v>5.1431925385259088E-14</v>
      </c>
      <c r="P157" s="13">
        <f t="shared" si="141"/>
        <v>8.3482866290946129E-13</v>
      </c>
      <c r="Q157" s="20">
        <f t="shared" si="162"/>
        <v>1.5435705246133045E-12</v>
      </c>
      <c r="R157" s="59">
        <f t="shared" si="109"/>
        <v>291.66165938442282</v>
      </c>
      <c r="S157" s="59">
        <f ca="1">AVERAGE(OFFSET($R$3,0,0,'Données projet'!$E$9+1,1))-AVERAGE(OFFSET($H$3,0,0,'Données projet'!$E$9+1,1))</f>
        <v>466.90449882701591</v>
      </c>
      <c r="T157" s="59">
        <f t="shared" si="142"/>
        <v>283.37641704892053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95.335568124173903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95.335568124173903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69.544088923023992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-4.5474735088646412E-13</v>
      </c>
      <c r="AJ157" s="13">
        <f>AI157*VLOOKUP('Données projet'!$B$10,Paramètres!$A$1:$I$89,3,0)*VLOOKUP('Données projet'!$B$10,Paramètres!$A$1:$I$89,5,0)</f>
        <v>-4.3273757910355926E-13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399.5572791581468</v>
      </c>
      <c r="AO157" s="59">
        <f t="shared" si="144"/>
        <v>246.34185986079777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66.718028058130344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66.718028058130344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69.544088923023992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5.6843418860808015E-14</v>
      </c>
      <c r="BE157" s="13">
        <f>BD157*VLOOKUP('Données projet'!$B$11,Paramètres!$A$1:$I$89,3,0)*VLOOKUP('Données projet'!$B$11,Paramètres!$A$1:$I$89,5,0)</f>
        <v>4.4337866711430253E-14</v>
      </c>
      <c r="BF157" s="13">
        <f t="shared" si="167"/>
        <v>7.3222115536967035E-13</v>
      </c>
      <c r="BG157" s="20">
        <f t="shared" si="168"/>
        <v>1.3525069634579169E-12</v>
      </c>
      <c r="BH157" s="59">
        <f t="shared" si="116"/>
        <v>291.66165938442265</v>
      </c>
      <c r="BI157" s="59">
        <f ca="1">AVERAGE(OFFSET($BH$3,0,0,'Données projet'!$E$11+1,1))-AVERAGE(OFFSET($H$3,0,0,'Données projet'!$E$11+1,1))</f>
        <v>294.23449029791681</v>
      </c>
      <c r="BJ157" s="59">
        <f t="shared" si="146"/>
        <v>288.64639202306159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17.475145685046702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17.475145685046702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69.544088923023992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-4.5474735088646412E-13</v>
      </c>
      <c r="BZ157" s="13">
        <f>BY157*VLOOKUP('Données projet'!$B$12,Paramètres!$A$1:$I$89,3,0)*VLOOKUP('Données projet'!$B$12,Paramètres!$A$1:$I$89,5,0)</f>
        <v>-4.8949004849418999E-13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445.38112098358147</v>
      </c>
      <c r="CE157" s="59">
        <f t="shared" si="148"/>
        <v>272.45883568548516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75.467933377229457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75.467933377229457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69.544088923023992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-4.5474735088646412E-13</v>
      </c>
      <c r="CU157" s="17">
        <f>CT157*VLOOKUP('Données projet'!$B$13,Paramètres!$A$1:$I$89,3,0)*VLOOKUP('Données projet'!$B$13,Paramètres!$A$1:$I$89,5,0)</f>
        <v>-4.8949004849418999E-13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445.38112098358147</v>
      </c>
      <c r="CZ157" s="59">
        <f t="shared" si="150"/>
        <v>272.45883568548516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75.467933377229457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75.467933377229457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69.544088923023992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-4.5474735088646412E-13</v>
      </c>
      <c r="DP157" s="17">
        <f>DO157*VLOOKUP('Données projet'!$B$14,Paramètres!$A$1:$I$89,3,0)*VLOOKUP('Données projet'!$B$14,Paramètres!$A$1:$I$89,5,0)</f>
        <v>-4.3983163777738812E-13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405.29179902613089</v>
      </c>
      <c r="DU157" s="59">
        <f t="shared" si="152"/>
        <v>249.61049717638238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67.81176622301777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67.81176622301777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69.544088923023992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-5.6843418860808015E-13</v>
      </c>
      <c r="EK157" s="17">
        <f>EJ157*VLOOKUP('Données projet'!$B$15,Paramètres!$A$1:$I$89,3,0)*VLOOKUP('Données projet'!$B$15,Paramètres!$A$1:$I$89,5,0)</f>
        <v>-3.39923644787632E-13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444.77624981561257</v>
      </c>
      <c r="EP157" s="59">
        <f t="shared" si="154"/>
        <v>382.10319641527587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50.473406070367965</v>
      </c>
      <c r="EW157" s="21">
        <f>EXP(-LN(2)/25)*EW156+(1-EXP(-LN(2)/25))/(LN(2)/25)*Calculateur!ER157*Calculateur!ET157*VLOOKUP('Données projet'!$B$15,Paramètres!$A$1:$I$89,3,0)*0.475*44/12</f>
        <v>5.3378344681639884</v>
      </c>
      <c r="EX157" s="21">
        <f>EXP(-LN(2)/2)*EX156+(1-EXP(-LN(2)/2))/(LN(2)/2)*ER157*EU157*VLOOKUP('Données projet'!$B$15,Paramètres!$A$1:$I$89,3,0)*0.475*44/12</f>
        <v>7.4757996772070029E-11</v>
      </c>
      <c r="EY157" s="22">
        <f t="shared" si="181"/>
        <v>55.811240538606711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69.544088923023992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3.4106051316484809E-13</v>
      </c>
      <c r="FF157" s="17">
        <f>FE157*VLOOKUP('Données projet'!$B$16,Paramètres!$A$1:$I$89,3,0)*VLOOKUP('Données projet'!$B$16,Paramètres!$A$1:$I$89,5,0)</f>
        <v>1.5074874681886286E-13</v>
      </c>
      <c r="FG157" s="13">
        <f t="shared" si="182"/>
        <v>2.1590218794584103E-12</v>
      </c>
      <c r="FH157" s="20">
        <f t="shared" si="183"/>
        <v>4.0228505074329168E-12</v>
      </c>
      <c r="FI157" s="59">
        <f t="shared" si="131"/>
        <v>291.66165938442532</v>
      </c>
      <c r="FJ157" s="59">
        <f ca="1">AVERAGE(OFFSET($FI$3,0,0,'Données projet'!$E$16+1,1))-AVERAGE(OFFSET($H$3,0,0,'Données projet'!$E$16+1,1))</f>
        <v>508.71179785154317</v>
      </c>
      <c r="FK157" s="59">
        <f t="shared" si="156"/>
        <v>422.73937290731442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64.178108198202622</v>
      </c>
      <c r="FR157" s="21">
        <f>EXP(-LN(2)/25)*FR156+(1-EXP(-LN(2)/25))/(LN(2)/25)*Calculateur!FM157*Calculateur!FO157*VLOOKUP('Données projet'!$B$16,Paramètres!$A$1:$I$89,3,0)*0.475*44/12</f>
        <v>8.745637813447301</v>
      </c>
      <c r="FS157" s="21">
        <f>EXP(-LN(2)/2)*FS156+(1-EXP(-LN(2)/2))/(LN(2)/2)*FM157*FP157*VLOOKUP('Données projet'!$B$16,Paramètres!$A$1:$I$89,3,0)*0.475*44/12</f>
        <v>3.1336750503555742E-10</v>
      </c>
      <c r="FT157" s="22">
        <f t="shared" si="184"/>
        <v>72.923746011963289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69.544088923023992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69.544088923023992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1.35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4.95</v>
      </c>
      <c r="H158" s="67">
        <f t="shared" si="110"/>
        <v>236.86666666666665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69.551997960945044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5.6843418860808015E-14</v>
      </c>
      <c r="O158" s="13">
        <f>N158*VLOOKUP('Données projet'!$B$9,Paramètres!$A$1:$I$89,3,0)*VLOOKUP('Données projet'!$B$9,Paramètres!$A$1:$I$89,5,0)</f>
        <v>5.1431925385259088E-14</v>
      </c>
      <c r="P158" s="13">
        <f t="shared" si="141"/>
        <v>8.3482866290946129E-13</v>
      </c>
      <c r="Q158" s="20">
        <f t="shared" si="162"/>
        <v>1.5435705246133045E-12</v>
      </c>
      <c r="R158" s="59">
        <f t="shared" si="109"/>
        <v>291.69065919013337</v>
      </c>
      <c r="S158" s="59">
        <f ca="1">AVERAGE(OFFSET($R$3,0,0,'Données projet'!$E$9+1,1))-AVERAGE(OFFSET($H$3,0,0,'Données projet'!$E$9+1,1))</f>
        <v>466.90449882701591</v>
      </c>
      <c r="T158" s="59">
        <f t="shared" si="142"/>
        <v>283.37641704892053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93.466095782213671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93.466095782213671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69.551997960945044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-4.5474735088646412E-13</v>
      </c>
      <c r="AJ158" s="13">
        <f>AI158*VLOOKUP('Données projet'!$B$10,Paramètres!$A$1:$I$89,3,0)*VLOOKUP('Données projet'!$B$10,Paramètres!$A$1:$I$89,5,0)</f>
        <v>-4.3273757910355926E-13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399.5572791581468</v>
      </c>
      <c r="AO158" s="59">
        <f t="shared" si="144"/>
        <v>246.34185986079777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65.409728221889324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65.409728221889324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69.551997960945044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5.6843418860808015E-14</v>
      </c>
      <c r="BE158" s="13">
        <f>BD158*VLOOKUP('Données projet'!$B$11,Paramètres!$A$1:$I$89,3,0)*VLOOKUP('Données projet'!$B$11,Paramètres!$A$1:$I$89,5,0)</f>
        <v>4.4337866711430253E-14</v>
      </c>
      <c r="BF158" s="13">
        <f t="shared" si="167"/>
        <v>7.3222115536967035E-13</v>
      </c>
      <c r="BG158" s="20">
        <f t="shared" si="168"/>
        <v>1.3525069634579169E-12</v>
      </c>
      <c r="BH158" s="59">
        <f t="shared" si="116"/>
        <v>291.6906591901332</v>
      </c>
      <c r="BI158" s="59">
        <f ca="1">AVERAGE(OFFSET($BH$3,0,0,'Données projet'!$E$11+1,1))-AVERAGE(OFFSET($H$3,0,0,'Données projet'!$E$11+1,1))</f>
        <v>294.23449029791681</v>
      </c>
      <c r="BJ158" s="59">
        <f t="shared" si="146"/>
        <v>288.64639202306159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17.132468736949335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17.132468736949335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69.551997960945044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-4.5474735088646412E-13</v>
      </c>
      <c r="BZ158" s="13">
        <f>BY158*VLOOKUP('Données projet'!$B$12,Paramètres!$A$1:$I$89,3,0)*VLOOKUP('Données projet'!$B$12,Paramètres!$A$1:$I$89,5,0)</f>
        <v>-4.8949004849418999E-13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445.38112098358147</v>
      </c>
      <c r="CE158" s="59">
        <f t="shared" si="148"/>
        <v>272.45883568548516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73.98805323459618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73.98805323459618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69.551997960945044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-4.5474735088646412E-13</v>
      </c>
      <c r="CU158" s="17">
        <f>CT158*VLOOKUP('Données projet'!$B$13,Paramètres!$A$1:$I$89,3,0)*VLOOKUP('Données projet'!$B$13,Paramètres!$A$1:$I$89,5,0)</f>
        <v>-4.8949004849418999E-13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445.38112098358147</v>
      </c>
      <c r="CZ158" s="59">
        <f t="shared" si="150"/>
        <v>272.45883568548516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73.98805323459618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73.98805323459618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69.551997960945044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-4.5474735088646412E-13</v>
      </c>
      <c r="DP158" s="17">
        <f>DO158*VLOOKUP('Données projet'!$B$14,Paramètres!$A$1:$I$89,3,0)*VLOOKUP('Données projet'!$B$14,Paramètres!$A$1:$I$89,5,0)</f>
        <v>-4.3983163777738812E-13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405.29179902613089</v>
      </c>
      <c r="DU158" s="59">
        <f t="shared" si="152"/>
        <v>249.61049717638238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66.482018848477722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66.482018848477722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69.551997960945044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-5.6843418860808015E-13</v>
      </c>
      <c r="EK158" s="17">
        <f>EJ158*VLOOKUP('Données projet'!$B$15,Paramètres!$A$1:$I$89,3,0)*VLOOKUP('Données projet'!$B$15,Paramètres!$A$1:$I$89,5,0)</f>
        <v>-3.39923644787632E-13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444.77624981561257</v>
      </c>
      <c r="EP158" s="59">
        <f t="shared" si="154"/>
        <v>382.10319641527587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49.483653363065912</v>
      </c>
      <c r="EW158" s="21">
        <f>EXP(-LN(2)/25)*EW157+(1-EXP(-LN(2)/25))/(LN(2)/25)*Calculateur!ER158*Calculateur!ET158*VLOOKUP('Données projet'!$B$15,Paramètres!$A$1:$I$89,3,0)*0.475*44/12</f>
        <v>5.1918711039275296</v>
      </c>
      <c r="EX158" s="21">
        <f>EXP(-LN(2)/2)*EX157+(1-EXP(-LN(2)/2))/(LN(2)/2)*ER158*EU158*VLOOKUP('Données projet'!$B$15,Paramètres!$A$1:$I$89,3,0)*0.475*44/12</f>
        <v>5.2861886465452749E-11</v>
      </c>
      <c r="EY158" s="22">
        <f t="shared" si="181"/>
        <v>54.675524467046309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69.551997960945044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3.4106051316484809E-13</v>
      </c>
      <c r="FF158" s="17">
        <f>FE158*VLOOKUP('Données projet'!$B$16,Paramètres!$A$1:$I$89,3,0)*VLOOKUP('Données projet'!$B$16,Paramètres!$A$1:$I$89,5,0)</f>
        <v>1.5074874681886286E-13</v>
      </c>
      <c r="FG158" s="13">
        <f t="shared" si="182"/>
        <v>2.1590218794584103E-12</v>
      </c>
      <c r="FH158" s="20">
        <f t="shared" si="183"/>
        <v>4.0228505074329168E-12</v>
      </c>
      <c r="FI158" s="59">
        <f t="shared" si="131"/>
        <v>291.69065919013588</v>
      </c>
      <c r="FJ158" s="59">
        <f ca="1">AVERAGE(OFFSET($FI$3,0,0,'Données projet'!$E$16+1,1))-AVERAGE(OFFSET($H$3,0,0,'Données projet'!$E$16+1,1))</f>
        <v>508.71179785154317</v>
      </c>
      <c r="FK158" s="59">
        <f t="shared" si="156"/>
        <v>422.73937290731442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62.919614641216647</v>
      </c>
      <c r="FR158" s="21">
        <f>EXP(-LN(2)/25)*FR157+(1-EXP(-LN(2)/25))/(LN(2)/25)*Calculateur!FM158*Calculateur!FO158*VLOOKUP('Données projet'!$B$16,Paramètres!$A$1:$I$89,3,0)*0.475*44/12</f>
        <v>8.5064878875254806</v>
      </c>
      <c r="FS158" s="21">
        <f>EXP(-LN(2)/2)*FS157+(1-EXP(-LN(2)/2))/(LN(2)/2)*FM158*FP158*VLOOKUP('Données projet'!$B$16,Paramètres!$A$1:$I$89,3,0)*0.475*44/12</f>
        <v>2.2158428781415223E-10</v>
      </c>
      <c r="FT158" s="22">
        <f t="shared" si="184"/>
        <v>71.42610252896371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69.551997960945044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69.551997960945044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1.35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4.95</v>
      </c>
      <c r="H159" s="67">
        <f t="shared" si="110"/>
        <v>236.86666666666665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69.559769794740134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5.6843418860808015E-14</v>
      </c>
      <c r="O159" s="13">
        <f>N159*VLOOKUP('Données projet'!$B$9,Paramètres!$A$1:$I$89,3,0)*VLOOKUP('Données projet'!$B$9,Paramètres!$A$1:$I$89,5,0)</f>
        <v>5.1431925385259088E-14</v>
      </c>
      <c r="P159" s="13">
        <f t="shared" si="141"/>
        <v>8.3482866290946129E-13</v>
      </c>
      <c r="Q159" s="20">
        <f t="shared" si="162"/>
        <v>1.5435705246133045E-12</v>
      </c>
      <c r="R159" s="59">
        <f t="shared" si="109"/>
        <v>291.71915591404871</v>
      </c>
      <c r="S159" s="59">
        <f ca="1">AVERAGE(OFFSET($R$3,0,0,'Données projet'!$E$9+1,1))-AVERAGE(OFFSET($H$3,0,0,'Données projet'!$E$9+1,1))</f>
        <v>466.90449882701591</v>
      </c>
      <c r="T159" s="59">
        <f t="shared" si="142"/>
        <v>283.37641704892053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91.633282652613744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91.633282652613744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69.559769794740134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-4.5474735088646412E-13</v>
      </c>
      <c r="AJ159" s="13">
        <f>AI159*VLOOKUP('Données projet'!$B$10,Paramètres!$A$1:$I$89,3,0)*VLOOKUP('Données projet'!$B$10,Paramètres!$A$1:$I$89,5,0)</f>
        <v>-4.3273757910355926E-13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399.5572791581468</v>
      </c>
      <c r="AO159" s="59">
        <f t="shared" si="144"/>
        <v>246.34185986079777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64.127083347452881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64.127083347452881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69.559769794740134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5.6843418860808015E-14</v>
      </c>
      <c r="BE159" s="13">
        <f>BD159*VLOOKUP('Données projet'!$B$11,Paramètres!$A$1:$I$89,3,0)*VLOOKUP('Données projet'!$B$11,Paramètres!$A$1:$I$89,5,0)</f>
        <v>4.4337866711430253E-14</v>
      </c>
      <c r="BF159" s="13">
        <f t="shared" si="167"/>
        <v>7.3222115536967035E-13</v>
      </c>
      <c r="BG159" s="20">
        <f t="shared" si="168"/>
        <v>1.3525069634579169E-12</v>
      </c>
      <c r="BH159" s="59">
        <f t="shared" si="116"/>
        <v>291.71915591404854</v>
      </c>
      <c r="BI159" s="59">
        <f ca="1">AVERAGE(OFFSET($BH$3,0,0,'Données projet'!$E$11+1,1))-AVERAGE(OFFSET($H$3,0,0,'Données projet'!$E$11+1,1))</f>
        <v>294.23449029791681</v>
      </c>
      <c r="BJ159" s="59">
        <f t="shared" si="146"/>
        <v>288.64639202306159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16.79651147479186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16.79651147479186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69.559769794740134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-4.5474735088646412E-13</v>
      </c>
      <c r="BZ159" s="13">
        <f>BY159*VLOOKUP('Données projet'!$B$12,Paramètres!$A$1:$I$89,3,0)*VLOOKUP('Données projet'!$B$12,Paramètres!$A$1:$I$89,5,0)</f>
        <v>-4.8949004849418999E-13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445.38112098358147</v>
      </c>
      <c r="CE159" s="59">
        <f t="shared" si="148"/>
        <v>272.45883568548516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72.537192638922178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72.537192638922178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69.559769794740134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-4.5474735088646412E-13</v>
      </c>
      <c r="CU159" s="17">
        <f>CT159*VLOOKUP('Données projet'!$B$13,Paramètres!$A$1:$I$89,3,0)*VLOOKUP('Données projet'!$B$13,Paramètres!$A$1:$I$89,5,0)</f>
        <v>-4.8949004849418999E-13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445.38112098358147</v>
      </c>
      <c r="CZ159" s="59">
        <f t="shared" si="150"/>
        <v>272.45883568548516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72.537192638922178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72.537192638922178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69.559769794740134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-4.5474735088646412E-13</v>
      </c>
      <c r="DP159" s="17">
        <f>DO159*VLOOKUP('Données projet'!$B$14,Paramètres!$A$1:$I$89,3,0)*VLOOKUP('Données projet'!$B$14,Paramètres!$A$1:$I$89,5,0)</f>
        <v>-4.3983163777738812E-13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405.29179902613089</v>
      </c>
      <c r="DU159" s="59">
        <f t="shared" si="152"/>
        <v>249.61049717638238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65.17834700888659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65.17834700888659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69.559769794740134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-5.6843418860808015E-13</v>
      </c>
      <c r="EK159" s="17">
        <f>EJ159*VLOOKUP('Données projet'!$B$15,Paramètres!$A$1:$I$89,3,0)*VLOOKUP('Données projet'!$B$15,Paramètres!$A$1:$I$89,5,0)</f>
        <v>-3.39923644787632E-13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444.77624981561257</v>
      </c>
      <c r="EP159" s="59">
        <f t="shared" si="154"/>
        <v>382.10319641527587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48.513309102664508</v>
      </c>
      <c r="EW159" s="21">
        <f>EXP(-LN(2)/25)*EW158+(1-EXP(-LN(2)/25))/(LN(2)/25)*Calculateur!ER159*Calculateur!ET159*VLOOKUP('Données projet'!$B$15,Paramètres!$A$1:$I$89,3,0)*0.475*44/12</f>
        <v>5.0498991155619963</v>
      </c>
      <c r="EX159" s="21">
        <f>EXP(-LN(2)/2)*EX158+(1-EXP(-LN(2)/2))/(LN(2)/2)*ER159*EU159*VLOOKUP('Données projet'!$B$15,Paramètres!$A$1:$I$89,3,0)*0.475*44/12</f>
        <v>3.7378998386035015E-11</v>
      </c>
      <c r="EY159" s="22">
        <f t="shared" si="181"/>
        <v>53.563208218263888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69.559769794740134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3.4106051316484809E-13</v>
      </c>
      <c r="FF159" s="17">
        <f>FE159*VLOOKUP('Données projet'!$B$16,Paramètres!$A$1:$I$89,3,0)*VLOOKUP('Données projet'!$B$16,Paramètres!$A$1:$I$89,5,0)</f>
        <v>1.5074874681886286E-13</v>
      </c>
      <c r="FG159" s="13">
        <f t="shared" si="182"/>
        <v>2.1590218794584103E-12</v>
      </c>
      <c r="FH159" s="20">
        <f t="shared" si="183"/>
        <v>4.0228505074329168E-12</v>
      </c>
      <c r="FI159" s="59">
        <f t="shared" si="131"/>
        <v>291.71915591405121</v>
      </c>
      <c r="FJ159" s="59">
        <f ca="1">AVERAGE(OFFSET($FI$3,0,0,'Données projet'!$E$16+1,1))-AVERAGE(OFFSET($H$3,0,0,'Données projet'!$E$16+1,1))</f>
        <v>508.71179785154317</v>
      </c>
      <c r="FK159" s="59">
        <f t="shared" si="156"/>
        <v>422.73937290731442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61.685799375277888</v>
      </c>
      <c r="FR159" s="21">
        <f>EXP(-LN(2)/25)*FR158+(1-EXP(-LN(2)/25))/(LN(2)/25)*Calculateur!FM159*Calculateur!FO159*VLOOKUP('Données projet'!$B$16,Paramètres!$A$1:$I$89,3,0)*0.475*44/12</f>
        <v>8.2738775289043396</v>
      </c>
      <c r="FS159" s="21">
        <f>EXP(-LN(2)/2)*FS158+(1-EXP(-LN(2)/2))/(LN(2)/2)*FM159*FP159*VLOOKUP('Données projet'!$B$16,Paramètres!$A$1:$I$89,3,0)*0.475*44/12</f>
        <v>1.5668375251777871E-10</v>
      </c>
      <c r="FT159" s="22">
        <f t="shared" si="184"/>
        <v>69.95967690433892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69.559769794740134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69.559769794740134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1.35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4.95</v>
      </c>
      <c r="H160" s="67">
        <f t="shared" si="110"/>
        <v>236.86666666666665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69.5674068045941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5.6843418860808015E-14</v>
      </c>
      <c r="O160" s="13">
        <f>N160*VLOOKUP('Données projet'!$B$9,Paramètres!$A$1:$I$89,3,0)*VLOOKUP('Données projet'!$B$9,Paramètres!$A$1:$I$89,5,0)</f>
        <v>5.1431925385259088E-14</v>
      </c>
      <c r="P160" s="13">
        <f t="shared" si="141"/>
        <v>8.3482866290946129E-13</v>
      </c>
      <c r="Q160" s="20">
        <f t="shared" si="162"/>
        <v>1.5435705246133045E-12</v>
      </c>
      <c r="R160" s="59">
        <f t="shared" si="109"/>
        <v>291.74715828351322</v>
      </c>
      <c r="S160" s="59">
        <f ca="1">AVERAGE(OFFSET($R$3,0,0,'Données projet'!$E$9+1,1))-AVERAGE(OFFSET($H$3,0,0,'Données projet'!$E$9+1,1))</f>
        <v>466.90449882701591</v>
      </c>
      <c r="T160" s="59">
        <f t="shared" si="142"/>
        <v>283.37641704892053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89.836409870579644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89.836409870579644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69.5674068045941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-4.5474735088646412E-13</v>
      </c>
      <c r="AJ160" s="13">
        <f>AI160*VLOOKUP('Données projet'!$B$10,Paramètres!$A$1:$I$89,3,0)*VLOOKUP('Données projet'!$B$10,Paramètres!$A$1:$I$89,5,0)</f>
        <v>-4.3273757910355926E-13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399.5572791581468</v>
      </c>
      <c r="AO160" s="59">
        <f t="shared" si="144"/>
        <v>246.34185986079777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62.86959035666802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62.86959035666802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69.5674068045941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5.6843418860808015E-14</v>
      </c>
      <c r="BE160" s="13">
        <f>BD160*VLOOKUP('Données projet'!$B$11,Paramètres!$A$1:$I$89,3,0)*VLOOKUP('Données projet'!$B$11,Paramètres!$A$1:$I$89,5,0)</f>
        <v>4.4337866711430253E-14</v>
      </c>
      <c r="BF160" s="13">
        <f t="shared" si="167"/>
        <v>7.3222115536967035E-13</v>
      </c>
      <c r="BG160" s="20">
        <f t="shared" si="168"/>
        <v>1.3525069634579169E-12</v>
      </c>
      <c r="BH160" s="59">
        <f t="shared" si="116"/>
        <v>291.74715828351304</v>
      </c>
      <c r="BI160" s="59">
        <f ca="1">AVERAGE(OFFSET($BH$3,0,0,'Données projet'!$E$11+1,1))-AVERAGE(OFFSET($H$3,0,0,'Données projet'!$E$11+1,1))</f>
        <v>294.23449029791681</v>
      </c>
      <c r="BJ160" s="59">
        <f t="shared" si="146"/>
        <v>288.64639202306159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16.467142129631593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16.467142129631593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69.5674068045941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-4.5474735088646412E-13</v>
      </c>
      <c r="BZ160" s="13">
        <f>BY160*VLOOKUP('Données projet'!$B$12,Paramètres!$A$1:$I$89,3,0)*VLOOKUP('Données projet'!$B$12,Paramètres!$A$1:$I$89,5,0)</f>
        <v>-4.8949004849418999E-13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445.38112098358147</v>
      </c>
      <c r="CE160" s="59">
        <f t="shared" si="148"/>
        <v>272.45883568548516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71.114782534591754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71.114782534591754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69.5674068045941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-4.5474735088646412E-13</v>
      </c>
      <c r="CU160" s="17">
        <f>CT160*VLOOKUP('Données projet'!$B$13,Paramètres!$A$1:$I$89,3,0)*VLOOKUP('Données projet'!$B$13,Paramètres!$A$1:$I$89,5,0)</f>
        <v>-4.8949004849418999E-13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445.38112098358147</v>
      </c>
      <c r="CZ160" s="59">
        <f t="shared" si="150"/>
        <v>272.45883568548516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71.114782534591754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71.114782534591754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69.5674068045941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-4.5474735088646412E-13</v>
      </c>
      <c r="DP160" s="17">
        <f>DO160*VLOOKUP('Données projet'!$B$14,Paramètres!$A$1:$I$89,3,0)*VLOOKUP('Données projet'!$B$14,Paramètres!$A$1:$I$89,5,0)</f>
        <v>-4.3983163777738812E-13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405.29179902613089</v>
      </c>
      <c r="DU160" s="59">
        <f t="shared" si="152"/>
        <v>249.61049717638238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63.90023937890853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63.90023937890853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69.5674068045941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-5.6843418860808015E-13</v>
      </c>
      <c r="EK160" s="17">
        <f>EJ160*VLOOKUP('Données projet'!$B$15,Paramètres!$A$1:$I$89,3,0)*VLOOKUP('Données projet'!$B$15,Paramètres!$A$1:$I$89,5,0)</f>
        <v>-3.39923644787632E-13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444.77624981561257</v>
      </c>
      <c r="EP160" s="59">
        <f t="shared" si="154"/>
        <v>382.10319641527587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47.561992701358022</v>
      </c>
      <c r="EW160" s="21">
        <f>EXP(-LN(2)/25)*EW159+(1-EXP(-LN(2)/25))/(LN(2)/25)*Calculateur!ER160*Calculateur!ET160*VLOOKUP('Données projet'!$B$15,Paramètres!$A$1:$I$89,3,0)*0.475*44/12</f>
        <v>4.9118093586843008</v>
      </c>
      <c r="EX160" s="21">
        <f>EXP(-LN(2)/2)*EX159+(1-EXP(-LN(2)/2))/(LN(2)/2)*ER160*EU160*VLOOKUP('Données projet'!$B$15,Paramètres!$A$1:$I$89,3,0)*0.475*44/12</f>
        <v>2.6430943232726375E-11</v>
      </c>
      <c r="EY160" s="22">
        <f t="shared" si="181"/>
        <v>52.473802060068756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69.5674068045941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3.4106051316484809E-13</v>
      </c>
      <c r="FF160" s="17">
        <f>FE160*VLOOKUP('Données projet'!$B$16,Paramètres!$A$1:$I$89,3,0)*VLOOKUP('Données projet'!$B$16,Paramètres!$A$1:$I$89,5,0)</f>
        <v>1.5074874681886286E-13</v>
      </c>
      <c r="FG160" s="13">
        <f t="shared" si="182"/>
        <v>2.1590218794584103E-12</v>
      </c>
      <c r="FH160" s="20">
        <f t="shared" si="183"/>
        <v>4.0228505074329168E-12</v>
      </c>
      <c r="FI160" s="59">
        <f t="shared" si="131"/>
        <v>291.74715828351572</v>
      </c>
      <c r="FJ160" s="59">
        <f ca="1">AVERAGE(OFFSET($FI$3,0,0,'Données projet'!$E$16+1,1))-AVERAGE(OFFSET($H$3,0,0,'Données projet'!$E$16+1,1))</f>
        <v>508.71179785154317</v>
      </c>
      <c r="FK160" s="59">
        <f t="shared" si="156"/>
        <v>422.73937290731442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60.476178474151183</v>
      </c>
      <c r="FR160" s="21">
        <f>EXP(-LN(2)/25)*FR159+(1-EXP(-LN(2)/25))/(LN(2)/25)*Calculateur!FM160*Calculateur!FO160*VLOOKUP('Données projet'!$B$16,Paramètres!$A$1:$I$89,3,0)*0.475*44/12</f>
        <v>8.0476279127721408</v>
      </c>
      <c r="FS160" s="21">
        <f>EXP(-LN(2)/2)*FS159+(1-EXP(-LN(2)/2))/(LN(2)/2)*FM160*FP160*VLOOKUP('Données projet'!$B$16,Paramètres!$A$1:$I$89,3,0)*0.475*44/12</f>
        <v>1.1079214390707612E-10</v>
      </c>
      <c r="FT160" s="22">
        <f t="shared" si="184"/>
        <v>68.523806387034114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69.5674068045941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69.5674068045941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1.35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4.95</v>
      </c>
      <c r="H161" s="67">
        <f t="shared" si="110"/>
        <v>236.86666666666665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69.574911329400905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5.6843418860808015E-14</v>
      </c>
      <c r="O161" s="13">
        <f>N161*VLOOKUP('Données projet'!$B$9,Paramètres!$A$1:$I$89,3,0)*VLOOKUP('Données projet'!$B$9,Paramètres!$A$1:$I$89,5,0)</f>
        <v>5.1431925385259088E-14</v>
      </c>
      <c r="P161" s="13">
        <f t="shared" si="141"/>
        <v>8.3482866290946129E-13</v>
      </c>
      <c r="Q161" s="20">
        <f t="shared" si="162"/>
        <v>1.5435705246133045E-12</v>
      </c>
      <c r="R161" s="59">
        <f t="shared" si="109"/>
        <v>291.77467487447154</v>
      </c>
      <c r="S161" s="59">
        <f ca="1">AVERAGE(OFFSET($R$3,0,0,'Données projet'!$E$9+1,1))-AVERAGE(OFFSET($H$3,0,0,'Données projet'!$E$9+1,1))</f>
        <v>466.90449882701591</v>
      </c>
      <c r="T161" s="59">
        <f t="shared" si="142"/>
        <v>283.37641704892053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88.074772667817058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88.074772667817058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69.574911329400905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-4.5474735088646412E-13</v>
      </c>
      <c r="AJ161" s="13">
        <f>AI161*VLOOKUP('Données projet'!$B$10,Paramètres!$A$1:$I$89,3,0)*VLOOKUP('Données projet'!$B$10,Paramètres!$A$1:$I$89,5,0)</f>
        <v>-4.3273757910355926E-13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399.5572791581468</v>
      </c>
      <c r="AO161" s="59">
        <f t="shared" si="144"/>
        <v>246.34185986079777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61.636756036437461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61.636756036437461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69.574911329400905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5.6843418860808015E-14</v>
      </c>
      <c r="BE161" s="13">
        <f>BD161*VLOOKUP('Données projet'!$B$11,Paramètres!$A$1:$I$89,3,0)*VLOOKUP('Données projet'!$B$11,Paramètres!$A$1:$I$89,5,0)</f>
        <v>4.4337866711430253E-14</v>
      </c>
      <c r="BF161" s="13">
        <f t="shared" si="167"/>
        <v>7.3222115536967035E-13</v>
      </c>
      <c r="BG161" s="20">
        <f t="shared" si="168"/>
        <v>1.3525069634579169E-12</v>
      </c>
      <c r="BH161" s="59">
        <f t="shared" si="116"/>
        <v>291.77467487447137</v>
      </c>
      <c r="BI161" s="59">
        <f ca="1">AVERAGE(OFFSET($BH$3,0,0,'Données projet'!$E$11+1,1))-AVERAGE(OFFSET($H$3,0,0,'Données projet'!$E$11+1,1))</f>
        <v>294.23449029791681</v>
      </c>
      <c r="BJ161" s="59">
        <f t="shared" si="146"/>
        <v>288.64639202306159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16.144231516434459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16.144231516434459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69.574911329400905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-4.5474735088646412E-13</v>
      </c>
      <c r="BZ161" s="13">
        <f>BY161*VLOOKUP('Données projet'!$B$12,Paramètres!$A$1:$I$89,3,0)*VLOOKUP('Données projet'!$B$12,Paramètres!$A$1:$I$89,5,0)</f>
        <v>-4.8949004849418999E-13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445.38112098358147</v>
      </c>
      <c r="CE161" s="59">
        <f t="shared" si="148"/>
        <v>272.45883568548516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69.720265024822751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69.720265024822751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69.574911329400905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-4.5474735088646412E-13</v>
      </c>
      <c r="CU161" s="17">
        <f>CT161*VLOOKUP('Données projet'!$B$13,Paramètres!$A$1:$I$89,3,0)*VLOOKUP('Données projet'!$B$13,Paramètres!$A$1:$I$89,5,0)</f>
        <v>-4.8949004849418999E-13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445.38112098358147</v>
      </c>
      <c r="CZ161" s="59">
        <f t="shared" si="150"/>
        <v>272.45883568548516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69.720265024822751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69.720265024822751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69.574911329400905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-4.5474735088646412E-13</v>
      </c>
      <c r="DP161" s="17">
        <f>DO161*VLOOKUP('Données projet'!$B$14,Paramètres!$A$1:$I$89,3,0)*VLOOKUP('Données projet'!$B$14,Paramètres!$A$1:$I$89,5,0)</f>
        <v>-4.3983163777738812E-13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405.29179902613089</v>
      </c>
      <c r="DU161" s="59">
        <f t="shared" si="152"/>
        <v>249.61049717638238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62.647194659985665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62.647194659985665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69.574911329400905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-5.6843418860808015E-13</v>
      </c>
      <c r="EK161" s="17">
        <f>EJ161*VLOOKUP('Données projet'!$B$15,Paramètres!$A$1:$I$89,3,0)*VLOOKUP('Données projet'!$B$15,Paramètres!$A$1:$I$89,5,0)</f>
        <v>-3.39923644787632E-13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444.77624981561257</v>
      </c>
      <c r="EP161" s="59">
        <f t="shared" si="154"/>
        <v>382.10319641527587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46.629331034435445</v>
      </c>
      <c r="EW161" s="21">
        <f>EXP(-LN(2)/25)*EW160+(1-EXP(-LN(2)/25))/(LN(2)/25)*Calculateur!ER161*Calculateur!ET161*VLOOKUP('Données projet'!$B$15,Paramètres!$A$1:$I$89,3,0)*0.475*44/12</f>
        <v>4.7774956734702503</v>
      </c>
      <c r="EX161" s="21">
        <f>EXP(-LN(2)/2)*EX160+(1-EXP(-LN(2)/2))/(LN(2)/2)*ER161*EU161*VLOOKUP('Données projet'!$B$15,Paramètres!$A$1:$I$89,3,0)*0.475*44/12</f>
        <v>1.8689499193017507E-11</v>
      </c>
      <c r="EY161" s="22">
        <f t="shared" si="181"/>
        <v>51.406826707924381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69.574911329400905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3.4106051316484809E-13</v>
      </c>
      <c r="FF161" s="17">
        <f>FE161*VLOOKUP('Données projet'!$B$16,Paramètres!$A$1:$I$89,3,0)*VLOOKUP('Données projet'!$B$16,Paramètres!$A$1:$I$89,5,0)</f>
        <v>1.5074874681886286E-13</v>
      </c>
      <c r="FG161" s="13">
        <f t="shared" si="182"/>
        <v>2.1590218794584103E-12</v>
      </c>
      <c r="FH161" s="20">
        <f t="shared" si="183"/>
        <v>4.0228505074329168E-12</v>
      </c>
      <c r="FI161" s="59">
        <f t="shared" si="131"/>
        <v>291.77467487447404</v>
      </c>
      <c r="FJ161" s="59">
        <f ca="1">AVERAGE(OFFSET($FI$3,0,0,'Données projet'!$E$16+1,1))-AVERAGE(OFFSET($H$3,0,0,'Données projet'!$E$16+1,1))</f>
        <v>508.71179785154317</v>
      </c>
      <c r="FK161" s="59">
        <f t="shared" si="156"/>
        <v>422.73937290731442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59.290277501099673</v>
      </c>
      <c r="FR161" s="21">
        <f>EXP(-LN(2)/25)*FR160+(1-EXP(-LN(2)/25))/(LN(2)/25)*Calculateur!FM161*Calculateur!FO161*VLOOKUP('Données projet'!$B$16,Paramètres!$A$1:$I$89,3,0)*0.475*44/12</f>
        <v>7.8275651042910281</v>
      </c>
      <c r="FS161" s="21">
        <f>EXP(-LN(2)/2)*FS160+(1-EXP(-LN(2)/2))/(LN(2)/2)*FM161*FP161*VLOOKUP('Données projet'!$B$16,Paramètres!$A$1:$I$89,3,0)*0.475*44/12</f>
        <v>7.8341876258889355E-11</v>
      </c>
      <c r="FT161" s="22">
        <f t="shared" si="184"/>
        <v>67.11784260546905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69.574911329400905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69.574911329400905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1.35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4.95</v>
      </c>
      <c r="H162" s="67">
        <f t="shared" si="110"/>
        <v>236.86666666666665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69.582285667479908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5.6843418860808015E-14</v>
      </c>
      <c r="O162" s="13">
        <f>N162*VLOOKUP('Données projet'!$B$9,Paramètres!$A$1:$I$89,3,0)*VLOOKUP('Données projet'!$B$9,Paramètres!$A$1:$I$89,5,0)</f>
        <v>5.1431925385259088E-14</v>
      </c>
      <c r="P162" s="13">
        <f t="shared" si="141"/>
        <v>8.3482866290946129E-13</v>
      </c>
      <c r="Q162" s="20">
        <f t="shared" si="162"/>
        <v>1.5435705246133045E-12</v>
      </c>
      <c r="R162" s="59">
        <f t="shared" si="109"/>
        <v>291.80171411409452</v>
      </c>
      <c r="S162" s="59">
        <f ca="1">AVERAGE(OFFSET($R$3,0,0,'Données projet'!$E$9+1,1))-AVERAGE(OFFSET($H$3,0,0,'Données projet'!$E$9+1,1))</f>
        <v>466.90449882701591</v>
      </c>
      <c r="T162" s="59">
        <f t="shared" si="142"/>
        <v>283.37641704892053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86.34768009610805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86.34768009610805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69.582285667479908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-4.5474735088646412E-13</v>
      </c>
      <c r="AJ162" s="13">
        <f>AI162*VLOOKUP('Données projet'!$B$10,Paramètres!$A$1:$I$89,3,0)*VLOOKUP('Données projet'!$B$10,Paramètres!$A$1:$I$89,5,0)</f>
        <v>-4.3273757910355926E-13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399.5572791581468</v>
      </c>
      <c r="AO162" s="59">
        <f t="shared" si="144"/>
        <v>246.34185986079777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60.428096845271938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60.428096845271938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69.582285667479908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5.6843418860808015E-14</v>
      </c>
      <c r="BE162" s="13">
        <f>BD162*VLOOKUP('Données projet'!$B$11,Paramètres!$A$1:$I$89,3,0)*VLOOKUP('Données projet'!$B$11,Paramètres!$A$1:$I$89,5,0)</f>
        <v>4.4337866711430253E-14</v>
      </c>
      <c r="BF162" s="13">
        <f t="shared" si="167"/>
        <v>7.3222115536967035E-13</v>
      </c>
      <c r="BG162" s="20">
        <f t="shared" si="168"/>
        <v>1.3525069634579169E-12</v>
      </c>
      <c r="BH162" s="59">
        <f t="shared" si="116"/>
        <v>291.80171411409435</v>
      </c>
      <c r="BI162" s="59">
        <f ca="1">AVERAGE(OFFSET($BH$3,0,0,'Données projet'!$E$11+1,1))-AVERAGE(OFFSET($H$3,0,0,'Données projet'!$E$11+1,1))</f>
        <v>294.23449029791681</v>
      </c>
      <c r="BJ162" s="59">
        <f t="shared" si="146"/>
        <v>288.64639202306159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15.827652983406093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15.827652983406093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69.582285667479908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-4.5474735088646412E-13</v>
      </c>
      <c r="BZ162" s="13">
        <f>BY162*VLOOKUP('Données projet'!$B$12,Paramètres!$A$1:$I$89,3,0)*VLOOKUP('Données projet'!$B$12,Paramètres!$A$1:$I$89,5,0)</f>
        <v>-4.8949004849418999E-13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445.38112098358147</v>
      </c>
      <c r="CE162" s="59">
        <f t="shared" si="148"/>
        <v>272.45883568548516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68.353093152848629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68.353093152848629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69.582285667479908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-4.5474735088646412E-13</v>
      </c>
      <c r="CU162" s="17">
        <f>CT162*VLOOKUP('Données projet'!$B$13,Paramètres!$A$1:$I$89,3,0)*VLOOKUP('Données projet'!$B$13,Paramètres!$A$1:$I$89,5,0)</f>
        <v>-4.8949004849418999E-13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445.38112098358147</v>
      </c>
      <c r="CZ162" s="59">
        <f t="shared" si="150"/>
        <v>272.45883568548516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68.353093152848629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68.353093152848629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69.582285667479908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-4.5474735088646412E-13</v>
      </c>
      <c r="DP162" s="17">
        <f>DO162*VLOOKUP('Données projet'!$B$14,Paramètres!$A$1:$I$89,3,0)*VLOOKUP('Données projet'!$B$14,Paramètres!$A$1:$I$89,5,0)</f>
        <v>-4.3983163777738812E-13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405.29179902613089</v>
      </c>
      <c r="DU162" s="59">
        <f t="shared" si="152"/>
        <v>249.61049717638238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61.418721383719067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61.418721383719067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69.582285667479908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-5.6843418860808015E-13</v>
      </c>
      <c r="EK162" s="17">
        <f>EJ162*VLOOKUP('Données projet'!$B$15,Paramètres!$A$1:$I$89,3,0)*VLOOKUP('Données projet'!$B$15,Paramètres!$A$1:$I$89,5,0)</f>
        <v>-3.39923644787632E-13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444.77624981561257</v>
      </c>
      <c r="EP162" s="59">
        <f t="shared" si="154"/>
        <v>382.10319641527587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45.714958293933776</v>
      </c>
      <c r="EW162" s="21">
        <f>EXP(-LN(2)/25)*EW161+(1-EXP(-LN(2)/25))/(LN(2)/25)*Calculateur!ER162*Calculateur!ET162*VLOOKUP('Données projet'!$B$15,Paramètres!$A$1:$I$89,3,0)*0.475*44/12</f>
        <v>4.6468548030416281</v>
      </c>
      <c r="EX162" s="21">
        <f>EXP(-LN(2)/2)*EX161+(1-EXP(-LN(2)/2))/(LN(2)/2)*ER162*EU162*VLOOKUP('Données projet'!$B$15,Paramètres!$A$1:$I$89,3,0)*0.475*44/12</f>
        <v>1.3215471616363187E-11</v>
      </c>
      <c r="EY162" s="22">
        <f t="shared" si="181"/>
        <v>50.36181309698862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69.582285667479908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3.4106051316484809E-13</v>
      </c>
      <c r="FF162" s="17">
        <f>FE162*VLOOKUP('Données projet'!$B$16,Paramètres!$A$1:$I$89,3,0)*VLOOKUP('Données projet'!$B$16,Paramètres!$A$1:$I$89,5,0)</f>
        <v>1.5074874681886286E-13</v>
      </c>
      <c r="FG162" s="13">
        <f t="shared" si="182"/>
        <v>2.1590218794584103E-12</v>
      </c>
      <c r="FH162" s="20">
        <f t="shared" si="183"/>
        <v>4.0228505074329168E-12</v>
      </c>
      <c r="FI162" s="59">
        <f t="shared" si="131"/>
        <v>291.80171411409702</v>
      </c>
      <c r="FJ162" s="59">
        <f ca="1">AVERAGE(OFFSET($FI$3,0,0,'Données projet'!$E$16+1,1))-AVERAGE(OFFSET($H$3,0,0,'Données projet'!$E$16+1,1))</f>
        <v>508.71179785154317</v>
      </c>
      <c r="FK162" s="59">
        <f t="shared" si="156"/>
        <v>422.73937290731442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58.127631322801534</v>
      </c>
      <c r="FR162" s="21">
        <f>EXP(-LN(2)/25)*FR161+(1-EXP(-LN(2)/25))/(LN(2)/25)*Calculateur!FM162*Calculateur!FO162*VLOOKUP('Données projet'!$B$16,Paramètres!$A$1:$I$89,3,0)*0.475*44/12</f>
        <v>7.6135199248804311</v>
      </c>
      <c r="FS162" s="21">
        <f>EXP(-LN(2)/2)*FS161+(1-EXP(-LN(2)/2))/(LN(2)/2)*FM162*FP162*VLOOKUP('Données projet'!$B$16,Paramètres!$A$1:$I$89,3,0)*0.475*44/12</f>
        <v>5.5396071953538058E-11</v>
      </c>
      <c r="FT162" s="22">
        <f t="shared" si="184"/>
        <v>65.741151247737363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69.582285667479908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69.582285667479908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1.35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4.95</v>
      </c>
      <c r="H163" s="67">
        <f t="shared" si="110"/>
        <v>236.86666666666665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69.589532077279785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5.6843418860808015E-14</v>
      </c>
      <c r="O163" s="13">
        <f>N163*VLOOKUP('Données projet'!$B$9,Paramètres!$A$1:$I$89,3,0)*VLOOKUP('Données projet'!$B$9,Paramètres!$A$1:$I$89,5,0)</f>
        <v>5.1431925385259088E-14</v>
      </c>
      <c r="P163" s="13">
        <f t="shared" si="141"/>
        <v>8.3482866290946129E-13</v>
      </c>
      <c r="Q163" s="20">
        <f t="shared" si="162"/>
        <v>1.5435705246133045E-12</v>
      </c>
      <c r="R163" s="59">
        <f t="shared" si="109"/>
        <v>291.82828428336074</v>
      </c>
      <c r="S163" s="59">
        <f ca="1">AVERAGE(OFFSET($R$3,0,0,'Données projet'!$E$9+1,1))-AVERAGE(OFFSET($H$3,0,0,'Données projet'!$E$9+1,1))</f>
        <v>466.90449882701591</v>
      </c>
      <c r="T163" s="59">
        <f t="shared" si="142"/>
        <v>283.37641704892053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84.6544547563078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84.6544547563078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69.589532077279785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-4.5474735088646412E-13</v>
      </c>
      <c r="AJ163" s="13">
        <f>AI163*VLOOKUP('Données projet'!$B$10,Paramètres!$A$1:$I$89,3,0)*VLOOKUP('Données projet'!$B$10,Paramètres!$A$1:$I$89,5,0)</f>
        <v>-4.3273757910355926E-13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399.5572791581468</v>
      </c>
      <c r="AO163" s="59">
        <f t="shared" si="144"/>
        <v>246.34185986079777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59.243138723635852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59.243138723635852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69.589532077279785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5.6843418860808015E-14</v>
      </c>
      <c r="BE163" s="13">
        <f>BD163*VLOOKUP('Données projet'!$B$11,Paramètres!$A$1:$I$89,3,0)*VLOOKUP('Données projet'!$B$11,Paramètres!$A$1:$I$89,5,0)</f>
        <v>4.4337866711430253E-14</v>
      </c>
      <c r="BF163" s="13">
        <f t="shared" si="167"/>
        <v>7.3222115536967035E-13</v>
      </c>
      <c r="BG163" s="20">
        <f t="shared" si="168"/>
        <v>1.3525069634579169E-12</v>
      </c>
      <c r="BH163" s="59">
        <f t="shared" si="116"/>
        <v>291.82828428336057</v>
      </c>
      <c r="BI163" s="59">
        <f ca="1">AVERAGE(OFFSET($BH$3,0,0,'Données projet'!$E$11+1,1))-AVERAGE(OFFSET($H$3,0,0,'Données projet'!$E$11+1,1))</f>
        <v>294.23449029791681</v>
      </c>
      <c r="BJ163" s="59">
        <f t="shared" si="146"/>
        <v>288.64639202306159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15.517282362316575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15.517282362316575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69.589532077279785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-4.5474735088646412E-13</v>
      </c>
      <c r="BZ163" s="13">
        <f>BY163*VLOOKUP('Données projet'!$B$12,Paramètres!$A$1:$I$89,3,0)*VLOOKUP('Données projet'!$B$12,Paramètres!$A$1:$I$89,5,0)</f>
        <v>-4.8949004849418999E-13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445.38112098358147</v>
      </c>
      <c r="CE163" s="59">
        <f t="shared" si="148"/>
        <v>272.45883568548516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67.012730687391425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67.012730687391425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69.589532077279785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-4.5474735088646412E-13</v>
      </c>
      <c r="CU163" s="17">
        <f>CT163*VLOOKUP('Données projet'!$B$13,Paramètres!$A$1:$I$89,3,0)*VLOOKUP('Données projet'!$B$13,Paramètres!$A$1:$I$89,5,0)</f>
        <v>-4.8949004849418999E-13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445.38112098358147</v>
      </c>
      <c r="CZ163" s="59">
        <f t="shared" si="150"/>
        <v>272.45883568548516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67.012730687391425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67.012730687391425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69.589532077279785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-4.5474735088646412E-13</v>
      </c>
      <c r="DP163" s="17">
        <f>DO163*VLOOKUP('Données projet'!$B$14,Paramètres!$A$1:$I$89,3,0)*VLOOKUP('Données projet'!$B$14,Paramètres!$A$1:$I$89,5,0)</f>
        <v>-4.3983163777738812E-13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405.29179902613089</v>
      </c>
      <c r="DU163" s="59">
        <f t="shared" si="152"/>
        <v>249.61049717638238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60.214337719105345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60.214337719105345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69.589532077279785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-5.6843418860808015E-13</v>
      </c>
      <c r="EK163" s="17">
        <f>EJ163*VLOOKUP('Données projet'!$B$15,Paramètres!$A$1:$I$89,3,0)*VLOOKUP('Données projet'!$B$15,Paramètres!$A$1:$I$89,5,0)</f>
        <v>-3.39923644787632E-13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444.77624981561257</v>
      </c>
      <c r="EP163" s="59">
        <f t="shared" si="154"/>
        <v>382.10319641527587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44.818515845161038</v>
      </c>
      <c r="EW163" s="21">
        <f>EXP(-LN(2)/25)*EW162+(1-EXP(-LN(2)/25))/(LN(2)/25)*Calculateur!ER163*Calculateur!ET163*VLOOKUP('Données projet'!$B$15,Paramètres!$A$1:$I$89,3,0)*0.475*44/12</f>
        <v>4.519786314084981</v>
      </c>
      <c r="EX163" s="21">
        <f>EXP(-LN(2)/2)*EX162+(1-EXP(-LN(2)/2))/(LN(2)/2)*ER163*EU163*VLOOKUP('Données projet'!$B$15,Paramètres!$A$1:$I$89,3,0)*0.475*44/12</f>
        <v>9.3447495965087537E-12</v>
      </c>
      <c r="EY163" s="22">
        <f t="shared" si="181"/>
        <v>49.338302159255363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69.589532077279785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3.4106051316484809E-13</v>
      </c>
      <c r="FF163" s="17">
        <f>FE163*VLOOKUP('Données projet'!$B$16,Paramètres!$A$1:$I$89,3,0)*VLOOKUP('Données projet'!$B$16,Paramètres!$A$1:$I$89,5,0)</f>
        <v>1.5074874681886286E-13</v>
      </c>
      <c r="FG163" s="13">
        <f t="shared" si="182"/>
        <v>2.1590218794584103E-12</v>
      </c>
      <c r="FH163" s="20">
        <f t="shared" si="183"/>
        <v>4.0228505074329168E-12</v>
      </c>
      <c r="FI163" s="59">
        <f t="shared" si="131"/>
        <v>291.82828428336325</v>
      </c>
      <c r="FJ163" s="59">
        <f ca="1">AVERAGE(OFFSET($FI$3,0,0,'Données projet'!$E$16+1,1))-AVERAGE(OFFSET($H$3,0,0,'Données projet'!$E$16+1,1))</f>
        <v>508.71179785154317</v>
      </c>
      <c r="FK163" s="59">
        <f t="shared" si="156"/>
        <v>422.73937290731442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56.987783926915675</v>
      </c>
      <c r="FR163" s="21">
        <f>EXP(-LN(2)/25)*FR162+(1-EXP(-LN(2)/25))/(LN(2)/25)*Calculateur!FM163*Calculateur!FO163*VLOOKUP('Données projet'!$B$16,Paramètres!$A$1:$I$89,3,0)*0.475*44/12</f>
        <v>7.4053278221569636</v>
      </c>
      <c r="FS163" s="21">
        <f>EXP(-LN(2)/2)*FS162+(1-EXP(-LN(2)/2))/(LN(2)/2)*FM163*FP163*VLOOKUP('Données projet'!$B$16,Paramètres!$A$1:$I$89,3,0)*0.475*44/12</f>
        <v>3.9170938129444677E-11</v>
      </c>
      <c r="FT163" s="22">
        <f t="shared" si="184"/>
        <v>64.39311174911181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69.589532077279785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69.589532077279785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1.35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4.95</v>
      </c>
      <c r="H164" s="67">
        <f t="shared" si="110"/>
        <v>236.86666666666665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69.59665277807018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5.6843418860808015E-14</v>
      </c>
      <c r="O164" s="13">
        <f>N164*VLOOKUP('Données projet'!$B$9,Paramètres!$A$1:$I$89,3,0)*VLOOKUP('Données projet'!$B$9,Paramètres!$A$1:$I$89,5,0)</f>
        <v>5.1431925385259088E-14</v>
      </c>
      <c r="P164" s="13">
        <f t="shared" si="141"/>
        <v>8.3482866290946129E-13</v>
      </c>
      <c r="Q164" s="20">
        <f t="shared" si="162"/>
        <v>1.5435705246133045E-12</v>
      </c>
      <c r="R164" s="59">
        <f t="shared" si="109"/>
        <v>291.85439351959218</v>
      </c>
      <c r="S164" s="59">
        <f ca="1">AVERAGE(OFFSET($R$3,0,0,'Données projet'!$E$9+1,1))-AVERAGE(OFFSET($H$3,0,0,'Données projet'!$E$9+1,1))</f>
        <v>466.90449882701591</v>
      </c>
      <c r="T164" s="59">
        <f t="shared" si="142"/>
        <v>283.37641704892053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82.994432532655566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82.994432532655566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69.59665277807018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-4.5474735088646412E-13</v>
      </c>
      <c r="AJ164" s="13">
        <f>AI164*VLOOKUP('Données projet'!$B$10,Paramètres!$A$1:$I$89,3,0)*VLOOKUP('Données projet'!$B$10,Paramètres!$A$1:$I$89,5,0)</f>
        <v>-4.3273757910355926E-13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399.5572791581468</v>
      </c>
      <c r="AO164" s="59">
        <f t="shared" si="144"/>
        <v>246.34185986079777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58.081416908011967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58.081416908011967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69.59665277807018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5.6843418860808015E-14</v>
      </c>
      <c r="BE164" s="13">
        <f>BD164*VLOOKUP('Données projet'!$B$11,Paramètres!$A$1:$I$89,3,0)*VLOOKUP('Données projet'!$B$11,Paramètres!$A$1:$I$89,5,0)</f>
        <v>4.4337866711430253E-14</v>
      </c>
      <c r="BF164" s="13">
        <f t="shared" si="167"/>
        <v>7.3222115536967035E-13</v>
      </c>
      <c r="BG164" s="20">
        <f t="shared" si="168"/>
        <v>1.3525069634579169E-12</v>
      </c>
      <c r="BH164" s="59">
        <f t="shared" si="116"/>
        <v>291.85439351959201</v>
      </c>
      <c r="BI164" s="59">
        <f ca="1">AVERAGE(OFFSET($BH$3,0,0,'Données projet'!$E$11+1,1))-AVERAGE(OFFSET($H$3,0,0,'Données projet'!$E$11+1,1))</f>
        <v>294.23449029791681</v>
      </c>
      <c r="BJ164" s="59">
        <f t="shared" si="146"/>
        <v>288.64639202306159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15.212997919799236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15.212997919799236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69.59665277807018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-4.5474735088646412E-13</v>
      </c>
      <c r="BZ164" s="13">
        <f>BY164*VLOOKUP('Données projet'!$B$12,Paramètres!$A$1:$I$89,3,0)*VLOOKUP('Données projet'!$B$12,Paramètres!$A$1:$I$89,5,0)</f>
        <v>-4.8949004849418999E-13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445.38112098358147</v>
      </c>
      <c r="CE164" s="59">
        <f t="shared" si="148"/>
        <v>272.45883568548516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65.698651912341447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65.698651912341447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69.59665277807018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-4.5474735088646412E-13</v>
      </c>
      <c r="CU164" s="17">
        <f>CT164*VLOOKUP('Données projet'!$B$13,Paramètres!$A$1:$I$89,3,0)*VLOOKUP('Données projet'!$B$13,Paramètres!$A$1:$I$89,5,0)</f>
        <v>-4.8949004849418999E-13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445.38112098358147</v>
      </c>
      <c r="CZ164" s="59">
        <f t="shared" si="150"/>
        <v>272.45883568548516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65.698651912341447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65.698651912341447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69.59665277807018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-4.5474735088646412E-13</v>
      </c>
      <c r="DP164" s="17">
        <f>DO164*VLOOKUP('Données projet'!$B$14,Paramètres!$A$1:$I$89,3,0)*VLOOKUP('Données projet'!$B$14,Paramètres!$A$1:$I$89,5,0)</f>
        <v>-4.3983163777738812E-13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405.29179902613089</v>
      </c>
      <c r="DU164" s="59">
        <f t="shared" si="152"/>
        <v>249.61049717638238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59.033571283553194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59.033571283553194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69.59665277807018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-5.6843418860808015E-13</v>
      </c>
      <c r="EK164" s="17">
        <f>EJ164*VLOOKUP('Données projet'!$B$15,Paramètres!$A$1:$I$89,3,0)*VLOOKUP('Données projet'!$B$15,Paramètres!$A$1:$I$89,5,0)</f>
        <v>-3.39923644787632E-13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444.77624981561257</v>
      </c>
      <c r="EP164" s="59">
        <f t="shared" si="154"/>
        <v>382.10319641527587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43.939652086032829</v>
      </c>
      <c r="EW164" s="21">
        <f>EXP(-LN(2)/25)*EW163+(1-EXP(-LN(2)/25))/(LN(2)/25)*Calculateur!ER164*Calculateur!ET164*VLOOKUP('Données projet'!$B$15,Paramètres!$A$1:$I$89,3,0)*0.475*44/12</f>
        <v>4.3961925196410947</v>
      </c>
      <c r="EX164" s="21">
        <f>EXP(-LN(2)/2)*EX163+(1-EXP(-LN(2)/2))/(LN(2)/2)*ER164*EU164*VLOOKUP('Données projet'!$B$15,Paramètres!$A$1:$I$89,3,0)*0.475*44/12</f>
        <v>6.6077358081815936E-12</v>
      </c>
      <c r="EY164" s="22">
        <f t="shared" si="181"/>
        <v>48.335844605680535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69.59665277807018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3.4106051316484809E-13</v>
      </c>
      <c r="FF164" s="17">
        <f>FE164*VLOOKUP('Données projet'!$B$16,Paramètres!$A$1:$I$89,3,0)*VLOOKUP('Données projet'!$B$16,Paramètres!$A$1:$I$89,5,0)</f>
        <v>1.5074874681886286E-13</v>
      </c>
      <c r="FG164" s="13">
        <f t="shared" si="182"/>
        <v>2.1590218794584103E-12</v>
      </c>
      <c r="FH164" s="20">
        <f t="shared" si="183"/>
        <v>4.0228505074329168E-12</v>
      </c>
      <c r="FI164" s="59">
        <f t="shared" si="131"/>
        <v>291.85439351959468</v>
      </c>
      <c r="FJ164" s="59">
        <f ca="1">AVERAGE(OFFSET($FI$3,0,0,'Données projet'!$E$16+1,1))-AVERAGE(OFFSET($H$3,0,0,'Données projet'!$E$16+1,1))</f>
        <v>508.71179785154317</v>
      </c>
      <c r="FK164" s="59">
        <f t="shared" si="156"/>
        <v>422.73937290731442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55.870288243224877</v>
      </c>
      <c r="FR164" s="21">
        <f>EXP(-LN(2)/25)*FR163+(1-EXP(-LN(2)/25))/(LN(2)/25)*Calculateur!FM164*Calculateur!FO164*VLOOKUP('Données projet'!$B$16,Paramètres!$A$1:$I$89,3,0)*0.475*44/12</f>
        <v>7.2028287434308167</v>
      </c>
      <c r="FS164" s="21">
        <f>EXP(-LN(2)/2)*FS163+(1-EXP(-LN(2)/2))/(LN(2)/2)*FM164*FP164*VLOOKUP('Données projet'!$B$16,Paramètres!$A$1:$I$89,3,0)*0.475*44/12</f>
        <v>2.7698035976769029E-11</v>
      </c>
      <c r="FT164" s="22">
        <f t="shared" si="184"/>
        <v>63.073116986683388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69.59665277807018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69.59665277807018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1.35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4.95</v>
      </c>
      <c r="H165" s="67">
        <f t="shared" si="110"/>
        <v>236.86666666666665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69.60364995062136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5.6843418860808015E-14</v>
      </c>
      <c r="O165" s="13">
        <f>N165*VLOOKUP('Données projet'!$B$9,Paramètres!$A$1:$I$89,3,0)*VLOOKUP('Données projet'!$B$9,Paramètres!$A$1:$I$89,5,0)</f>
        <v>5.1431925385259088E-14</v>
      </c>
      <c r="P165" s="13">
        <f t="shared" si="141"/>
        <v>8.3482866290946129E-13</v>
      </c>
      <c r="Q165" s="20">
        <f t="shared" si="162"/>
        <v>1.5435705246133045E-12</v>
      </c>
      <c r="R165" s="59">
        <f t="shared" si="109"/>
        <v>291.88004981894653</v>
      </c>
      <c r="S165" s="59">
        <f ca="1">AVERAGE(OFFSET($R$3,0,0,'Données projet'!$E$9+1,1))-AVERAGE(OFFSET($H$3,0,0,'Données projet'!$E$9+1,1))</f>
        <v>466.90449882701591</v>
      </c>
      <c r="T165" s="59">
        <f t="shared" si="142"/>
        <v>283.37641704892053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81.366962332295572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81.366962332295572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69.60364995062136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-4.5474735088646412E-13</v>
      </c>
      <c r="AJ165" s="13">
        <f>AI165*VLOOKUP('Données projet'!$B$10,Paramètres!$A$1:$I$89,3,0)*VLOOKUP('Données projet'!$B$10,Paramètres!$A$1:$I$89,5,0)</f>
        <v>-4.3273757910355926E-13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399.5572791581468</v>
      </c>
      <c r="AO165" s="59">
        <f t="shared" si="144"/>
        <v>246.34185986079777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56.942475748612125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56.942475748612125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69.60364995062136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5.6843418860808015E-14</v>
      </c>
      <c r="BE165" s="13">
        <f>BD165*VLOOKUP('Données projet'!$B$11,Paramètres!$A$1:$I$89,3,0)*VLOOKUP('Données projet'!$B$11,Paramètres!$A$1:$I$89,5,0)</f>
        <v>4.4337866711430253E-14</v>
      </c>
      <c r="BF165" s="13">
        <f t="shared" si="167"/>
        <v>7.3222115536967035E-13</v>
      </c>
      <c r="BG165" s="20">
        <f t="shared" si="168"/>
        <v>1.3525069634579169E-12</v>
      </c>
      <c r="BH165" s="59">
        <f t="shared" si="116"/>
        <v>291.88004981894636</v>
      </c>
      <c r="BI165" s="59">
        <f ca="1">AVERAGE(OFFSET($BH$3,0,0,'Données projet'!$E$11+1,1))-AVERAGE(OFFSET($H$3,0,0,'Données projet'!$E$11+1,1))</f>
        <v>294.23449029791681</v>
      </c>
      <c r="BJ165" s="59">
        <f t="shared" si="146"/>
        <v>288.64639202306159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14.914680309604478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14.914680309604478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69.60364995062136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-4.5474735088646412E-13</v>
      </c>
      <c r="BZ165" s="13">
        <f>BY165*VLOOKUP('Données projet'!$B$12,Paramètres!$A$1:$I$89,3,0)*VLOOKUP('Données projet'!$B$12,Paramètres!$A$1:$I$89,5,0)</f>
        <v>-4.8949004849418999E-13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445.38112098358147</v>
      </c>
      <c r="CE165" s="59">
        <f t="shared" si="148"/>
        <v>272.45883568548516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64.410341420561295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64.410341420561295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69.60364995062136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-4.5474735088646412E-13</v>
      </c>
      <c r="CU165" s="17">
        <f>CT165*VLOOKUP('Données projet'!$B$13,Paramètres!$A$1:$I$89,3,0)*VLOOKUP('Données projet'!$B$13,Paramètres!$A$1:$I$89,5,0)</f>
        <v>-4.8949004849418999E-13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445.38112098358147</v>
      </c>
      <c r="CZ165" s="59">
        <f t="shared" si="150"/>
        <v>272.45883568548516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64.410341420561295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64.410341420561295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69.60364995062136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-4.5474735088646412E-13</v>
      </c>
      <c r="DP165" s="17">
        <f>DO165*VLOOKUP('Données projet'!$B$14,Paramètres!$A$1:$I$89,3,0)*VLOOKUP('Données projet'!$B$14,Paramètres!$A$1:$I$89,5,0)</f>
        <v>-4.3983163777738812E-13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405.29179902613089</v>
      </c>
      <c r="DU165" s="59">
        <f t="shared" si="152"/>
        <v>249.61049717638238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57.87595895760581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57.87595895760581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69.60364995062136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-5.6843418860808015E-13</v>
      </c>
      <c r="EK165" s="17">
        <f>EJ165*VLOOKUP('Données projet'!$B$15,Paramètres!$A$1:$I$89,3,0)*VLOOKUP('Données projet'!$B$15,Paramètres!$A$1:$I$89,5,0)</f>
        <v>-3.39923644787632E-13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444.77624981561257</v>
      </c>
      <c r="EP165" s="59">
        <f t="shared" si="154"/>
        <v>382.10319641527587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43.078022309167167</v>
      </c>
      <c r="EW165" s="21">
        <f>EXP(-LN(2)/25)*EW164+(1-EXP(-LN(2)/25))/(LN(2)/25)*Calculateur!ER165*Calculateur!ET165*VLOOKUP('Données projet'!$B$15,Paramètres!$A$1:$I$89,3,0)*0.475*44/12</f>
        <v>4.2759784040057918</v>
      </c>
      <c r="EX165" s="21">
        <f>EXP(-LN(2)/2)*EX164+(1-EXP(-LN(2)/2))/(LN(2)/2)*ER165*EU165*VLOOKUP('Données projet'!$B$15,Paramètres!$A$1:$I$89,3,0)*0.475*44/12</f>
        <v>4.6723747982543768E-12</v>
      </c>
      <c r="EY165" s="22">
        <f t="shared" si="181"/>
        <v>47.354000713177633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69.60364995062136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3.4106051316484809E-13</v>
      </c>
      <c r="FF165" s="17">
        <f>FE165*VLOOKUP('Données projet'!$B$16,Paramètres!$A$1:$I$89,3,0)*VLOOKUP('Données projet'!$B$16,Paramètres!$A$1:$I$89,5,0)</f>
        <v>1.5074874681886286E-13</v>
      </c>
      <c r="FG165" s="13">
        <f t="shared" si="182"/>
        <v>2.1590218794584103E-12</v>
      </c>
      <c r="FH165" s="20">
        <f t="shared" si="183"/>
        <v>4.0228505074329168E-12</v>
      </c>
      <c r="FI165" s="59">
        <f t="shared" si="131"/>
        <v>291.88004981894903</v>
      </c>
      <c r="FJ165" s="59">
        <f ca="1">AVERAGE(OFFSET($FI$3,0,0,'Données projet'!$E$16+1,1))-AVERAGE(OFFSET($H$3,0,0,'Données projet'!$E$16+1,1))</f>
        <v>508.71179785154317</v>
      </c>
      <c r="FK165" s="59">
        <f t="shared" si="156"/>
        <v>422.73937290731442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54.774705968286192</v>
      </c>
      <c r="FR165" s="21">
        <f>EXP(-LN(2)/25)*FR164+(1-EXP(-LN(2)/25))/(LN(2)/25)*Calculateur!FM165*Calculateur!FO165*VLOOKUP('Données projet'!$B$16,Paramètres!$A$1:$I$89,3,0)*0.475*44/12</f>
        <v>7.0058670126613993</v>
      </c>
      <c r="FS165" s="21">
        <f>EXP(-LN(2)/2)*FS164+(1-EXP(-LN(2)/2))/(LN(2)/2)*FM165*FP165*VLOOKUP('Données projet'!$B$16,Paramètres!$A$1:$I$89,3,0)*0.475*44/12</f>
        <v>1.9585469064722339E-11</v>
      </c>
      <c r="FT165" s="22">
        <f t="shared" si="184"/>
        <v>61.780572980967172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69.60364995062136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69.60364995062136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1.35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4.95</v>
      </c>
      <c r="H166" s="67">
        <f t="shared" si="110"/>
        <v>236.86666666666665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69.610525737872123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5.6843418860808015E-14</v>
      </c>
      <c r="O166" s="13">
        <f>N166*VLOOKUP('Données projet'!$B$9,Paramètres!$A$1:$I$89,3,0)*VLOOKUP('Données projet'!$B$9,Paramètres!$A$1:$I$89,5,0)</f>
        <v>5.1431925385259088E-14</v>
      </c>
      <c r="P166" s="13">
        <f t="shared" si="141"/>
        <v>8.3482866290946129E-13</v>
      </c>
      <c r="Q166" s="20">
        <f t="shared" si="162"/>
        <v>1.5435705246133045E-12</v>
      </c>
      <c r="R166" s="59">
        <f t="shared" si="109"/>
        <v>291.905261038866</v>
      </c>
      <c r="S166" s="59">
        <f ca="1">AVERAGE(OFFSET($R$3,0,0,'Données projet'!$E$9+1,1))-AVERAGE(OFFSET($H$3,0,0,'Données projet'!$E$9+1,1))</f>
        <v>466.90449882701591</v>
      </c>
      <c r="T166" s="59">
        <f t="shared" si="142"/>
        <v>283.37641704892053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79.771405829905831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79.771405829905831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69.610525737872123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-4.5474735088646412E-13</v>
      </c>
      <c r="AJ166" s="13">
        <f>AI166*VLOOKUP('Données projet'!$B$10,Paramètres!$A$1:$I$89,3,0)*VLOOKUP('Données projet'!$B$10,Paramètres!$A$1:$I$89,5,0)</f>
        <v>-4.3273757910355926E-13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399.5572791581468</v>
      </c>
      <c r="AO166" s="59">
        <f t="shared" si="144"/>
        <v>246.34185986079777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55.825868530662596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55.825868530662596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69.610525737872123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5.6843418860808015E-14</v>
      </c>
      <c r="BE166" s="13">
        <f>BD166*VLOOKUP('Données projet'!$B$11,Paramètres!$A$1:$I$89,3,0)*VLOOKUP('Données projet'!$B$11,Paramètres!$A$1:$I$89,5,0)</f>
        <v>4.4337866711430253E-14</v>
      </c>
      <c r="BF166" s="13">
        <f t="shared" si="167"/>
        <v>7.3222115536967035E-13</v>
      </c>
      <c r="BG166" s="20">
        <f t="shared" si="168"/>
        <v>1.3525069634579169E-12</v>
      </c>
      <c r="BH166" s="59">
        <f t="shared" si="116"/>
        <v>291.90526103886583</v>
      </c>
      <c r="BI166" s="59">
        <f ca="1">AVERAGE(OFFSET($BH$3,0,0,'Données projet'!$E$11+1,1))-AVERAGE(OFFSET($H$3,0,0,'Données projet'!$E$11+1,1))</f>
        <v>294.23449029791681</v>
      </c>
      <c r="BJ166" s="59">
        <f t="shared" si="146"/>
        <v>288.64639202306159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14.622212525789863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14.622212525789863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69.610525737872123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-4.5474735088646412E-13</v>
      </c>
      <c r="BZ166" s="13">
        <f>BY166*VLOOKUP('Données projet'!$B$12,Paramètres!$A$1:$I$89,3,0)*VLOOKUP('Données projet'!$B$12,Paramètres!$A$1:$I$89,5,0)</f>
        <v>-4.8949004849418999E-13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445.38112098358147</v>
      </c>
      <c r="CE166" s="59">
        <f t="shared" si="148"/>
        <v>272.45883568548516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63.147293911733144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63.147293911733144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69.610525737872123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-4.5474735088646412E-13</v>
      </c>
      <c r="CU166" s="17">
        <f>CT166*VLOOKUP('Données projet'!$B$13,Paramètres!$A$1:$I$89,3,0)*VLOOKUP('Données projet'!$B$13,Paramètres!$A$1:$I$89,5,0)</f>
        <v>-4.8949004849418999E-13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445.38112098358147</v>
      </c>
      <c r="CZ166" s="59">
        <f t="shared" si="150"/>
        <v>272.45883568548516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63.147293911733144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63.147293911733144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69.610525737872123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-4.5474735088646412E-13</v>
      </c>
      <c r="DP166" s="17">
        <f>DO166*VLOOKUP('Données projet'!$B$14,Paramètres!$A$1:$I$89,3,0)*VLOOKUP('Données projet'!$B$14,Paramètres!$A$1:$I$89,5,0)</f>
        <v>-4.3983163777738812E-13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405.29179902613089</v>
      </c>
      <c r="DU166" s="59">
        <f t="shared" si="152"/>
        <v>249.61049717638238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56.741046703296455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56.741046703296455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69.610525737872123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-5.6843418860808015E-13</v>
      </c>
      <c r="EK166" s="17">
        <f>EJ166*VLOOKUP('Données projet'!$B$15,Paramètres!$A$1:$I$89,3,0)*VLOOKUP('Données projet'!$B$15,Paramètres!$A$1:$I$89,5,0)</f>
        <v>-3.39923644787632E-13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444.77624981561257</v>
      </c>
      <c r="EP166" s="59">
        <f t="shared" si="154"/>
        <v>382.10319641527587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42.233288566683569</v>
      </c>
      <c r="EW166" s="21">
        <f>EXP(-LN(2)/25)*EW165+(1-EXP(-LN(2)/25))/(LN(2)/25)*Calculateur!ER166*Calculateur!ET166*VLOOKUP('Données projet'!$B$15,Paramètres!$A$1:$I$89,3,0)*0.475*44/12</f>
        <v>4.1590515496843219</v>
      </c>
      <c r="EX166" s="21">
        <f>EXP(-LN(2)/2)*EX165+(1-EXP(-LN(2)/2))/(LN(2)/2)*ER166*EU166*VLOOKUP('Données projet'!$B$15,Paramètres!$A$1:$I$89,3,0)*0.475*44/12</f>
        <v>3.3038679040907968E-12</v>
      </c>
      <c r="EY166" s="22">
        <f t="shared" si="181"/>
        <v>46.392340116371194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69.610525737872123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3.4106051316484809E-13</v>
      </c>
      <c r="FF166" s="17">
        <f>FE166*VLOOKUP('Données projet'!$B$16,Paramètres!$A$1:$I$89,3,0)*VLOOKUP('Données projet'!$B$16,Paramètres!$A$1:$I$89,5,0)</f>
        <v>1.5074874681886286E-13</v>
      </c>
      <c r="FG166" s="13">
        <f t="shared" si="182"/>
        <v>2.1590218794584103E-12</v>
      </c>
      <c r="FH166" s="20">
        <f t="shared" si="183"/>
        <v>4.0228505074329168E-12</v>
      </c>
      <c r="FI166" s="59">
        <f t="shared" si="131"/>
        <v>291.9052610388685</v>
      </c>
      <c r="FJ166" s="59">
        <f ca="1">AVERAGE(OFFSET($FI$3,0,0,'Données projet'!$E$16+1,1))-AVERAGE(OFFSET($H$3,0,0,'Données projet'!$E$16+1,1))</f>
        <v>508.71179785154317</v>
      </c>
      <c r="FK166" s="59">
        <f t="shared" si="156"/>
        <v>422.73937290731442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53.700607393519846</v>
      </c>
      <c r="FR166" s="21">
        <f>EXP(-LN(2)/25)*FR165+(1-EXP(-LN(2)/25))/(LN(2)/25)*Calculateur!FM166*Calculateur!FO166*VLOOKUP('Données projet'!$B$16,Paramètres!$A$1:$I$89,3,0)*0.475*44/12</f>
        <v>6.8142912107776397</v>
      </c>
      <c r="FS166" s="21">
        <f>EXP(-LN(2)/2)*FS165+(1-EXP(-LN(2)/2))/(LN(2)/2)*FM166*FP166*VLOOKUP('Données projet'!$B$16,Paramètres!$A$1:$I$89,3,0)*0.475*44/12</f>
        <v>1.3849017988384515E-11</v>
      </c>
      <c r="FT166" s="22">
        <f t="shared" si="184"/>
        <v>60.514898604311334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69.610525737872123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69.610525737872123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1.35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4.95</v>
      </c>
      <c r="H167" s="67">
        <f t="shared" si="110"/>
        <v>236.86666666666665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69.61728224558604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5.6843418860808015E-14</v>
      </c>
      <c r="O167" s="13">
        <f>N167*VLOOKUP('Données projet'!$B$9,Paramètres!$A$1:$I$89,3,0)*VLOOKUP('Données projet'!$B$9,Paramètres!$A$1:$I$89,5,0)</f>
        <v>5.1431925385259088E-14</v>
      </c>
      <c r="P167" s="13">
        <f t="shared" si="141"/>
        <v>8.3482866290946129E-13</v>
      </c>
      <c r="Q167" s="20">
        <f t="shared" si="162"/>
        <v>1.5435705246133045E-12</v>
      </c>
      <c r="R167" s="59">
        <f t="shared" si="109"/>
        <v>291.93003490048369</v>
      </c>
      <c r="S167" s="59">
        <f ca="1">AVERAGE(OFFSET($R$3,0,0,'Données projet'!$E$9+1,1))-AVERAGE(OFFSET($H$3,0,0,'Données projet'!$E$9+1,1))</f>
        <v>466.90449882701591</v>
      </c>
      <c r="T167" s="59">
        <f t="shared" si="142"/>
        <v>283.37641704892053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78.207137217334576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78.207137217334576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69.61728224558604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-4.5474735088646412E-13</v>
      </c>
      <c r="AJ167" s="13">
        <f>AI167*VLOOKUP('Données projet'!$B$10,Paramètres!$A$1:$I$89,3,0)*VLOOKUP('Données projet'!$B$10,Paramètres!$A$1:$I$89,5,0)</f>
        <v>-4.3273757910355926E-13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399.5572791581468</v>
      </c>
      <c r="AO167" s="59">
        <f t="shared" si="144"/>
        <v>246.34185986079777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54.73115729919391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54.73115729919391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69.61728224558604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5.6843418860808015E-14</v>
      </c>
      <c r="BE167" s="13">
        <f>BD167*VLOOKUP('Données projet'!$B$11,Paramètres!$A$1:$I$89,3,0)*VLOOKUP('Données projet'!$B$11,Paramètres!$A$1:$I$89,5,0)</f>
        <v>4.4337866711430253E-14</v>
      </c>
      <c r="BF167" s="13">
        <f t="shared" si="167"/>
        <v>7.3222115536967035E-13</v>
      </c>
      <c r="BG167" s="20">
        <f t="shared" si="168"/>
        <v>1.3525069634579169E-12</v>
      </c>
      <c r="BH167" s="59">
        <f t="shared" si="116"/>
        <v>291.93003490048352</v>
      </c>
      <c r="BI167" s="59">
        <f ca="1">AVERAGE(OFFSET($BH$3,0,0,'Données projet'!$E$11+1,1))-AVERAGE(OFFSET($H$3,0,0,'Données projet'!$E$11+1,1))</f>
        <v>294.23449029791681</v>
      </c>
      <c r="BJ167" s="59">
        <f t="shared" si="146"/>
        <v>288.64639202306159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14.335479856828119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14.335479856828119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69.61728224558604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-4.5474735088646412E-13</v>
      </c>
      <c r="BZ167" s="13">
        <f>BY167*VLOOKUP('Données projet'!$B$12,Paramètres!$A$1:$I$89,3,0)*VLOOKUP('Données projet'!$B$12,Paramètres!$A$1:$I$89,5,0)</f>
        <v>-4.8949004849418999E-13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445.38112098358147</v>
      </c>
      <c r="CE167" s="59">
        <f t="shared" si="148"/>
        <v>272.45883568548516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61.909013994170202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61.909013994170202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69.61728224558604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-4.5474735088646412E-13</v>
      </c>
      <c r="CU167" s="17">
        <f>CT167*VLOOKUP('Données projet'!$B$13,Paramètres!$A$1:$I$89,3,0)*VLOOKUP('Données projet'!$B$13,Paramètres!$A$1:$I$89,5,0)</f>
        <v>-4.8949004849418999E-13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445.38112098358147</v>
      </c>
      <c r="CZ167" s="59">
        <f t="shared" si="150"/>
        <v>272.45883568548516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61.909013994170202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61.909013994170202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69.61728224558604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-4.5474735088646412E-13</v>
      </c>
      <c r="DP167" s="17">
        <f>DO167*VLOOKUP('Données projet'!$B$14,Paramètres!$A$1:$I$89,3,0)*VLOOKUP('Données projet'!$B$14,Paramètres!$A$1:$I$89,5,0)</f>
        <v>-4.3983163777738812E-13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405.29179902613089</v>
      </c>
      <c r="DU167" s="59">
        <f t="shared" si="152"/>
        <v>249.61049717638238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55.628389386065983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55.628389386065983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69.61728224558604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-5.6843418860808015E-13</v>
      </c>
      <c r="EK167" s="17">
        <f>EJ167*VLOOKUP('Données projet'!$B$15,Paramètres!$A$1:$I$89,3,0)*VLOOKUP('Données projet'!$B$15,Paramètres!$A$1:$I$89,5,0)</f>
        <v>-3.39923644787632E-13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444.77624981561257</v>
      </c>
      <c r="EP167" s="59">
        <f t="shared" si="154"/>
        <v>382.10319641527587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41.405119537653363</v>
      </c>
      <c r="EW167" s="21">
        <f>EXP(-LN(2)/25)*EW166+(1-EXP(-LN(2)/25))/(LN(2)/25)*Calculateur!ER167*Calculateur!ET167*VLOOKUP('Données projet'!$B$15,Paramètres!$A$1:$I$89,3,0)*0.475*44/12</f>
        <v>4.0453220663431884</v>
      </c>
      <c r="EX167" s="21">
        <f>EXP(-LN(2)/2)*EX166+(1-EXP(-LN(2)/2))/(LN(2)/2)*ER167*EU167*VLOOKUP('Données projet'!$B$15,Paramètres!$A$1:$I$89,3,0)*0.475*44/12</f>
        <v>2.3361873991271884E-12</v>
      </c>
      <c r="EY167" s="22">
        <f t="shared" si="181"/>
        <v>45.45044160399889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69.61728224558604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3.4106051316484809E-13</v>
      </c>
      <c r="FF167" s="17">
        <f>FE167*VLOOKUP('Données projet'!$B$16,Paramètres!$A$1:$I$89,3,0)*VLOOKUP('Données projet'!$B$16,Paramètres!$A$1:$I$89,5,0)</f>
        <v>1.5074874681886286E-13</v>
      </c>
      <c r="FG167" s="13">
        <f t="shared" si="182"/>
        <v>2.1590218794584103E-12</v>
      </c>
      <c r="FH167" s="20">
        <f t="shared" si="183"/>
        <v>4.0228505074329168E-12</v>
      </c>
      <c r="FI167" s="59">
        <f t="shared" si="131"/>
        <v>291.93003490048619</v>
      </c>
      <c r="FJ167" s="59">
        <f ca="1">AVERAGE(OFFSET($FI$3,0,0,'Données projet'!$E$16+1,1))-AVERAGE(OFFSET($H$3,0,0,'Données projet'!$E$16+1,1))</f>
        <v>508.71179785154317</v>
      </c>
      <c r="FK167" s="59">
        <f t="shared" si="156"/>
        <v>422.73937290731442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52.647571236669229</v>
      </c>
      <c r="FR167" s="21">
        <f>EXP(-LN(2)/25)*FR166+(1-EXP(-LN(2)/25))/(LN(2)/25)*Calculateur!FM167*Calculateur!FO167*VLOOKUP('Données projet'!$B$16,Paramètres!$A$1:$I$89,3,0)*0.475*44/12</f>
        <v>6.627954059270925</v>
      </c>
      <c r="FS167" s="21">
        <f>EXP(-LN(2)/2)*FS166+(1-EXP(-LN(2)/2))/(LN(2)/2)*FM167*FP167*VLOOKUP('Données projet'!$B$16,Paramètres!$A$1:$I$89,3,0)*0.475*44/12</f>
        <v>9.7927345323611693E-12</v>
      </c>
      <c r="FT167" s="22">
        <f t="shared" si="184"/>
        <v>59.275525295949947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69.61728224558604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69.61728224558604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1.35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4.95</v>
      </c>
      <c r="H168" s="67">
        <f t="shared" si="110"/>
        <v>236.86666666666665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69.623921542996399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5.6843418860808015E-14</v>
      </c>
      <c r="O168" s="13">
        <f>N168*VLOOKUP('Données projet'!$B$9,Paramètres!$A$1:$I$89,3,0)*VLOOKUP('Données projet'!$B$9,Paramètres!$A$1:$I$89,5,0)</f>
        <v>5.1431925385259088E-14</v>
      </c>
      <c r="P168" s="13">
        <f t="shared" si="141"/>
        <v>8.3482866290946129E-13</v>
      </c>
      <c r="Q168" s="20">
        <f t="shared" si="162"/>
        <v>1.5435705246133045E-12</v>
      </c>
      <c r="R168" s="59">
        <f t="shared" si="109"/>
        <v>291.95437899098835</v>
      </c>
      <c r="S168" s="59">
        <f ca="1">AVERAGE(OFFSET($R$3,0,0,'Données projet'!$E$9+1,1))-AVERAGE(OFFSET($H$3,0,0,'Données projet'!$E$9+1,1))</f>
        <v>466.90449882701591</v>
      </c>
      <c r="T168" s="59">
        <f t="shared" si="142"/>
        <v>283.37641704892053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76.6735429581462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76.6735429581462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69.623921542996399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-4.5474735088646412E-13</v>
      </c>
      <c r="AJ168" s="13">
        <f>AI168*VLOOKUP('Données projet'!$B$10,Paramètres!$A$1:$I$89,3,0)*VLOOKUP('Données projet'!$B$10,Paramètres!$A$1:$I$89,5,0)</f>
        <v>-4.3273757910355926E-13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399.5572791581468</v>
      </c>
      <c r="AO168" s="59">
        <f t="shared" si="144"/>
        <v>246.34185986079777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53.657912687266403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53.657912687266403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69.623921542996399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5.6843418860808015E-14</v>
      </c>
      <c r="BE168" s="13">
        <f>BD168*VLOOKUP('Données projet'!$B$11,Paramètres!$A$1:$I$89,3,0)*VLOOKUP('Données projet'!$B$11,Paramètres!$A$1:$I$89,5,0)</f>
        <v>4.4337866711430253E-14</v>
      </c>
      <c r="BF168" s="13">
        <f t="shared" si="167"/>
        <v>7.3222115536967035E-13</v>
      </c>
      <c r="BG168" s="20">
        <f t="shared" si="168"/>
        <v>1.3525069634579169E-12</v>
      </c>
      <c r="BH168" s="59">
        <f t="shared" si="116"/>
        <v>291.95437899098818</v>
      </c>
      <c r="BI168" s="59">
        <f ca="1">AVERAGE(OFFSET($BH$3,0,0,'Données projet'!$E$11+1,1))-AVERAGE(OFFSET($H$3,0,0,'Données projet'!$E$11+1,1))</f>
        <v>294.23449029791681</v>
      </c>
      <c r="BJ168" s="59">
        <f t="shared" si="146"/>
        <v>288.64639202306159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14.054369840615056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14.054369840615056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69.623921542996399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-4.5474735088646412E-13</v>
      </c>
      <c r="BZ168" s="13">
        <f>BY168*VLOOKUP('Données projet'!$B$12,Paramètres!$A$1:$I$89,3,0)*VLOOKUP('Données projet'!$B$12,Paramètres!$A$1:$I$89,5,0)</f>
        <v>-4.8949004849418999E-13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445.38112098358147</v>
      </c>
      <c r="CE168" s="59">
        <f t="shared" si="148"/>
        <v>272.45883568548516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60.695015990514491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60.695015990514491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69.623921542996399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-4.5474735088646412E-13</v>
      </c>
      <c r="CU168" s="17">
        <f>CT168*VLOOKUP('Données projet'!$B$13,Paramètres!$A$1:$I$89,3,0)*VLOOKUP('Données projet'!$B$13,Paramètres!$A$1:$I$89,5,0)</f>
        <v>-4.8949004849418999E-13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445.38112098358147</v>
      </c>
      <c r="CZ168" s="59">
        <f t="shared" si="150"/>
        <v>272.45883568548516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60.695015990514491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60.695015990514491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69.623921542996399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-4.5474735088646412E-13</v>
      </c>
      <c r="DP168" s="17">
        <f>DO168*VLOOKUP('Données projet'!$B$14,Paramètres!$A$1:$I$89,3,0)*VLOOKUP('Données projet'!$B$14,Paramètres!$A$1:$I$89,5,0)</f>
        <v>-4.3983163777738812E-13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405.29179902613089</v>
      </c>
      <c r="DU168" s="59">
        <f t="shared" si="152"/>
        <v>249.61049717638238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54.537550600172452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54.537550600172452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69.623921542996399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-5.6843418860808015E-13</v>
      </c>
      <c r="EK168" s="17">
        <f>EJ168*VLOOKUP('Données projet'!$B$15,Paramètres!$A$1:$I$89,3,0)*VLOOKUP('Données projet'!$B$15,Paramètres!$A$1:$I$89,5,0)</f>
        <v>-3.39923644787632E-13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444.77624981561257</v>
      </c>
      <c r="EP168" s="59">
        <f t="shared" si="154"/>
        <v>382.10319641527587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40.593190398149211</v>
      </c>
      <c r="EW168" s="21">
        <f>EXP(-LN(2)/25)*EW167+(1-EXP(-LN(2)/25))/(LN(2)/25)*Calculateur!ER168*Calculateur!ET168*VLOOKUP('Données projet'!$B$15,Paramètres!$A$1:$I$89,3,0)*0.475*44/12</f>
        <v>3.934702521704792</v>
      </c>
      <c r="EX168" s="21">
        <f>EXP(-LN(2)/2)*EX167+(1-EXP(-LN(2)/2))/(LN(2)/2)*ER168*EU168*VLOOKUP('Données projet'!$B$15,Paramètres!$A$1:$I$89,3,0)*0.475*44/12</f>
        <v>1.6519339520453984E-12</v>
      </c>
      <c r="EY168" s="22">
        <f t="shared" si="181"/>
        <v>44.527892919855653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69.623921542996399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3.4106051316484809E-13</v>
      </c>
      <c r="FF168" s="17">
        <f>FE168*VLOOKUP('Données projet'!$B$16,Paramètres!$A$1:$I$89,3,0)*VLOOKUP('Données projet'!$B$16,Paramètres!$A$1:$I$89,5,0)</f>
        <v>1.5074874681886286E-13</v>
      </c>
      <c r="FG168" s="13">
        <f t="shared" si="182"/>
        <v>2.1590218794584103E-12</v>
      </c>
      <c r="FH168" s="20">
        <f t="shared" si="183"/>
        <v>4.0228505074329168E-12</v>
      </c>
      <c r="FI168" s="59">
        <f t="shared" si="131"/>
        <v>291.95437899099085</v>
      </c>
      <c r="FJ168" s="59">
        <f ca="1">AVERAGE(OFFSET($FI$3,0,0,'Données projet'!$E$16+1,1))-AVERAGE(OFFSET($H$3,0,0,'Données projet'!$E$16+1,1))</f>
        <v>508.71179785154317</v>
      </c>
      <c r="FK168" s="59">
        <f t="shared" si="156"/>
        <v>422.73937290731442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51.615184476565815</v>
      </c>
      <c r="FR168" s="21">
        <f>EXP(-LN(2)/25)*FR167+(1-EXP(-LN(2)/25))/(LN(2)/25)*Calculateur!FM168*Calculateur!FO168*VLOOKUP('Données projet'!$B$16,Paramètres!$A$1:$I$89,3,0)*0.475*44/12</f>
        <v>6.4467123069712056</v>
      </c>
      <c r="FS168" s="21">
        <f>EXP(-LN(2)/2)*FS167+(1-EXP(-LN(2)/2))/(LN(2)/2)*FM168*FP168*VLOOKUP('Données projet'!$B$16,Paramètres!$A$1:$I$89,3,0)*0.475*44/12</f>
        <v>6.9245089941922573E-12</v>
      </c>
      <c r="FT168" s="22">
        <f t="shared" si="184"/>
        <v>58.061896783543951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69.623921542996399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69.623921542996399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1.35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4.95</v>
      </c>
      <c r="H169" s="67">
        <f t="shared" si="110"/>
        <v>236.86666666666665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69.630445663439943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5.6843418860808015E-14</v>
      </c>
      <c r="O169" s="13">
        <f>N169*VLOOKUP('Données projet'!$B$9,Paramètres!$A$1:$I$89,3,0)*VLOOKUP('Données projet'!$B$9,Paramètres!$A$1:$I$89,5,0)</f>
        <v>5.1431925385259088E-14</v>
      </c>
      <c r="P169" s="13">
        <f t="shared" si="141"/>
        <v>8.3482866290946129E-13</v>
      </c>
      <c r="Q169" s="20">
        <f t="shared" si="162"/>
        <v>1.5435705246133045E-12</v>
      </c>
      <c r="R169" s="59">
        <f t="shared" si="109"/>
        <v>291.97830076594801</v>
      </c>
      <c r="S169" s="59">
        <f ca="1">AVERAGE(OFFSET($R$3,0,0,'Données projet'!$E$9+1,1))-AVERAGE(OFFSET($H$3,0,0,'Données projet'!$E$9+1,1))</f>
        <v>466.90449882701591</v>
      </c>
      <c r="T169" s="59">
        <f t="shared" si="142"/>
        <v>283.37641704892053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75.170021546980379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75.170021546980379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69.630445663439943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-4.5474735088646412E-13</v>
      </c>
      <c r="AJ169" s="13">
        <f>AI169*VLOOKUP('Données projet'!$B$10,Paramètres!$A$1:$I$89,3,0)*VLOOKUP('Données projet'!$B$10,Paramètres!$A$1:$I$89,5,0)</f>
        <v>-4.3273757910355926E-13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399.5572791581468</v>
      </c>
      <c r="AO169" s="59">
        <f t="shared" si="144"/>
        <v>246.34185986079777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52.605713747564216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52.605713747564216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69.630445663439943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5.6843418860808015E-14</v>
      </c>
      <c r="BE169" s="13">
        <f>BD169*VLOOKUP('Données projet'!$B$11,Paramètres!$A$1:$I$89,3,0)*VLOOKUP('Données projet'!$B$11,Paramètres!$A$1:$I$89,5,0)</f>
        <v>4.4337866711430253E-14</v>
      </c>
      <c r="BF169" s="13">
        <f t="shared" si="167"/>
        <v>7.3222115536967035E-13</v>
      </c>
      <c r="BG169" s="20">
        <f t="shared" si="168"/>
        <v>1.3525069634579169E-12</v>
      </c>
      <c r="BH169" s="59">
        <f t="shared" si="116"/>
        <v>291.97830076594784</v>
      </c>
      <c r="BI169" s="59">
        <f ca="1">AVERAGE(OFFSET($BH$3,0,0,'Données projet'!$E$11+1,1))-AVERAGE(OFFSET($H$3,0,0,'Données projet'!$E$11+1,1))</f>
        <v>294.23449029791681</v>
      </c>
      <c r="BJ169" s="59">
        <f t="shared" si="146"/>
        <v>288.64639202306159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13.778772220359752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13.778772220359752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69.630445663439943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-4.5474735088646412E-13</v>
      </c>
      <c r="BZ169" s="13">
        <f>BY169*VLOOKUP('Données projet'!$B$12,Paramètres!$A$1:$I$89,3,0)*VLOOKUP('Données projet'!$B$12,Paramètres!$A$1:$I$89,5,0)</f>
        <v>-4.8949004849418999E-13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445.38112098358147</v>
      </c>
      <c r="CE169" s="59">
        <f t="shared" si="148"/>
        <v>272.45883568548516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59.504823747244806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59.504823747244806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69.630445663439943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-4.5474735088646412E-13</v>
      </c>
      <c r="CU169" s="17">
        <f>CT169*VLOOKUP('Données projet'!$B$13,Paramètres!$A$1:$I$89,3,0)*VLOOKUP('Données projet'!$B$13,Paramètres!$A$1:$I$89,5,0)</f>
        <v>-4.8949004849418999E-13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445.38112098358147</v>
      </c>
      <c r="CZ169" s="59">
        <f t="shared" si="150"/>
        <v>272.45883568548516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59.504823747244806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59.504823747244806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69.630445663439943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-4.5474735088646412E-13</v>
      </c>
      <c r="DP169" s="17">
        <f>DO169*VLOOKUP('Données projet'!$B$14,Paramètres!$A$1:$I$89,3,0)*VLOOKUP('Données projet'!$B$14,Paramètres!$A$1:$I$89,5,0)</f>
        <v>-4.3983163777738812E-13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405.29179902613089</v>
      </c>
      <c r="DU169" s="59">
        <f t="shared" si="152"/>
        <v>249.61049717638238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53.468102497524328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53.468102497524328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69.630445663439943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-5.6843418860808015E-13</v>
      </c>
      <c r="EK169" s="17">
        <f>EJ169*VLOOKUP('Données projet'!$B$15,Paramètres!$A$1:$I$89,3,0)*VLOOKUP('Données projet'!$B$15,Paramètres!$A$1:$I$89,5,0)</f>
        <v>-3.39923644787632E-13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444.77624981561257</v>
      </c>
      <c r="EP169" s="59">
        <f t="shared" si="154"/>
        <v>382.10319641527587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39.797182693842863</v>
      </c>
      <c r="EW169" s="21">
        <f>EXP(-LN(2)/25)*EW168+(1-EXP(-LN(2)/25))/(LN(2)/25)*Calculateur!ER169*Calculateur!ET169*VLOOKUP('Données projet'!$B$15,Paramètres!$A$1:$I$89,3,0)*0.475*44/12</f>
        <v>3.8271078743317615</v>
      </c>
      <c r="EX169" s="21">
        <f>EXP(-LN(2)/2)*EX168+(1-EXP(-LN(2)/2))/(LN(2)/2)*ER169*EU169*VLOOKUP('Données projet'!$B$15,Paramètres!$A$1:$I$89,3,0)*0.475*44/12</f>
        <v>1.1680936995635942E-12</v>
      </c>
      <c r="EY169" s="22">
        <f t="shared" si="181"/>
        <v>43.624290568175788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69.630445663439943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3.4106051316484809E-13</v>
      </c>
      <c r="FF169" s="17">
        <f>FE169*VLOOKUP('Données projet'!$B$16,Paramètres!$A$1:$I$89,3,0)*VLOOKUP('Données projet'!$B$16,Paramètres!$A$1:$I$89,5,0)</f>
        <v>1.5074874681886286E-13</v>
      </c>
      <c r="FG169" s="13">
        <f t="shared" si="182"/>
        <v>2.1590218794584103E-12</v>
      </c>
      <c r="FH169" s="20">
        <f t="shared" si="183"/>
        <v>4.0228505074329168E-12</v>
      </c>
      <c r="FI169" s="59">
        <f t="shared" si="131"/>
        <v>291.97830076595051</v>
      </c>
      <c r="FJ169" s="59">
        <f ca="1">AVERAGE(OFFSET($FI$3,0,0,'Données projet'!$E$16+1,1))-AVERAGE(OFFSET($H$3,0,0,'Données projet'!$E$16+1,1))</f>
        <v>508.71179785154317</v>
      </c>
      <c r="FK169" s="59">
        <f t="shared" si="156"/>
        <v>422.73937290731442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50.603042191134286</v>
      </c>
      <c r="FR169" s="21">
        <f>EXP(-LN(2)/25)*FR168+(1-EXP(-LN(2)/25))/(LN(2)/25)*Calculateur!FM169*Calculateur!FO169*VLOOKUP('Données projet'!$B$16,Paramètres!$A$1:$I$89,3,0)*0.475*44/12</f>
        <v>6.2704266199192116</v>
      </c>
      <c r="FS169" s="21">
        <f>EXP(-LN(2)/2)*FS168+(1-EXP(-LN(2)/2))/(LN(2)/2)*FM169*FP169*VLOOKUP('Données projet'!$B$16,Paramètres!$A$1:$I$89,3,0)*0.475*44/12</f>
        <v>4.8963672661805847E-12</v>
      </c>
      <c r="FT169" s="22">
        <f t="shared" si="184"/>
        <v>56.873468811058395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69.630445663439943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69.630445663439943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1.35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4.95</v>
      </c>
      <c r="H170" s="67">
        <f t="shared" si="110"/>
        <v>236.86666666666665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69.636856604979542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5.6843418860808015E-14</v>
      </c>
      <c r="O170" s="13">
        <f>N170*VLOOKUP('Données projet'!$B$9,Paramètres!$A$1:$I$89,3,0)*VLOOKUP('Données projet'!$B$9,Paramètres!$A$1:$I$89,5,0)</f>
        <v>5.1431925385259088E-14</v>
      </c>
      <c r="P170" s="13">
        <f t="shared" si="141"/>
        <v>8.3482866290946129E-13</v>
      </c>
      <c r="Q170" s="20">
        <f t="shared" si="162"/>
        <v>1.5435705246133045E-12</v>
      </c>
      <c r="R170" s="59">
        <f t="shared" si="109"/>
        <v>292.00180755159317</v>
      </c>
      <c r="S170" s="59">
        <f ca="1">AVERAGE(OFFSET($R$3,0,0,'Données projet'!$E$9+1,1))-AVERAGE(OFFSET($H$3,0,0,'Données projet'!$E$9+1,1))</f>
        <v>466.90449882701591</v>
      </c>
      <c r="T170" s="59">
        <f t="shared" si="142"/>
        <v>283.37641704892053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73.695983273630006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73.695983273630006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69.636856604979542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-4.5474735088646412E-13</v>
      </c>
      <c r="AJ170" s="13">
        <f>AI170*VLOOKUP('Données projet'!$B$10,Paramètres!$A$1:$I$89,3,0)*VLOOKUP('Données projet'!$B$10,Paramètres!$A$1:$I$89,5,0)</f>
        <v>-4.3273757910355926E-13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399.5572791581468</v>
      </c>
      <c r="AO170" s="59">
        <f t="shared" si="144"/>
        <v>246.34185986079777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51.574147787291608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51.574147787291608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69.636856604979542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5.6843418860808015E-14</v>
      </c>
      <c r="BE170" s="13">
        <f>BD170*VLOOKUP('Données projet'!$B$11,Paramètres!$A$1:$I$89,3,0)*VLOOKUP('Données projet'!$B$11,Paramètres!$A$1:$I$89,5,0)</f>
        <v>4.4337866711430253E-14</v>
      </c>
      <c r="BF170" s="13">
        <f t="shared" si="167"/>
        <v>7.3222115536967035E-13</v>
      </c>
      <c r="BG170" s="20">
        <f t="shared" si="168"/>
        <v>1.3525069634579169E-12</v>
      </c>
      <c r="BH170" s="59">
        <f t="shared" si="116"/>
        <v>292.001807551593</v>
      </c>
      <c r="BI170" s="59">
        <f ca="1">AVERAGE(OFFSET($BH$3,0,0,'Données projet'!$E$11+1,1))-AVERAGE(OFFSET($H$3,0,0,'Données projet'!$E$11+1,1))</f>
        <v>294.23449029791681</v>
      </c>
      <c r="BJ170" s="59">
        <f t="shared" si="146"/>
        <v>288.64639202306159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13.508578901339703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13.508578901339703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69.636856604979542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-4.5474735088646412E-13</v>
      </c>
      <c r="BZ170" s="13">
        <f>BY170*VLOOKUP('Données projet'!$B$12,Paramètres!$A$1:$I$89,3,0)*VLOOKUP('Données projet'!$B$12,Paramètres!$A$1:$I$89,5,0)</f>
        <v>-4.8949004849418999E-13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445.38112098358147</v>
      </c>
      <c r="CE170" s="59">
        <f t="shared" si="148"/>
        <v>272.45883568548516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58.33797044792005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58.33797044792005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69.636856604979542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-4.5474735088646412E-13</v>
      </c>
      <c r="CU170" s="17">
        <f>CT170*VLOOKUP('Données projet'!$B$13,Paramètres!$A$1:$I$89,3,0)*VLOOKUP('Données projet'!$B$13,Paramètres!$A$1:$I$89,5,0)</f>
        <v>-4.8949004849418999E-13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445.38112098358147</v>
      </c>
      <c r="CZ170" s="59">
        <f t="shared" si="150"/>
        <v>272.45883568548516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58.33797044792005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58.33797044792005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69.636856604979542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-4.5474735088646412E-13</v>
      </c>
      <c r="DP170" s="17">
        <f>DO170*VLOOKUP('Données projet'!$B$14,Paramètres!$A$1:$I$89,3,0)*VLOOKUP('Données projet'!$B$14,Paramètres!$A$1:$I$89,5,0)</f>
        <v>-4.3983163777738812E-13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405.29179902613089</v>
      </c>
      <c r="DU170" s="59">
        <f t="shared" si="152"/>
        <v>249.61049717638238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52.419625619870203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52.419625619870203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69.636856604979542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-5.6843418860808015E-13</v>
      </c>
      <c r="EK170" s="17">
        <f>EJ170*VLOOKUP('Données projet'!$B$15,Paramètres!$A$1:$I$89,3,0)*VLOOKUP('Données projet'!$B$15,Paramètres!$A$1:$I$89,5,0)</f>
        <v>-3.39923644787632E-13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444.77624981561257</v>
      </c>
      <c r="EP170" s="59">
        <f t="shared" si="154"/>
        <v>382.10319641527587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39.016784215101204</v>
      </c>
      <c r="EW170" s="21">
        <f>EXP(-LN(2)/25)*EW169+(1-EXP(-LN(2)/25))/(LN(2)/25)*Calculateur!ER170*Calculateur!ET170*VLOOKUP('Données projet'!$B$15,Paramètres!$A$1:$I$89,3,0)*0.475*44/12</f>
        <v>3.7224554082493033</v>
      </c>
      <c r="EX170" s="21">
        <f>EXP(-LN(2)/2)*EX169+(1-EXP(-LN(2)/2))/(LN(2)/2)*ER170*EU170*VLOOKUP('Données projet'!$B$15,Paramètres!$A$1:$I$89,3,0)*0.475*44/12</f>
        <v>8.259669760226992E-13</v>
      </c>
      <c r="EY170" s="22">
        <f t="shared" si="181"/>
        <v>42.739239623351331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69.636856604979542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3.4106051316484809E-13</v>
      </c>
      <c r="FF170" s="17">
        <f>FE170*VLOOKUP('Données projet'!$B$16,Paramètres!$A$1:$I$89,3,0)*VLOOKUP('Données projet'!$B$16,Paramètres!$A$1:$I$89,5,0)</f>
        <v>1.5074874681886286E-13</v>
      </c>
      <c r="FG170" s="13">
        <f t="shared" si="182"/>
        <v>2.1590218794584103E-12</v>
      </c>
      <c r="FH170" s="20">
        <f t="shared" si="183"/>
        <v>4.0228505074329168E-12</v>
      </c>
      <c r="FI170" s="59">
        <f t="shared" si="131"/>
        <v>292.00180755159568</v>
      </c>
      <c r="FJ170" s="59">
        <f ca="1">AVERAGE(OFFSET($FI$3,0,0,'Données projet'!$E$16+1,1))-AVERAGE(OFFSET($H$3,0,0,'Données projet'!$E$16+1,1))</f>
        <v>508.71179785154317</v>
      </c>
      <c r="FK170" s="59">
        <f t="shared" si="156"/>
        <v>422.73937290731442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49.610747398574233</v>
      </c>
      <c r="FR170" s="21">
        <f>EXP(-LN(2)/25)*FR169+(1-EXP(-LN(2)/25))/(LN(2)/25)*Calculateur!FM170*Calculateur!FO170*VLOOKUP('Données projet'!$B$16,Paramètres!$A$1:$I$89,3,0)*0.475*44/12</f>
        <v>6.0989614742501157</v>
      </c>
      <c r="FS170" s="21">
        <f>EXP(-LN(2)/2)*FS169+(1-EXP(-LN(2)/2))/(LN(2)/2)*FM170*FP170*VLOOKUP('Données projet'!$B$16,Paramètres!$A$1:$I$89,3,0)*0.475*44/12</f>
        <v>3.4622544970961286E-12</v>
      </c>
      <c r="FT170" s="22">
        <f t="shared" si="184"/>
        <v>55.709708872827811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69.636856604979542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69.636856604979542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1.35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4.95</v>
      </c>
      <c r="H171" s="67">
        <f t="shared" si="110"/>
        <v>236.86666666666665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69.643156331016144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5.6843418860808015E-14</v>
      </c>
      <c r="O171" s="13">
        <f>N171*VLOOKUP('Données projet'!$B$9,Paramètres!$A$1:$I$89,3,0)*VLOOKUP('Données projet'!$B$9,Paramètres!$A$1:$I$89,5,0)</f>
        <v>5.1431925385259088E-14</v>
      </c>
      <c r="P171" s="13">
        <f t="shared" si="141"/>
        <v>8.3482866290946129E-13</v>
      </c>
      <c r="Q171" s="20">
        <f t="shared" si="162"/>
        <v>1.5435705246133045E-12</v>
      </c>
      <c r="R171" s="59">
        <f t="shared" si="109"/>
        <v>292.02490654706071</v>
      </c>
      <c r="S171" s="59">
        <f ca="1">AVERAGE(OFFSET($R$3,0,0,'Données projet'!$E$9+1,1))-AVERAGE(OFFSET($H$3,0,0,'Données projet'!$E$9+1,1))</f>
        <v>466.90449882701591</v>
      </c>
      <c r="T171" s="59">
        <f t="shared" si="142"/>
        <v>283.37641704892053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72.250849991745469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72.250849991745469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69.643156331016144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-4.5474735088646412E-13</v>
      </c>
      <c r="AJ171" s="13">
        <f>AI171*VLOOKUP('Données projet'!$B$10,Paramètres!$A$1:$I$89,3,0)*VLOOKUP('Données projet'!$B$10,Paramètres!$A$1:$I$89,5,0)</f>
        <v>-4.3273757910355926E-13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399.5572791581468</v>
      </c>
      <c r="AO171" s="59">
        <f t="shared" si="144"/>
        <v>246.34185986079777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50.562810206306835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50.562810206306835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69.643156331016144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5.6843418860808015E-14</v>
      </c>
      <c r="BE171" s="13">
        <f>BD171*VLOOKUP('Données projet'!$B$11,Paramètres!$A$1:$I$89,3,0)*VLOOKUP('Données projet'!$B$11,Paramètres!$A$1:$I$89,5,0)</f>
        <v>4.4337866711430253E-14</v>
      </c>
      <c r="BF171" s="13">
        <f t="shared" si="167"/>
        <v>7.3222115536967035E-13</v>
      </c>
      <c r="BG171" s="20">
        <f t="shared" si="168"/>
        <v>1.3525069634579169E-12</v>
      </c>
      <c r="BH171" s="59">
        <f t="shared" si="116"/>
        <v>292.02490654706054</v>
      </c>
      <c r="BI171" s="59">
        <f ca="1">AVERAGE(OFFSET($BH$3,0,0,'Données projet'!$E$11+1,1))-AVERAGE(OFFSET($H$3,0,0,'Données projet'!$E$11+1,1))</f>
        <v>294.23449029791681</v>
      </c>
      <c r="BJ171" s="59">
        <f t="shared" si="146"/>
        <v>288.64639202306159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13.243683908503986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13.243683908503986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69.643156331016144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-4.5474735088646412E-13</v>
      </c>
      <c r="BZ171" s="13">
        <f>BY171*VLOOKUP('Données projet'!$B$12,Paramètres!$A$1:$I$89,3,0)*VLOOKUP('Données projet'!$B$12,Paramètres!$A$1:$I$89,5,0)</f>
        <v>-4.8949004849418999E-13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445.38112098358147</v>
      </c>
      <c r="CE171" s="59">
        <f t="shared" si="148"/>
        <v>272.45883568548516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57.193998430084818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57.193998430084818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69.643156331016144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-4.5474735088646412E-13</v>
      </c>
      <c r="CU171" s="17">
        <f>CT171*VLOOKUP('Données projet'!$B$13,Paramètres!$A$1:$I$89,3,0)*VLOOKUP('Données projet'!$B$13,Paramètres!$A$1:$I$89,5,0)</f>
        <v>-4.8949004849418999E-13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445.38112098358147</v>
      </c>
      <c r="CZ171" s="59">
        <f t="shared" si="150"/>
        <v>272.45883568548516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57.193998430084818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57.193998430084818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69.643156331016144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-4.5474735088646412E-13</v>
      </c>
      <c r="DP171" s="17">
        <f>DO171*VLOOKUP('Données projet'!$B$14,Paramètres!$A$1:$I$89,3,0)*VLOOKUP('Données projet'!$B$14,Paramètres!$A$1:$I$89,5,0)</f>
        <v>-4.3983163777738812E-13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405.29179902613089</v>
      </c>
      <c r="DU171" s="59">
        <f t="shared" si="152"/>
        <v>249.61049717638238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51.391708734279121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51.391708734279121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69.643156331016144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-5.6843418860808015E-13</v>
      </c>
      <c r="EK171" s="17">
        <f>EJ171*VLOOKUP('Données projet'!$B$15,Paramètres!$A$1:$I$89,3,0)*VLOOKUP('Données projet'!$B$15,Paramètres!$A$1:$I$89,5,0)</f>
        <v>-3.39923644787632E-13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444.77624981561257</v>
      </c>
      <c r="EP171" s="59">
        <f t="shared" si="154"/>
        <v>382.10319641527587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38.251688874531595</v>
      </c>
      <c r="EW171" s="21">
        <f>EXP(-LN(2)/25)*EW170+(1-EXP(-LN(2)/25))/(LN(2)/25)*Calculateur!ER171*Calculateur!ET171*VLOOKUP('Données projet'!$B$15,Paramètres!$A$1:$I$89,3,0)*0.475*44/12</f>
        <v>3.6206646693553042</v>
      </c>
      <c r="EX171" s="21">
        <f>EXP(-LN(2)/2)*EX170+(1-EXP(-LN(2)/2))/(LN(2)/2)*ER171*EU171*VLOOKUP('Données projet'!$B$15,Paramètres!$A$1:$I$89,3,0)*0.475*44/12</f>
        <v>5.840468497817971E-13</v>
      </c>
      <c r="EY171" s="22">
        <f t="shared" si="181"/>
        <v>41.872353543887485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69.643156331016144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3.4106051316484809E-13</v>
      </c>
      <c r="FF171" s="17">
        <f>FE171*VLOOKUP('Données projet'!$B$16,Paramètres!$A$1:$I$89,3,0)*VLOOKUP('Données projet'!$B$16,Paramètres!$A$1:$I$89,5,0)</f>
        <v>1.5074874681886286E-13</v>
      </c>
      <c r="FG171" s="13">
        <f t="shared" si="182"/>
        <v>2.1590218794584103E-12</v>
      </c>
      <c r="FH171" s="20">
        <f t="shared" si="183"/>
        <v>4.0228505074329168E-12</v>
      </c>
      <c r="FI171" s="59">
        <f t="shared" si="131"/>
        <v>292.02490654706321</v>
      </c>
      <c r="FJ171" s="59">
        <f ca="1">AVERAGE(OFFSET($FI$3,0,0,'Données projet'!$E$16+1,1))-AVERAGE(OFFSET($H$3,0,0,'Données projet'!$E$16+1,1))</f>
        <v>508.71179785154317</v>
      </c>
      <c r="FK171" s="59">
        <f t="shared" si="156"/>
        <v>422.73937290731442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48.63791090165622</v>
      </c>
      <c r="FR171" s="21">
        <f>EXP(-LN(2)/25)*FR170+(1-EXP(-LN(2)/25))/(LN(2)/25)*Calculateur!FM171*Calculateur!FO171*VLOOKUP('Données projet'!$B$16,Paramètres!$A$1:$I$89,3,0)*0.475*44/12</f>
        <v>5.932185052006302</v>
      </c>
      <c r="FS171" s="21">
        <f>EXP(-LN(2)/2)*FS170+(1-EXP(-LN(2)/2))/(LN(2)/2)*FM171*FP171*VLOOKUP('Données projet'!$B$16,Paramètres!$A$1:$I$89,3,0)*0.475*44/12</f>
        <v>2.4481836330902923E-12</v>
      </c>
      <c r="FT171" s="22">
        <f t="shared" si="184"/>
        <v>54.570095953664975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69.643156331016144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69.643156331016144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1.35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4.95</v>
      </c>
      <c r="H172" s="67">
        <f t="shared" si="110"/>
        <v>236.86666666666665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69.649346770890077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5.6843418860808015E-14</v>
      </c>
      <c r="O172" s="13">
        <f>N172*VLOOKUP('Données projet'!$B$9,Paramètres!$A$1:$I$89,3,0)*VLOOKUP('Données projet'!$B$9,Paramètres!$A$1:$I$89,5,0)</f>
        <v>5.1431925385259088E-14</v>
      </c>
      <c r="P172" s="13">
        <f t="shared" si="141"/>
        <v>8.3482866290946129E-13</v>
      </c>
      <c r="Q172" s="20">
        <f t="shared" si="162"/>
        <v>1.5435705246133045E-12</v>
      </c>
      <c r="R172" s="59">
        <f t="shared" si="109"/>
        <v>292.04760482659844</v>
      </c>
      <c r="S172" s="59">
        <f ca="1">AVERAGE(OFFSET($R$3,0,0,'Données projet'!$E$9+1,1))-AVERAGE(OFFSET($H$3,0,0,'Données projet'!$E$9+1,1))</f>
        <v>466.90449882701591</v>
      </c>
      <c r="T172" s="59">
        <f t="shared" si="142"/>
        <v>283.37641704892053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70.83405489207442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70.83405489207442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69.649346770890077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-4.5474735088646412E-13</v>
      </c>
      <c r="AJ172" s="13">
        <f>AI172*VLOOKUP('Données projet'!$B$10,Paramètres!$A$1:$I$89,3,0)*VLOOKUP('Données projet'!$B$10,Paramètres!$A$1:$I$89,5,0)</f>
        <v>-4.3273757910355926E-13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399.5572791581468</v>
      </c>
      <c r="AO172" s="59">
        <f t="shared" si="144"/>
        <v>246.34185986079777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49.57130433843016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49.57130433843016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69.649346770890077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5.6843418860808015E-14</v>
      </c>
      <c r="BE172" s="13">
        <f>BD172*VLOOKUP('Données projet'!$B$11,Paramètres!$A$1:$I$89,3,0)*VLOOKUP('Données projet'!$B$11,Paramètres!$A$1:$I$89,5,0)</f>
        <v>4.4337866711430253E-14</v>
      </c>
      <c r="BF172" s="13">
        <f t="shared" si="167"/>
        <v>7.3222115536967035E-13</v>
      </c>
      <c r="BG172" s="20">
        <f t="shared" si="168"/>
        <v>1.3525069634579169E-12</v>
      </c>
      <c r="BH172" s="59">
        <f t="shared" si="116"/>
        <v>292.04760482659827</v>
      </c>
      <c r="BI172" s="59">
        <f ca="1">AVERAGE(OFFSET($BH$3,0,0,'Données projet'!$E$11+1,1))-AVERAGE(OFFSET($H$3,0,0,'Données projet'!$E$11+1,1))</f>
        <v>294.23449029791681</v>
      </c>
      <c r="BJ172" s="59">
        <f t="shared" si="146"/>
        <v>288.64639202306159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12.983983344907786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12.983983344907786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69.649346770890077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-4.5474735088646412E-13</v>
      </c>
      <c r="BZ172" s="13">
        <f>BY172*VLOOKUP('Données projet'!$B$12,Paramètres!$A$1:$I$89,3,0)*VLOOKUP('Données projet'!$B$12,Paramètres!$A$1:$I$89,5,0)</f>
        <v>-4.8949004849418999E-13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445.38112098358147</v>
      </c>
      <c r="CE172" s="59">
        <f t="shared" si="148"/>
        <v>272.45883568548516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56.072459005765303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56.072459005765303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69.649346770890077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-4.5474735088646412E-13</v>
      </c>
      <c r="CU172" s="17">
        <f>CT172*VLOOKUP('Données projet'!$B$13,Paramètres!$A$1:$I$89,3,0)*VLOOKUP('Données projet'!$B$13,Paramètres!$A$1:$I$89,5,0)</f>
        <v>-4.8949004849418999E-13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445.38112098358147</v>
      </c>
      <c r="CZ172" s="59">
        <f t="shared" si="150"/>
        <v>272.45883568548516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56.072459005765303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56.072459005765303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69.649346770890077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-4.5474735088646412E-13</v>
      </c>
      <c r="DP172" s="17">
        <f>DO172*VLOOKUP('Données projet'!$B$14,Paramètres!$A$1:$I$89,3,0)*VLOOKUP('Données projet'!$B$14,Paramètres!$A$1:$I$89,5,0)</f>
        <v>-4.3983163777738812E-13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405.29179902613089</v>
      </c>
      <c r="DU172" s="59">
        <f t="shared" si="152"/>
        <v>249.61049717638238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50.383948671847087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50.383948671847087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69.649346770890077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-5.6843418860808015E-13</v>
      </c>
      <c r="EK172" s="17">
        <f>EJ172*VLOOKUP('Données projet'!$B$15,Paramètres!$A$1:$I$89,3,0)*VLOOKUP('Données projet'!$B$15,Paramètres!$A$1:$I$89,5,0)</f>
        <v>-3.39923644787632E-13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444.77624981561257</v>
      </c>
      <c r="EP172" s="59">
        <f t="shared" si="154"/>
        <v>382.10319641527587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37.501596586928478</v>
      </c>
      <c r="EW172" s="21">
        <f>EXP(-LN(2)/25)*EW171+(1-EXP(-LN(2)/25))/(LN(2)/25)*Calculateur!ER172*Calculateur!ET172*VLOOKUP('Données projet'!$B$15,Paramètres!$A$1:$I$89,3,0)*0.475*44/12</f>
        <v>3.5216574035693036</v>
      </c>
      <c r="EX172" s="21">
        <f>EXP(-LN(2)/2)*EX171+(1-EXP(-LN(2)/2))/(LN(2)/2)*ER172*EU172*VLOOKUP('Données projet'!$B$15,Paramètres!$A$1:$I$89,3,0)*0.475*44/12</f>
        <v>4.129834880113496E-13</v>
      </c>
      <c r="EY172" s="22">
        <f t="shared" si="181"/>
        <v>41.023253990498191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69.649346770890077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3.4106051316484809E-13</v>
      </c>
      <c r="FF172" s="17">
        <f>FE172*VLOOKUP('Données projet'!$B$16,Paramètres!$A$1:$I$89,3,0)*VLOOKUP('Données projet'!$B$16,Paramètres!$A$1:$I$89,5,0)</f>
        <v>1.5074874681886286E-13</v>
      </c>
      <c r="FG172" s="13">
        <f t="shared" si="182"/>
        <v>2.1590218794584103E-12</v>
      </c>
      <c r="FH172" s="20">
        <f t="shared" si="183"/>
        <v>4.0228505074329168E-12</v>
      </c>
      <c r="FI172" s="59">
        <f t="shared" si="131"/>
        <v>292.04760482660095</v>
      </c>
      <c r="FJ172" s="59">
        <f ca="1">AVERAGE(OFFSET($FI$3,0,0,'Données projet'!$E$16+1,1))-AVERAGE(OFFSET($H$3,0,0,'Données projet'!$E$16+1,1))</f>
        <v>508.71179785154317</v>
      </c>
      <c r="FK172" s="59">
        <f t="shared" si="156"/>
        <v>422.73937290731442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47.684151135071097</v>
      </c>
      <c r="FR172" s="21">
        <f>EXP(-LN(2)/25)*FR171+(1-EXP(-LN(2)/25))/(LN(2)/25)*Calculateur!FM172*Calculateur!FO172*VLOOKUP('Données projet'!$B$16,Paramètres!$A$1:$I$89,3,0)*0.475*44/12</f>
        <v>5.7699691397991364</v>
      </c>
      <c r="FS172" s="21">
        <f>EXP(-LN(2)/2)*FS171+(1-EXP(-LN(2)/2))/(LN(2)/2)*FM172*FP172*VLOOKUP('Données projet'!$B$16,Paramètres!$A$1:$I$89,3,0)*0.475*44/12</f>
        <v>1.7311272485480643E-12</v>
      </c>
      <c r="FT172" s="22">
        <f t="shared" si="184"/>
        <v>53.454120274871968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69.649346770890077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69.649346770890077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1.35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4.95</v>
      </c>
      <c r="H173" s="67">
        <f t="shared" si="110"/>
        <v>236.86666666666665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69.655429820471966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5.6843418860808015E-14</v>
      </c>
      <c r="O173" s="13">
        <f>N173*VLOOKUP('Données projet'!$B$9,Paramètres!$A$1:$I$89,3,0)*VLOOKUP('Données projet'!$B$9,Paramètres!$A$1:$I$89,5,0)</f>
        <v>5.1431925385259088E-14</v>
      </c>
      <c r="P173" s="13">
        <f t="shared" si="141"/>
        <v>8.3482866290946129E-13</v>
      </c>
      <c r="Q173" s="20">
        <f t="shared" si="162"/>
        <v>1.5435705246133045E-12</v>
      </c>
      <c r="R173" s="59">
        <f t="shared" si="109"/>
        <v>292.06990934173211</v>
      </c>
      <c r="S173" s="59">
        <f ca="1">AVERAGE(OFFSET($R$3,0,0,'Données projet'!$E$9+1,1))-AVERAGE(OFFSET($H$3,0,0,'Données projet'!$E$9+1,1))</f>
        <v>466.90449882701591</v>
      </c>
      <c r="T173" s="59">
        <f t="shared" si="142"/>
        <v>283.37641704892053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69.445042280148229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69.445042280148229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69.655429820471966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-4.5474735088646412E-13</v>
      </c>
      <c r="AJ173" s="13">
        <f>AI173*VLOOKUP('Données projet'!$B$10,Paramètres!$A$1:$I$89,3,0)*VLOOKUP('Données projet'!$B$10,Paramètres!$A$1:$I$89,5,0)</f>
        <v>-4.3273757910355926E-13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399.5572791581468</v>
      </c>
      <c r="AO173" s="59">
        <f t="shared" si="144"/>
        <v>246.34185986079777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48.599241295863685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48.599241295863685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69.655429820471966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5.6843418860808015E-14</v>
      </c>
      <c r="BE173" s="13">
        <f>BD173*VLOOKUP('Données projet'!$B$11,Paramètres!$A$1:$I$89,3,0)*VLOOKUP('Données projet'!$B$11,Paramètres!$A$1:$I$89,5,0)</f>
        <v>4.4337866711430253E-14</v>
      </c>
      <c r="BF173" s="13">
        <f t="shared" si="167"/>
        <v>7.3222115536967035E-13</v>
      </c>
      <c r="BG173" s="20">
        <f t="shared" si="168"/>
        <v>1.3525069634579169E-12</v>
      </c>
      <c r="BH173" s="59">
        <f t="shared" si="116"/>
        <v>292.06990934173194</v>
      </c>
      <c r="BI173" s="59">
        <f ca="1">AVERAGE(OFFSET($BH$3,0,0,'Données projet'!$E$11+1,1))-AVERAGE(OFFSET($H$3,0,0,'Données projet'!$E$11+1,1))</f>
        <v>294.23449029791681</v>
      </c>
      <c r="BJ173" s="59">
        <f t="shared" si="146"/>
        <v>288.64639202306159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12.729375350962004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12.729375350962004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69.655429820471966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-4.5474735088646412E-13</v>
      </c>
      <c r="BZ173" s="13">
        <f>BY173*VLOOKUP('Données projet'!$B$12,Paramètres!$A$1:$I$89,3,0)*VLOOKUP('Données projet'!$B$12,Paramètres!$A$1:$I$89,5,0)</f>
        <v>-4.8949004849418999E-13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445.38112098358147</v>
      </c>
      <c r="CE173" s="59">
        <f t="shared" si="148"/>
        <v>272.45883568548516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54.972912285485187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54.972912285485187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69.655429820471966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-4.5474735088646412E-13</v>
      </c>
      <c r="CU173" s="17">
        <f>CT173*VLOOKUP('Données projet'!$B$13,Paramètres!$A$1:$I$89,3,0)*VLOOKUP('Données projet'!$B$13,Paramètres!$A$1:$I$89,5,0)</f>
        <v>-4.8949004849418999E-13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445.38112098358147</v>
      </c>
      <c r="CZ173" s="59">
        <f t="shared" si="150"/>
        <v>272.45883568548516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54.972912285485187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54.972912285485187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69.655429820471966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-4.5474735088646412E-13</v>
      </c>
      <c r="DP173" s="17">
        <f>DO173*VLOOKUP('Données projet'!$B$14,Paramètres!$A$1:$I$89,3,0)*VLOOKUP('Données projet'!$B$14,Paramètres!$A$1:$I$89,5,0)</f>
        <v>-4.3983163777738812E-13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405.29179902613089</v>
      </c>
      <c r="DU173" s="59">
        <f t="shared" si="152"/>
        <v>249.61049717638238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49.395950169566404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49.395950169566404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69.655429820471966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-5.6843418860808015E-13</v>
      </c>
      <c r="EK173" s="17">
        <f>EJ173*VLOOKUP('Données projet'!$B$15,Paramètres!$A$1:$I$89,3,0)*VLOOKUP('Données projet'!$B$15,Paramètres!$A$1:$I$89,5,0)</f>
        <v>-3.39923644787632E-13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444.77624981561257</v>
      </c>
      <c r="EP173" s="59">
        <f t="shared" si="154"/>
        <v>382.10319641527587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36.766213151574135</v>
      </c>
      <c r="EW173" s="21">
        <f>EXP(-LN(2)/25)*EW172+(1-EXP(-LN(2)/25))/(LN(2)/25)*Calculateur!ER173*Calculateur!ET173*VLOOKUP('Données projet'!$B$15,Paramètres!$A$1:$I$89,3,0)*0.475*44/12</f>
        <v>3.4253574966727869</v>
      </c>
      <c r="EX173" s="21">
        <f>EXP(-LN(2)/2)*EX172+(1-EXP(-LN(2)/2))/(LN(2)/2)*ER173*EU173*VLOOKUP('Données projet'!$B$15,Paramètres!$A$1:$I$89,3,0)*0.475*44/12</f>
        <v>2.9202342489089855E-13</v>
      </c>
      <c r="EY173" s="22">
        <f t="shared" si="181"/>
        <v>40.191570648247215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69.655429820471966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3.4106051316484809E-13</v>
      </c>
      <c r="FF173" s="17">
        <f>FE173*VLOOKUP('Données projet'!$B$16,Paramètres!$A$1:$I$89,3,0)*VLOOKUP('Données projet'!$B$16,Paramètres!$A$1:$I$89,5,0)</f>
        <v>1.5074874681886286E-13</v>
      </c>
      <c r="FG173" s="13">
        <f t="shared" si="182"/>
        <v>2.1590218794584103E-12</v>
      </c>
      <c r="FH173" s="20">
        <f t="shared" si="183"/>
        <v>4.0228505074329168E-12</v>
      </c>
      <c r="FI173" s="59">
        <f t="shared" si="131"/>
        <v>292.06990934173461</v>
      </c>
      <c r="FJ173" s="59">
        <f ca="1">AVERAGE(OFFSET($FI$3,0,0,'Données projet'!$E$16+1,1))-AVERAGE(OFFSET($H$3,0,0,'Données projet'!$E$16+1,1))</f>
        <v>508.71179785154317</v>
      </c>
      <c r="FK173" s="59">
        <f t="shared" si="156"/>
        <v>422.73937290731442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46.749094015772691</v>
      </c>
      <c r="FR173" s="21">
        <f>EXP(-LN(2)/25)*FR172+(1-EXP(-LN(2)/25))/(LN(2)/25)*Calculateur!FM173*Calculateur!FO173*VLOOKUP('Données projet'!$B$16,Paramètres!$A$1:$I$89,3,0)*0.475*44/12</f>
        <v>5.6121890302418391</v>
      </c>
      <c r="FS173" s="21">
        <f>EXP(-LN(2)/2)*FS172+(1-EXP(-LN(2)/2))/(LN(2)/2)*FM173*FP173*VLOOKUP('Données projet'!$B$16,Paramètres!$A$1:$I$89,3,0)*0.475*44/12</f>
        <v>1.2240918165451462E-12</v>
      </c>
      <c r="FT173" s="22">
        <f t="shared" si="184"/>
        <v>52.36128304601575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69.655429820471966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69.655429820471966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1.35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4.95</v>
      </c>
      <c r="H174" s="67">
        <f t="shared" si="110"/>
        <v>236.86666666666665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69.66140734274326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5.6843418860808015E-14</v>
      </c>
      <c r="O174" s="13">
        <f>N174*VLOOKUP('Données projet'!$B$9,Paramètres!$A$1:$I$89,3,0)*VLOOKUP('Données projet'!$B$9,Paramètres!$A$1:$I$89,5,0)</f>
        <v>5.1431925385259088E-14</v>
      </c>
      <c r="P174" s="13">
        <f t="shared" si="141"/>
        <v>8.3482866290946129E-13</v>
      </c>
      <c r="Q174" s="20">
        <f t="shared" si="162"/>
        <v>1.5435705246133045E-12</v>
      </c>
      <c r="R174" s="59">
        <f t="shared" si="109"/>
        <v>292.09182692339346</v>
      </c>
      <c r="S174" s="59">
        <f ca="1">AVERAGE(OFFSET($R$3,0,0,'Données projet'!$E$9+1,1))-AVERAGE(OFFSET($H$3,0,0,'Données projet'!$E$9+1,1))</f>
        <v>466.90449882701591</v>
      </c>
      <c r="T174" s="59">
        <f t="shared" si="142"/>
        <v>283.37641704892053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68.083267358327873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68.083267358327873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69.66140734274326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-4.5474735088646412E-13</v>
      </c>
      <c r="AJ174" s="13">
        <f>AI174*VLOOKUP('Données projet'!$B$10,Paramètres!$A$1:$I$89,3,0)*VLOOKUP('Données projet'!$B$10,Paramètres!$A$1:$I$89,5,0)</f>
        <v>-4.3273757910355926E-13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399.5572791581468</v>
      </c>
      <c r="AO174" s="59">
        <f t="shared" si="144"/>
        <v>246.34185986079777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47.646239816662025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47.646239816662025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69.66140734274326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5.6843418860808015E-14</v>
      </c>
      <c r="BE174" s="13">
        <f>BD174*VLOOKUP('Données projet'!$B$11,Paramètres!$A$1:$I$89,3,0)*VLOOKUP('Données projet'!$B$11,Paramètres!$A$1:$I$89,5,0)</f>
        <v>4.4337866711430253E-14</v>
      </c>
      <c r="BF174" s="13">
        <f t="shared" si="167"/>
        <v>7.3222115536967035E-13</v>
      </c>
      <c r="BG174" s="20">
        <f t="shared" si="168"/>
        <v>1.3525069634579169E-12</v>
      </c>
      <c r="BH174" s="59">
        <f t="shared" si="116"/>
        <v>292.09182692339328</v>
      </c>
      <c r="BI174" s="59">
        <f ca="1">AVERAGE(OFFSET($BH$3,0,0,'Données projet'!$E$11+1,1))-AVERAGE(OFFSET($H$3,0,0,'Données projet'!$E$11+1,1))</f>
        <v>294.23449029791681</v>
      </c>
      <c r="BJ174" s="59">
        <f t="shared" si="146"/>
        <v>288.64639202306159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12.479760064481956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12.479760064481956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69.66140734274326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-4.5474735088646412E-13</v>
      </c>
      <c r="BZ174" s="13">
        <f>BY174*VLOOKUP('Données projet'!$B$12,Paramètres!$A$1:$I$89,3,0)*VLOOKUP('Données projet'!$B$12,Paramètres!$A$1:$I$89,5,0)</f>
        <v>-4.8949004849418999E-13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445.38112098358147</v>
      </c>
      <c r="CE174" s="59">
        <f t="shared" si="148"/>
        <v>272.45883568548516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53.894927005732484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53.894927005732484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69.66140734274326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-4.5474735088646412E-13</v>
      </c>
      <c r="CU174" s="17">
        <f>CT174*VLOOKUP('Données projet'!$B$13,Paramètres!$A$1:$I$89,3,0)*VLOOKUP('Données projet'!$B$13,Paramètres!$A$1:$I$89,5,0)</f>
        <v>-4.8949004849418999E-13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445.38112098358147</v>
      </c>
      <c r="CZ174" s="59">
        <f t="shared" si="150"/>
        <v>272.45883568548516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53.894927005732484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53.894927005732484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69.66140734274326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-4.5474735088646412E-13</v>
      </c>
      <c r="DP174" s="17">
        <f>DO174*VLOOKUP('Données projet'!$B$14,Paramètres!$A$1:$I$89,3,0)*VLOOKUP('Données projet'!$B$14,Paramètres!$A$1:$I$89,5,0)</f>
        <v>-4.3983163777738812E-13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405.29179902613089</v>
      </c>
      <c r="DU174" s="59">
        <f t="shared" si="152"/>
        <v>249.61049717638238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48.427325715295865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48.427325715295865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69.66140734274326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-5.6843418860808015E-13</v>
      </c>
      <c r="EK174" s="17">
        <f>EJ174*VLOOKUP('Données projet'!$B$15,Paramètres!$A$1:$I$89,3,0)*VLOOKUP('Données projet'!$B$15,Paramètres!$A$1:$I$89,5,0)</f>
        <v>-3.39923644787632E-13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444.77624981561257</v>
      </c>
      <c r="EP174" s="59">
        <f t="shared" si="154"/>
        <v>382.10319641527587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36.045250136847486</v>
      </c>
      <c r="EW174" s="21">
        <f>EXP(-LN(2)/25)*EW173+(1-EXP(-LN(2)/25))/(LN(2)/25)*Calculateur!ER174*Calculateur!ET174*VLOOKUP('Données projet'!$B$15,Paramètres!$A$1:$I$89,3,0)*0.475*44/12</f>
        <v>3.3316909157945473</v>
      </c>
      <c r="EX174" s="21">
        <f>EXP(-LN(2)/2)*EX173+(1-EXP(-LN(2)/2))/(LN(2)/2)*ER174*EU174*VLOOKUP('Données projet'!$B$15,Paramètres!$A$1:$I$89,3,0)*0.475*44/12</f>
        <v>2.064917440056748E-13</v>
      </c>
      <c r="EY174" s="22">
        <f t="shared" si="181"/>
        <v>39.376941052642238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69.66140734274326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3.4106051316484809E-13</v>
      </c>
      <c r="FF174" s="17">
        <f>FE174*VLOOKUP('Données projet'!$B$16,Paramètres!$A$1:$I$89,3,0)*VLOOKUP('Données projet'!$B$16,Paramètres!$A$1:$I$89,5,0)</f>
        <v>1.5074874681886286E-13</v>
      </c>
      <c r="FG174" s="13">
        <f t="shared" si="182"/>
        <v>2.1590218794584103E-12</v>
      </c>
      <c r="FH174" s="20">
        <f t="shared" si="183"/>
        <v>4.0228505074329168E-12</v>
      </c>
      <c r="FI174" s="59">
        <f t="shared" si="131"/>
        <v>292.09182692339596</v>
      </c>
      <c r="FJ174" s="59">
        <f ca="1">AVERAGE(OFFSET($FI$3,0,0,'Données projet'!$E$16+1,1))-AVERAGE(OFFSET($H$3,0,0,'Données projet'!$E$16+1,1))</f>
        <v>508.71179785154317</v>
      </c>
      <c r="FK174" s="59">
        <f t="shared" si="156"/>
        <v>422.73937290731442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45.8323727962552</v>
      </c>
      <c r="FR174" s="21">
        <f>EXP(-LN(2)/25)*FR173+(1-EXP(-LN(2)/25))/(LN(2)/25)*Calculateur!FM174*Calculateur!FO174*VLOOKUP('Données projet'!$B$16,Paramètres!$A$1:$I$89,3,0)*0.475*44/12</f>
        <v>5.4587234260776816</v>
      </c>
      <c r="FS174" s="21">
        <f>EXP(-LN(2)/2)*FS173+(1-EXP(-LN(2)/2))/(LN(2)/2)*FM174*FP174*VLOOKUP('Données projet'!$B$16,Paramètres!$A$1:$I$89,3,0)*0.475*44/12</f>
        <v>8.6556362427403216E-13</v>
      </c>
      <c r="FT174" s="22">
        <f t="shared" si="184"/>
        <v>51.291096222333749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69.66140734274326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69.66140734274326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1.35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4.95</v>
      </c>
      <c r="H175" s="67">
        <f t="shared" si="110"/>
        <v>236.86666666666665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69.667281168366884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5.6843418860808015E-14</v>
      </c>
      <c r="O175" s="13">
        <f>N175*VLOOKUP('Données projet'!$B$9,Paramètres!$A$1:$I$89,3,0)*VLOOKUP('Données projet'!$B$9,Paramètres!$A$1:$I$89,5,0)</f>
        <v>5.1431925385259088E-14</v>
      </c>
      <c r="P175" s="13">
        <f t="shared" si="141"/>
        <v>8.3482866290946129E-13</v>
      </c>
      <c r="Q175" s="20">
        <f t="shared" si="162"/>
        <v>1.5435705246133045E-12</v>
      </c>
      <c r="R175" s="59">
        <f t="shared" si="109"/>
        <v>292.11336428401341</v>
      </c>
      <c r="S175" s="59">
        <f ca="1">AVERAGE(OFFSET($R$3,0,0,'Données projet'!$E$9+1,1))-AVERAGE(OFFSET($H$3,0,0,'Données projet'!$E$9+1,1))</f>
        <v>466.90449882701591</v>
      </c>
      <c r="T175" s="59">
        <f t="shared" si="142"/>
        <v>283.37641704892053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66.748196012123728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66.748196012123728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69.667281168366884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-4.5474735088646412E-13</v>
      </c>
      <c r="AJ175" s="13">
        <f>AI175*VLOOKUP('Données projet'!$B$10,Paramètres!$A$1:$I$89,3,0)*VLOOKUP('Données projet'!$B$10,Paramètres!$A$1:$I$89,5,0)</f>
        <v>-4.3273757910355926E-13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399.5572791581468</v>
      </c>
      <c r="AO175" s="59">
        <f t="shared" si="144"/>
        <v>246.34185986079777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46.711926115194004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46.711926115194004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69.667281168366884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5.6843418860808015E-14</v>
      </c>
      <c r="BE175" s="13">
        <f>BD175*VLOOKUP('Données projet'!$B$11,Paramètres!$A$1:$I$89,3,0)*VLOOKUP('Données projet'!$B$11,Paramètres!$A$1:$I$89,5,0)</f>
        <v>4.4337866711430253E-14</v>
      </c>
      <c r="BF175" s="13">
        <f t="shared" si="167"/>
        <v>7.3222115536967035E-13</v>
      </c>
      <c r="BG175" s="20">
        <f t="shared" si="168"/>
        <v>1.3525069634579169E-12</v>
      </c>
      <c r="BH175" s="59">
        <f t="shared" si="116"/>
        <v>292.11336428401324</v>
      </c>
      <c r="BI175" s="59">
        <f ca="1">AVERAGE(OFFSET($BH$3,0,0,'Données projet'!$E$11+1,1))-AVERAGE(OFFSET($H$3,0,0,'Données projet'!$E$11+1,1))</f>
        <v>294.23449029791681</v>
      </c>
      <c r="BJ175" s="59">
        <f t="shared" si="146"/>
        <v>288.64639202306159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12.235039581519493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12.235039581519493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69.667281168366884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-4.5474735088646412E-13</v>
      </c>
      <c r="BZ175" s="13">
        <f>BY175*VLOOKUP('Données projet'!$B$12,Paramètres!$A$1:$I$89,3,0)*VLOOKUP('Données projet'!$B$12,Paramètres!$A$1:$I$89,5,0)</f>
        <v>-4.8949004849418999E-13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445.38112098358147</v>
      </c>
      <c r="CE175" s="59">
        <f t="shared" si="148"/>
        <v>272.45883568548516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52.838080359809638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52.838080359809638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69.667281168366884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-4.5474735088646412E-13</v>
      </c>
      <c r="CU175" s="17">
        <f>CT175*VLOOKUP('Données projet'!$B$13,Paramètres!$A$1:$I$89,3,0)*VLOOKUP('Données projet'!$B$13,Paramètres!$A$1:$I$89,5,0)</f>
        <v>-4.8949004849418999E-13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445.38112098358147</v>
      </c>
      <c r="CZ175" s="59">
        <f t="shared" si="150"/>
        <v>272.45883568548516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52.838080359809638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52.838080359809638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69.667281168366884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-4.5474735088646412E-13</v>
      </c>
      <c r="DP175" s="17">
        <f>DO175*VLOOKUP('Données projet'!$B$14,Paramètres!$A$1:$I$89,3,0)*VLOOKUP('Données projet'!$B$14,Paramètres!$A$1:$I$89,5,0)</f>
        <v>-4.3983163777738812E-13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405.29179902613089</v>
      </c>
      <c r="DU175" s="59">
        <f t="shared" si="152"/>
        <v>249.61049717638238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47.477695395770986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47.477695395770986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69.667281168366884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-5.6843418860808015E-13</v>
      </c>
      <c r="EK175" s="17">
        <f>EJ175*VLOOKUP('Données projet'!$B$15,Paramètres!$A$1:$I$89,3,0)*VLOOKUP('Données projet'!$B$15,Paramètres!$A$1:$I$89,5,0)</f>
        <v>-3.39923644787632E-13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444.77624981561257</v>
      </c>
      <c r="EP175" s="59">
        <f t="shared" si="154"/>
        <v>382.10319641527587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35.33842476709561</v>
      </c>
      <c r="EW175" s="21">
        <f>EXP(-LN(2)/25)*EW174+(1-EXP(-LN(2)/25))/(LN(2)/25)*Calculateur!ER175*Calculateur!ET175*VLOOKUP('Données projet'!$B$15,Paramètres!$A$1:$I$89,3,0)*0.475*44/12</f>
        <v>3.2405856524961347</v>
      </c>
      <c r="EX175" s="21">
        <f>EXP(-LN(2)/2)*EX174+(1-EXP(-LN(2)/2))/(LN(2)/2)*ER175*EU175*VLOOKUP('Données projet'!$B$15,Paramètres!$A$1:$I$89,3,0)*0.475*44/12</f>
        <v>1.4601171244544928E-13</v>
      </c>
      <c r="EY175" s="22">
        <f t="shared" si="181"/>
        <v>38.579010419591896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69.667281168366884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3.4106051316484809E-13</v>
      </c>
      <c r="FF175" s="17">
        <f>FE175*VLOOKUP('Données projet'!$B$16,Paramètres!$A$1:$I$89,3,0)*VLOOKUP('Données projet'!$B$16,Paramètres!$A$1:$I$89,5,0)</f>
        <v>1.5074874681886286E-13</v>
      </c>
      <c r="FG175" s="13">
        <f t="shared" si="182"/>
        <v>2.1590218794584103E-12</v>
      </c>
      <c r="FH175" s="20">
        <f t="shared" si="183"/>
        <v>4.0228505074329168E-12</v>
      </c>
      <c r="FI175" s="59">
        <f t="shared" si="131"/>
        <v>292.11336428401592</v>
      </c>
      <c r="FJ175" s="59">
        <f ca="1">AVERAGE(OFFSET($FI$3,0,0,'Données projet'!$E$16+1,1))-AVERAGE(OFFSET($H$3,0,0,'Données projet'!$E$16+1,1))</f>
        <v>508.71179785154317</v>
      </c>
      <c r="FK175" s="59">
        <f t="shared" si="156"/>
        <v>422.73937290731442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44.933627920707714</v>
      </c>
      <c r="FR175" s="21">
        <f>EXP(-LN(2)/25)*FR174+(1-EXP(-LN(2)/25))/(LN(2)/25)*Calculateur!FM175*Calculateur!FO175*VLOOKUP('Données projet'!$B$16,Paramètres!$A$1:$I$89,3,0)*0.475*44/12</f>
        <v>5.3094543469297983</v>
      </c>
      <c r="FS175" s="21">
        <f>EXP(-LN(2)/2)*FS174+(1-EXP(-LN(2)/2))/(LN(2)/2)*FM175*FP175*VLOOKUP('Données projet'!$B$16,Paramètres!$A$1:$I$89,3,0)*0.475*44/12</f>
        <v>6.1204590827257308E-13</v>
      </c>
      <c r="FT175" s="22">
        <f t="shared" si="184"/>
        <v>50.243082267638123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69.667281168366884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69.667281168366884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1.35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4.95</v>
      </c>
      <c r="H176" s="67">
        <f t="shared" si="110"/>
        <v>236.86666666666665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69.673053096247841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5.6843418860808015E-14</v>
      </c>
      <c r="O176" s="13">
        <f>N176*VLOOKUP('Données projet'!$B$9,Paramètres!$A$1:$I$89,3,0)*VLOOKUP('Données projet'!$B$9,Paramètres!$A$1:$I$89,5,0)</f>
        <v>5.1431925385259088E-14</v>
      </c>
      <c r="P176" s="13">
        <f t="shared" si="141"/>
        <v>8.3482866290946129E-13</v>
      </c>
      <c r="Q176" s="20">
        <f t="shared" si="162"/>
        <v>1.5435705246133045E-12</v>
      </c>
      <c r="R176" s="59">
        <f t="shared" si="109"/>
        <v>292.13452801957692</v>
      </c>
      <c r="S176" s="59">
        <f ca="1">AVERAGE(OFFSET($R$3,0,0,'Données projet'!$E$9+1,1))-AVERAGE(OFFSET($H$3,0,0,'Données projet'!$E$9+1,1))</f>
        <v>466.90449882701591</v>
      </c>
      <c r="T176" s="59">
        <f t="shared" si="142"/>
        <v>283.37641704892053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65.43930460070554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65.43930460070554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69.673053096247841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-4.5474735088646412E-13</v>
      </c>
      <c r="AJ176" s="13">
        <f>AI176*VLOOKUP('Données projet'!$B$10,Paramètres!$A$1:$I$89,3,0)*VLOOKUP('Données projet'!$B$10,Paramètres!$A$1:$I$89,5,0)</f>
        <v>-4.3273757910355926E-13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399.5572791581468</v>
      </c>
      <c r="AO176" s="59">
        <f t="shared" si="144"/>
        <v>246.34185986079777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45.795933735536678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45.795933735536678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69.673053096247841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5.6843418860808015E-14</v>
      </c>
      <c r="BE176" s="13">
        <f>BD176*VLOOKUP('Données projet'!$B$11,Paramètres!$A$1:$I$89,3,0)*VLOOKUP('Données projet'!$B$11,Paramètres!$A$1:$I$89,5,0)</f>
        <v>4.4337866711430253E-14</v>
      </c>
      <c r="BF176" s="13">
        <f t="shared" si="167"/>
        <v>7.3222115536967035E-13</v>
      </c>
      <c r="BG176" s="20">
        <f t="shared" si="168"/>
        <v>1.3525069634579169E-12</v>
      </c>
      <c r="BH176" s="59">
        <f t="shared" si="116"/>
        <v>292.13452801957675</v>
      </c>
      <c r="BI176" s="59">
        <f ca="1">AVERAGE(OFFSET($BH$3,0,0,'Données projet'!$E$11+1,1))-AVERAGE(OFFSET($H$3,0,0,'Données projet'!$E$11+1,1))</f>
        <v>294.23449029791681</v>
      </c>
      <c r="BJ176" s="59">
        <f t="shared" si="146"/>
        <v>288.64639202306159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11.995117917963166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11.995117917963166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69.673053096247841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-4.5474735088646412E-13</v>
      </c>
      <c r="BZ176" s="13">
        <f>BY176*VLOOKUP('Données projet'!$B$12,Paramètres!$A$1:$I$89,3,0)*VLOOKUP('Données projet'!$B$12,Paramètres!$A$1:$I$89,5,0)</f>
        <v>-4.8949004849418999E-13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445.38112098358147</v>
      </c>
      <c r="CE176" s="59">
        <f t="shared" si="148"/>
        <v>272.45883568548516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51.801957832000532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51.801957832000532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69.673053096247841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-4.5474735088646412E-13</v>
      </c>
      <c r="CU176" s="17">
        <f>CT176*VLOOKUP('Données projet'!$B$13,Paramètres!$A$1:$I$89,3,0)*VLOOKUP('Données projet'!$B$13,Paramètres!$A$1:$I$89,5,0)</f>
        <v>-4.8949004849418999E-13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445.38112098358147</v>
      </c>
      <c r="CZ176" s="59">
        <f t="shared" si="150"/>
        <v>272.45883568548516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51.801957832000532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51.801957832000532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69.673053096247841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-4.5474735088646412E-13</v>
      </c>
      <c r="DP176" s="17">
        <f>DO176*VLOOKUP('Données projet'!$B$14,Paramètres!$A$1:$I$89,3,0)*VLOOKUP('Données projet'!$B$14,Paramètres!$A$1:$I$89,5,0)</f>
        <v>-4.3983163777738812E-13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405.29179902613089</v>
      </c>
      <c r="DU176" s="59">
        <f t="shared" si="152"/>
        <v>249.61049717638238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46.546686747594691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46.546686747594691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69.673053096247841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-5.6843418860808015E-13</v>
      </c>
      <c r="EK176" s="17">
        <f>EJ176*VLOOKUP('Données projet'!$B$15,Paramètres!$A$1:$I$89,3,0)*VLOOKUP('Données projet'!$B$15,Paramètres!$A$1:$I$89,5,0)</f>
        <v>-3.39923644787632E-13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444.77624981561257</v>
      </c>
      <c r="EP176" s="59">
        <f t="shared" si="154"/>
        <v>382.10319641527587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34.645459811723661</v>
      </c>
      <c r="EW176" s="21">
        <f>EXP(-LN(2)/25)*EW175+(1-EXP(-LN(2)/25))/(LN(2)/25)*Calculateur!ER176*Calculateur!ET176*VLOOKUP('Données projet'!$B$15,Paramètres!$A$1:$I$89,3,0)*0.475*44/12</f>
        <v>3.1519716674136351</v>
      </c>
      <c r="EX176" s="21">
        <f>EXP(-LN(2)/2)*EX175+(1-EXP(-LN(2)/2))/(LN(2)/2)*ER176*EU176*VLOOKUP('Données projet'!$B$15,Paramètres!$A$1:$I$89,3,0)*0.475*44/12</f>
        <v>1.032458720028374E-13</v>
      </c>
      <c r="EY176" s="22">
        <f t="shared" si="181"/>
        <v>37.797431479137401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69.673053096247841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3.4106051316484809E-13</v>
      </c>
      <c r="FF176" s="17">
        <f>FE176*VLOOKUP('Données projet'!$B$16,Paramètres!$A$1:$I$89,3,0)*VLOOKUP('Données projet'!$B$16,Paramètres!$A$1:$I$89,5,0)</f>
        <v>1.5074874681886286E-13</v>
      </c>
      <c r="FG176" s="13">
        <f t="shared" si="182"/>
        <v>2.1590218794584103E-12</v>
      </c>
      <c r="FH176" s="20">
        <f t="shared" si="183"/>
        <v>4.0228505074329168E-12</v>
      </c>
      <c r="FI176" s="59">
        <f t="shared" si="131"/>
        <v>292.13452801957942</v>
      </c>
      <c r="FJ176" s="59">
        <f ca="1">AVERAGE(OFFSET($FI$3,0,0,'Données projet'!$E$16+1,1))-AVERAGE(OFFSET($H$3,0,0,'Données projet'!$E$16+1,1))</f>
        <v>508.71179785154317</v>
      </c>
      <c r="FK176" s="59">
        <f t="shared" si="156"/>
        <v>422.73937290731442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44.052506883989473</v>
      </c>
      <c r="FR176" s="21">
        <f>EXP(-LN(2)/25)*FR175+(1-EXP(-LN(2)/25))/(LN(2)/25)*Calculateur!FM176*Calculateur!FO176*VLOOKUP('Données projet'!$B$16,Paramètres!$A$1:$I$89,3,0)*0.475*44/12</f>
        <v>5.1642670386009337</v>
      </c>
      <c r="FS176" s="21">
        <f>EXP(-LN(2)/2)*FS175+(1-EXP(-LN(2)/2))/(LN(2)/2)*FM176*FP176*VLOOKUP('Données projet'!$B$16,Paramètres!$A$1:$I$89,3,0)*0.475*44/12</f>
        <v>4.3278181213701608E-13</v>
      </c>
      <c r="FT176" s="22">
        <f t="shared" si="184"/>
        <v>49.216773922590839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69.673053096247841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69.673053096247841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1.35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4.95</v>
      </c>
      <c r="H177" s="67">
        <f t="shared" si="110"/>
        <v>236.86666666666665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69.678724894084169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5.6843418860808015E-14</v>
      </c>
      <c r="O177" s="13">
        <f>N177*VLOOKUP('Données projet'!$B$9,Paramètres!$A$1:$I$89,3,0)*VLOOKUP('Données projet'!$B$9,Paramètres!$A$1:$I$89,5,0)</f>
        <v>5.1431925385259088E-14</v>
      </c>
      <c r="P177" s="13">
        <f t="shared" si="141"/>
        <v>8.3482866290946129E-13</v>
      </c>
      <c r="Q177" s="20">
        <f t="shared" si="162"/>
        <v>1.5435705246133045E-12</v>
      </c>
      <c r="R177" s="59">
        <f t="shared" si="109"/>
        <v>292.15532461164349</v>
      </c>
      <c r="S177" s="59">
        <f ca="1">AVERAGE(OFFSET($R$3,0,0,'Données projet'!$E$9+1,1))-AVERAGE(OFFSET($H$3,0,0,'Données projet'!$E$9+1,1))</f>
        <v>466.90449882701591</v>
      </c>
      <c r="T177" s="59">
        <f t="shared" si="142"/>
        <v>283.37641704892053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64.156079751520323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64.156079751520323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69.678724894084169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-4.5474735088646412E-13</v>
      </c>
      <c r="AJ177" s="13">
        <f>AI177*VLOOKUP('Données projet'!$B$10,Paramètres!$A$1:$I$89,3,0)*VLOOKUP('Données projet'!$B$10,Paramètres!$A$1:$I$89,5,0)</f>
        <v>-4.3273757910355926E-13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399.5572791581468</v>
      </c>
      <c r="AO177" s="59">
        <f t="shared" si="144"/>
        <v>246.34185986079777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44.897903407744252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44.897903407744252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69.678724894084169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5.6843418860808015E-14</v>
      </c>
      <c r="BE177" s="13">
        <f>BD177*VLOOKUP('Données projet'!$B$11,Paramètres!$A$1:$I$89,3,0)*VLOOKUP('Données projet'!$B$11,Paramètres!$A$1:$I$89,5,0)</f>
        <v>4.4337866711430253E-14</v>
      </c>
      <c r="BF177" s="13">
        <f t="shared" si="167"/>
        <v>7.3222115536967035E-13</v>
      </c>
      <c r="BG177" s="20">
        <f t="shared" si="168"/>
        <v>1.3525069634579169E-12</v>
      </c>
      <c r="BH177" s="59">
        <f t="shared" si="116"/>
        <v>292.15532461164332</v>
      </c>
      <c r="BI177" s="59">
        <f ca="1">AVERAGE(OFFSET($BH$3,0,0,'Données projet'!$E$11+1,1))-AVERAGE(OFFSET($H$3,0,0,'Données projet'!$E$11+1,1))</f>
        <v>294.23449029791681</v>
      </c>
      <c r="BJ177" s="59">
        <f t="shared" si="146"/>
        <v>288.64639202306159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11.759900971891414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11.759900971891414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69.678724894084169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-4.5474735088646412E-13</v>
      </c>
      <c r="BZ177" s="13">
        <f>BY177*VLOOKUP('Données projet'!$B$12,Paramètres!$A$1:$I$89,3,0)*VLOOKUP('Données projet'!$B$12,Paramètres!$A$1:$I$89,5,0)</f>
        <v>-4.8949004849418999E-13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445.38112098358147</v>
      </c>
      <c r="CE177" s="59">
        <f t="shared" si="148"/>
        <v>272.45883568548516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50.786153034989425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50.786153034989425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69.678724894084169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-4.5474735088646412E-13</v>
      </c>
      <c r="CU177" s="17">
        <f>CT177*VLOOKUP('Données projet'!$B$13,Paramètres!$A$1:$I$89,3,0)*VLOOKUP('Données projet'!$B$13,Paramètres!$A$1:$I$89,5,0)</f>
        <v>-4.8949004849418999E-13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445.38112098358147</v>
      </c>
      <c r="CZ177" s="59">
        <f t="shared" si="150"/>
        <v>272.45883568548516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50.786153034989425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50.786153034989425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69.678724894084169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-4.5474735088646412E-13</v>
      </c>
      <c r="DP177" s="17">
        <f>DO177*VLOOKUP('Données projet'!$B$14,Paramètres!$A$1:$I$89,3,0)*VLOOKUP('Données projet'!$B$14,Paramètres!$A$1:$I$89,5,0)</f>
        <v>-4.3983163777738812E-13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405.29179902613089</v>
      </c>
      <c r="DU177" s="59">
        <f t="shared" si="152"/>
        <v>249.61049717638238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45.633934611149932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45.633934611149932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69.678724894084169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-5.6843418860808015E-13</v>
      </c>
      <c r="EK177" s="17">
        <f>EJ177*VLOOKUP('Données projet'!$B$15,Paramètres!$A$1:$I$89,3,0)*VLOOKUP('Données projet'!$B$15,Paramètres!$A$1:$I$89,5,0)</f>
        <v>-3.39923644787632E-13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444.77624981561257</v>
      </c>
      <c r="EP177" s="59">
        <f t="shared" si="154"/>
        <v>382.10319641527587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33.966083476459666</v>
      </c>
      <c r="EW177" s="21">
        <f>EXP(-LN(2)/25)*EW176+(1-EXP(-LN(2)/25))/(LN(2)/25)*Calculateur!ER177*Calculateur!ET177*VLOOKUP('Données projet'!$B$15,Paramètres!$A$1:$I$89,3,0)*0.475*44/12</f>
        <v>3.0657808364132233</v>
      </c>
      <c r="EX177" s="21">
        <f>EXP(-LN(2)/2)*EX176+(1-EXP(-LN(2)/2))/(LN(2)/2)*ER177*EU177*VLOOKUP('Données projet'!$B$15,Paramètres!$A$1:$I$89,3,0)*0.475*44/12</f>
        <v>7.3005856222724638E-14</v>
      </c>
      <c r="EY177" s="22">
        <f t="shared" si="181"/>
        <v>37.031864312872962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69.678724894084169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3.4106051316484809E-13</v>
      </c>
      <c r="FF177" s="17">
        <f>FE177*VLOOKUP('Données projet'!$B$16,Paramètres!$A$1:$I$89,3,0)*VLOOKUP('Données projet'!$B$16,Paramètres!$A$1:$I$89,5,0)</f>
        <v>1.5074874681886286E-13</v>
      </c>
      <c r="FG177" s="13">
        <f t="shared" si="182"/>
        <v>2.1590218794584103E-12</v>
      </c>
      <c r="FH177" s="20">
        <f t="shared" si="183"/>
        <v>4.0228505074329168E-12</v>
      </c>
      <c r="FI177" s="59">
        <f t="shared" si="131"/>
        <v>292.15532461164599</v>
      </c>
      <c r="FJ177" s="59">
        <f ca="1">AVERAGE(OFFSET($FI$3,0,0,'Données projet'!$E$16+1,1))-AVERAGE(OFFSET($H$3,0,0,'Données projet'!$E$16+1,1))</f>
        <v>508.71179785154317</v>
      </c>
      <c r="FK177" s="59">
        <f t="shared" si="156"/>
        <v>422.73937290731442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43.188664093370505</v>
      </c>
      <c r="FR177" s="21">
        <f>EXP(-LN(2)/25)*FR176+(1-EXP(-LN(2)/25))/(LN(2)/25)*Calculateur!FM177*Calculateur!FO177*VLOOKUP('Données projet'!$B$16,Paramètres!$A$1:$I$89,3,0)*0.475*44/12</f>
        <v>5.0230498848533909</v>
      </c>
      <c r="FS177" s="21">
        <f>EXP(-LN(2)/2)*FS176+(1-EXP(-LN(2)/2))/(LN(2)/2)*FM177*FP177*VLOOKUP('Données projet'!$B$16,Paramètres!$A$1:$I$89,3,0)*0.475*44/12</f>
        <v>3.0602295413628654E-13</v>
      </c>
      <c r="FT177" s="22">
        <f t="shared" si="184"/>
        <v>48.211713978224203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69.678724894084169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69.678724894084169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1.35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4.95</v>
      </c>
      <c r="H178" s="67">
        <f t="shared" si="110"/>
        <v>236.86666666666665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69.684298298908274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5.6843418860808015E-14</v>
      </c>
      <c r="O178" s="13">
        <f>N178*VLOOKUP('Données projet'!$B$9,Paramètres!$A$1:$I$89,3,0)*VLOOKUP('Données projet'!$B$9,Paramètres!$A$1:$I$89,5,0)</f>
        <v>5.1431925385259088E-14</v>
      </c>
      <c r="P178" s="13">
        <f t="shared" si="141"/>
        <v>8.3482866290946129E-13</v>
      </c>
      <c r="Q178" s="20">
        <f t="shared" si="162"/>
        <v>1.5435705246133045E-12</v>
      </c>
      <c r="R178" s="59">
        <f t="shared" si="109"/>
        <v>292.17576042933189</v>
      </c>
      <c r="S178" s="59">
        <f ca="1">AVERAGE(OFFSET($R$3,0,0,'Données projet'!$E$9+1,1))-AVERAGE(OFFSET($H$3,0,0,'Données projet'!$E$9+1,1))</f>
        <v>466.90449882701591</v>
      </c>
      <c r="T178" s="59">
        <f t="shared" si="142"/>
        <v>283.37641704892053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62.898018158937759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62.898018158937759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69.684298298908274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-4.5474735088646412E-13</v>
      </c>
      <c r="AJ178" s="13">
        <f>AI178*VLOOKUP('Données projet'!$B$10,Paramètres!$A$1:$I$89,3,0)*VLOOKUP('Données projet'!$B$10,Paramètres!$A$1:$I$89,5,0)</f>
        <v>-4.3273757910355926E-13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399.5572791581468</v>
      </c>
      <c r="AO178" s="59">
        <f t="shared" si="144"/>
        <v>246.34185986079777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44.01748290693542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44.01748290693542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69.684298298908274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5.6843418860808015E-14</v>
      </c>
      <c r="BE178" s="13">
        <f>BD178*VLOOKUP('Données projet'!$B$11,Paramètres!$A$1:$I$89,3,0)*VLOOKUP('Données projet'!$B$11,Paramètres!$A$1:$I$89,5,0)</f>
        <v>4.4337866711430253E-14</v>
      </c>
      <c r="BF178" s="13">
        <f t="shared" si="167"/>
        <v>7.3222115536967035E-13</v>
      </c>
      <c r="BG178" s="20">
        <f t="shared" si="168"/>
        <v>1.3525069634579169E-12</v>
      </c>
      <c r="BH178" s="59">
        <f t="shared" si="116"/>
        <v>292.17576042933172</v>
      </c>
      <c r="BI178" s="59">
        <f ca="1">AVERAGE(OFFSET($BH$3,0,0,'Données projet'!$E$11+1,1))-AVERAGE(OFFSET($H$3,0,0,'Données projet'!$E$11+1,1))</f>
        <v>294.23449029791681</v>
      </c>
      <c r="BJ178" s="59">
        <f t="shared" si="146"/>
        <v>288.64639202306159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11.529296486663958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11.529296486663958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69.684298298908274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-4.5474735088646412E-13</v>
      </c>
      <c r="BZ178" s="13">
        <f>BY178*VLOOKUP('Données projet'!$B$12,Paramètres!$A$1:$I$89,3,0)*VLOOKUP('Données projet'!$B$12,Paramètres!$A$1:$I$89,5,0)</f>
        <v>-4.8949004849418999E-13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445.38112098358147</v>
      </c>
      <c r="CE178" s="59">
        <f t="shared" si="148"/>
        <v>272.45883568548516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49.790267550467959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49.790267550467959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69.684298298908274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-4.5474735088646412E-13</v>
      </c>
      <c r="CU178" s="17">
        <f>CT178*VLOOKUP('Données projet'!$B$13,Paramètres!$A$1:$I$89,3,0)*VLOOKUP('Données projet'!$B$13,Paramètres!$A$1:$I$89,5,0)</f>
        <v>-4.8949004849418999E-13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445.38112098358147</v>
      </c>
      <c r="CZ178" s="59">
        <f t="shared" si="150"/>
        <v>272.45883568548516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49.790267550467959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49.790267550467959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69.684298298908274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-4.5474735088646412E-13</v>
      </c>
      <c r="DP178" s="17">
        <f>DO178*VLOOKUP('Données projet'!$B$14,Paramètres!$A$1:$I$89,3,0)*VLOOKUP('Données projet'!$B$14,Paramètres!$A$1:$I$89,5,0)</f>
        <v>-4.3983163777738812E-13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405.29179902613089</v>
      </c>
      <c r="DU178" s="59">
        <f t="shared" si="152"/>
        <v>249.61049717638238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44.739080987377022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44.739080987377022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69.684298298908274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-5.6843418860808015E-13</v>
      </c>
      <c r="EK178" s="17">
        <f>EJ178*VLOOKUP('Données projet'!$B$15,Paramètres!$A$1:$I$89,3,0)*VLOOKUP('Données projet'!$B$15,Paramètres!$A$1:$I$89,5,0)</f>
        <v>-3.39923644787632E-13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444.77624981561257</v>
      </c>
      <c r="EP178" s="59">
        <f t="shared" si="154"/>
        <v>382.10319641527587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33.300029296751553</v>
      </c>
      <c r="EW178" s="21">
        <f>EXP(-LN(2)/25)*EW177+(1-EXP(-LN(2)/25))/(LN(2)/25)*Calculateur!ER178*Calculateur!ET178*VLOOKUP('Données projet'!$B$15,Paramètres!$A$1:$I$89,3,0)*0.475*44/12</f>
        <v>2.9819468982190966</v>
      </c>
      <c r="EX178" s="21">
        <f>EXP(-LN(2)/2)*EX177+(1-EXP(-LN(2)/2))/(LN(2)/2)*ER178*EU178*VLOOKUP('Données projet'!$B$15,Paramètres!$A$1:$I$89,3,0)*0.475*44/12</f>
        <v>5.16229360014187E-14</v>
      </c>
      <c r="EY178" s="22">
        <f t="shared" si="181"/>
        <v>36.281976194970703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69.684298298908274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3.4106051316484809E-13</v>
      </c>
      <c r="FF178" s="17">
        <f>FE178*VLOOKUP('Données projet'!$B$16,Paramètres!$A$1:$I$89,3,0)*VLOOKUP('Données projet'!$B$16,Paramètres!$A$1:$I$89,5,0)</f>
        <v>1.5074874681886286E-13</v>
      </c>
      <c r="FG178" s="13">
        <f t="shared" si="182"/>
        <v>2.1590218794584103E-12</v>
      </c>
      <c r="FH178" s="20">
        <f t="shared" si="183"/>
        <v>4.0228505074329168E-12</v>
      </c>
      <c r="FI178" s="59">
        <f t="shared" si="131"/>
        <v>292.17576042933439</v>
      </c>
      <c r="FJ178" s="59">
        <f ca="1">AVERAGE(OFFSET($FI$3,0,0,'Données projet'!$E$16+1,1))-AVERAGE(OFFSET($H$3,0,0,'Données projet'!$E$16+1,1))</f>
        <v>508.71179785154317</v>
      </c>
      <c r="FK178" s="59">
        <f t="shared" si="156"/>
        <v>422.73937290731442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42.341760732983502</v>
      </c>
      <c r="FR178" s="21">
        <f>EXP(-LN(2)/25)*FR177+(1-EXP(-LN(2)/25))/(LN(2)/25)*Calculateur!FM178*Calculateur!FO178*VLOOKUP('Données projet'!$B$16,Paramètres!$A$1:$I$89,3,0)*0.475*44/12</f>
        <v>4.8856943216013615</v>
      </c>
      <c r="FS178" s="21">
        <f>EXP(-LN(2)/2)*FS177+(1-EXP(-LN(2)/2))/(LN(2)/2)*FM178*FP178*VLOOKUP('Données projet'!$B$16,Paramètres!$A$1:$I$89,3,0)*0.475*44/12</f>
        <v>2.1639090606850804E-13</v>
      </c>
      <c r="FT178" s="22">
        <f t="shared" si="184"/>
        <v>47.227455054585079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69.684298298908274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69.684298298908274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1.35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4.95</v>
      </c>
      <c r="H179" s="67">
        <f t="shared" si="110"/>
        <v>236.86666666666665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69.689775017618956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5.6843418860808015E-14</v>
      </c>
      <c r="O179" s="13">
        <f>N179*VLOOKUP('Données projet'!$B$9,Paramètres!$A$1:$I$89,3,0)*VLOOKUP('Données projet'!$B$9,Paramètres!$A$1:$I$89,5,0)</f>
        <v>5.1431925385259088E-14</v>
      </c>
      <c r="P179" s="13">
        <f t="shared" si="141"/>
        <v>8.3482866290946129E-13</v>
      </c>
      <c r="Q179" s="20">
        <f t="shared" si="162"/>
        <v>1.5435705246133045E-12</v>
      </c>
      <c r="R179" s="59">
        <f t="shared" si="109"/>
        <v>292.195841731271</v>
      </c>
      <c r="S179" s="59">
        <f ca="1">AVERAGE(OFFSET($R$3,0,0,'Données projet'!$E$9+1,1))-AVERAGE(OFFSET($H$3,0,0,'Données projet'!$E$9+1,1))</f>
        <v>466.90449882701591</v>
      </c>
      <c r="T179" s="59">
        <f t="shared" si="142"/>
        <v>283.37641704892053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61.664626386843935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61.664626386843935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69.689775017618956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-4.5474735088646412E-13</v>
      </c>
      <c r="AJ179" s="13">
        <f>AI179*VLOOKUP('Données projet'!$B$10,Paramètres!$A$1:$I$89,3,0)*VLOOKUP('Données projet'!$B$10,Paramètres!$A$1:$I$89,5,0)</f>
        <v>-4.3273757910355926E-13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399.5572791581468</v>
      </c>
      <c r="AO179" s="59">
        <f t="shared" si="144"/>
        <v>246.34185986079777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43.154326915143969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43.154326915143969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69.689775017618956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5.6843418860808015E-14</v>
      </c>
      <c r="BE179" s="13">
        <f>BD179*VLOOKUP('Données projet'!$B$11,Paramètres!$A$1:$I$89,3,0)*VLOOKUP('Données projet'!$B$11,Paramètres!$A$1:$I$89,5,0)</f>
        <v>4.4337866711430253E-14</v>
      </c>
      <c r="BF179" s="13">
        <f t="shared" si="167"/>
        <v>7.3222115536967035E-13</v>
      </c>
      <c r="BG179" s="20">
        <f t="shared" si="168"/>
        <v>1.3525069634579169E-12</v>
      </c>
      <c r="BH179" s="59">
        <f t="shared" si="116"/>
        <v>292.19584173127083</v>
      </c>
      <c r="BI179" s="59">
        <f ca="1">AVERAGE(OFFSET($BH$3,0,0,'Données projet'!$E$11+1,1))-AVERAGE(OFFSET($H$3,0,0,'Données projet'!$E$11+1,1))</f>
        <v>294.23449029791681</v>
      </c>
      <c r="BJ179" s="59">
        <f t="shared" si="146"/>
        <v>288.64639202306159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11.303214014736964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11.303214014736964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69.689775017618956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-4.5474735088646412E-13</v>
      </c>
      <c r="BZ179" s="13">
        <f>BY179*VLOOKUP('Données projet'!$B$12,Paramètres!$A$1:$I$89,3,0)*VLOOKUP('Données projet'!$B$12,Paramètres!$A$1:$I$89,5,0)</f>
        <v>-4.8949004849418999E-13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445.38112098358147</v>
      </c>
      <c r="CE179" s="59">
        <f t="shared" si="148"/>
        <v>272.45883568548516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48.813910772867793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48.813910772867793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69.689775017618956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-4.5474735088646412E-13</v>
      </c>
      <c r="CU179" s="17">
        <f>CT179*VLOOKUP('Données projet'!$B$13,Paramètres!$A$1:$I$89,3,0)*VLOOKUP('Données projet'!$B$13,Paramètres!$A$1:$I$89,5,0)</f>
        <v>-4.8949004849418999E-13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445.38112098358147</v>
      </c>
      <c r="CZ179" s="59">
        <f t="shared" si="150"/>
        <v>272.45883568548516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48.813910772867793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48.813910772867793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69.689775017618956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-4.5474735088646412E-13</v>
      </c>
      <c r="DP179" s="17">
        <f>DO179*VLOOKUP('Données projet'!$B$14,Paramètres!$A$1:$I$89,3,0)*VLOOKUP('Données projet'!$B$14,Paramètres!$A$1:$I$89,5,0)</f>
        <v>-4.3983163777738812E-13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405.29179902613089</v>
      </c>
      <c r="DU179" s="59">
        <f t="shared" si="152"/>
        <v>249.61049717638238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43.861774897359481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43.861774897359481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69.689775017618956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-5.6843418860808015E-13</v>
      </c>
      <c r="EK179" s="17">
        <f>EJ179*VLOOKUP('Données projet'!$B$15,Paramètres!$A$1:$I$89,3,0)*VLOOKUP('Données projet'!$B$15,Paramètres!$A$1:$I$89,5,0)</f>
        <v>-3.39923644787632E-13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444.77624981561257</v>
      </c>
      <c r="EP179" s="59">
        <f t="shared" si="154"/>
        <v>382.10319641527587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32.647036033254579</v>
      </c>
      <c r="EW179" s="21">
        <f>EXP(-LN(2)/25)*EW178+(1-EXP(-LN(2)/25))/(LN(2)/25)*Calculateur!ER179*Calculateur!ET179*VLOOKUP('Données projet'!$B$15,Paramètres!$A$1:$I$89,3,0)*0.475*44/12</f>
        <v>2.9004054034735236</v>
      </c>
      <c r="EX179" s="21">
        <f>EXP(-LN(2)/2)*EX178+(1-EXP(-LN(2)/2))/(LN(2)/2)*ER179*EU179*VLOOKUP('Données projet'!$B$15,Paramètres!$A$1:$I$89,3,0)*0.475*44/12</f>
        <v>3.6502928111362319E-14</v>
      </c>
      <c r="EY179" s="22">
        <f t="shared" si="181"/>
        <v>35.547441436728135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69.689775017618956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3.4106051316484809E-13</v>
      </c>
      <c r="FF179" s="17">
        <f>FE179*VLOOKUP('Données projet'!$B$16,Paramètres!$A$1:$I$89,3,0)*VLOOKUP('Données projet'!$B$16,Paramètres!$A$1:$I$89,5,0)</f>
        <v>1.5074874681886286E-13</v>
      </c>
      <c r="FG179" s="13">
        <f t="shared" si="182"/>
        <v>2.1590218794584103E-12</v>
      </c>
      <c r="FH179" s="20">
        <f t="shared" si="183"/>
        <v>4.0228505074329168E-12</v>
      </c>
      <c r="FI179" s="59">
        <f t="shared" si="131"/>
        <v>292.1958417312735</v>
      </c>
      <c r="FJ179" s="59">
        <f ca="1">AVERAGE(OFFSET($FI$3,0,0,'Données projet'!$E$16+1,1))-AVERAGE(OFFSET($H$3,0,0,'Données projet'!$E$16+1,1))</f>
        <v>508.71179785154317</v>
      </c>
      <c r="FK179" s="59">
        <f t="shared" si="156"/>
        <v>422.73937290731442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41.511464630933645</v>
      </c>
      <c r="FR179" s="21">
        <f>EXP(-LN(2)/25)*FR178+(1-EXP(-LN(2)/25))/(LN(2)/25)*Calculateur!FM179*Calculateur!FO179*VLOOKUP('Données projet'!$B$16,Paramètres!$A$1:$I$89,3,0)*0.475*44/12</f>
        <v>4.7520947534496747</v>
      </c>
      <c r="FS179" s="21">
        <f>EXP(-LN(2)/2)*FS178+(1-EXP(-LN(2)/2))/(LN(2)/2)*FM179*FP179*VLOOKUP('Données projet'!$B$16,Paramètres!$A$1:$I$89,3,0)*0.475*44/12</f>
        <v>1.5301147706814327E-13</v>
      </c>
      <c r="FT179" s="22">
        <f t="shared" si="184"/>
        <v>46.263559384383477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69.689775017618956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69.689775017618956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1.35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4.95</v>
      </c>
      <c r="H180" s="67">
        <f t="shared" si="110"/>
        <v>236.86666666666665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69.695156727504113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5.6843418860808015E-14</v>
      </c>
      <c r="O180" s="13">
        <f>N180*VLOOKUP('Données projet'!$B$9,Paramètres!$A$1:$I$89,3,0)*VLOOKUP('Données projet'!$B$9,Paramètres!$A$1:$I$89,5,0)</f>
        <v>5.1431925385259088E-14</v>
      </c>
      <c r="P180" s="13">
        <f t="shared" si="141"/>
        <v>8.3482866290946129E-13</v>
      </c>
      <c r="Q180" s="20">
        <f t="shared" si="162"/>
        <v>1.5435705246133045E-12</v>
      </c>
      <c r="R180" s="59">
        <f t="shared" si="109"/>
        <v>292.21557466751665</v>
      </c>
      <c r="S180" s="59">
        <f ca="1">AVERAGE(OFFSET($R$3,0,0,'Données projet'!$E$9+1,1))-AVERAGE(OFFSET($H$3,0,0,'Données projet'!$E$9+1,1))</f>
        <v>466.90449882701591</v>
      </c>
      <c r="T180" s="59">
        <f t="shared" si="142"/>
        <v>283.37641704892053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60.455420675106176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60.455420675106176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69.695156727504113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-4.5474735088646412E-13</v>
      </c>
      <c r="AJ180" s="13">
        <f>AI180*VLOOKUP('Données projet'!$B$10,Paramètres!$A$1:$I$89,3,0)*VLOOKUP('Données projet'!$B$10,Paramètres!$A$1:$I$89,5,0)</f>
        <v>-4.3273757910355926E-13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399.5572791581468</v>
      </c>
      <c r="AO180" s="59">
        <f t="shared" si="144"/>
        <v>246.34185986079777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42.308096885878378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42.308096885878378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69.695156727504113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5.6843418860808015E-14</v>
      </c>
      <c r="BE180" s="13">
        <f>BD180*VLOOKUP('Données projet'!$B$11,Paramètres!$A$1:$I$89,3,0)*VLOOKUP('Données projet'!$B$11,Paramètres!$A$1:$I$89,5,0)</f>
        <v>4.4337866711430253E-14</v>
      </c>
      <c r="BF180" s="13">
        <f t="shared" si="167"/>
        <v>7.3222115536967035E-13</v>
      </c>
      <c r="BG180" s="20">
        <f t="shared" si="168"/>
        <v>1.3525069634579169E-12</v>
      </c>
      <c r="BH180" s="59">
        <f t="shared" si="116"/>
        <v>292.21557466751648</v>
      </c>
      <c r="BI180" s="59">
        <f ca="1">AVERAGE(OFFSET($BH$3,0,0,'Données projet'!$E$11+1,1))-AVERAGE(OFFSET($H$3,0,0,'Données projet'!$E$11+1,1))</f>
        <v>294.23449029791681</v>
      </c>
      <c r="BJ180" s="59">
        <f t="shared" si="146"/>
        <v>288.64639202306159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11.081564882187768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11.081564882187768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69.695156727504113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-4.5474735088646412E-13</v>
      </c>
      <c r="BZ180" s="13">
        <f>BY180*VLOOKUP('Données projet'!$B$12,Paramètres!$A$1:$I$89,3,0)*VLOOKUP('Données projet'!$B$12,Paramètres!$A$1:$I$89,5,0)</f>
        <v>-4.8949004849418999E-13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445.38112098358147</v>
      </c>
      <c r="CE180" s="59">
        <f t="shared" si="148"/>
        <v>272.45883568548516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47.856699756157532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47.856699756157532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69.695156727504113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-4.5474735088646412E-13</v>
      </c>
      <c r="CU180" s="17">
        <f>CT180*VLOOKUP('Données projet'!$B$13,Paramètres!$A$1:$I$89,3,0)*VLOOKUP('Données projet'!$B$13,Paramètres!$A$1:$I$89,5,0)</f>
        <v>-4.8949004849418999E-13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445.38112098358147</v>
      </c>
      <c r="CZ180" s="59">
        <f t="shared" si="150"/>
        <v>272.45883568548516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47.856699756157532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47.856699756157532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69.695156727504113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-4.5474735088646412E-13</v>
      </c>
      <c r="DP180" s="17">
        <f>DO180*VLOOKUP('Données projet'!$B$14,Paramètres!$A$1:$I$89,3,0)*VLOOKUP('Données projet'!$B$14,Paramètres!$A$1:$I$89,5,0)</f>
        <v>-4.3983163777738812E-13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405.29179902613089</v>
      </c>
      <c r="DU180" s="59">
        <f t="shared" si="152"/>
        <v>249.61049717638238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43.001672244663304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43.001672244663304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69.695156727504113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-5.6843418860808015E-13</v>
      </c>
      <c r="EK180" s="17">
        <f>EJ180*VLOOKUP('Données projet'!$B$15,Paramètres!$A$1:$I$89,3,0)*VLOOKUP('Données projet'!$B$15,Paramètres!$A$1:$I$89,5,0)</f>
        <v>-3.39923644787632E-13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444.77624981561257</v>
      </c>
      <c r="EP180" s="59">
        <f t="shared" si="154"/>
        <v>382.10319641527587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32.006847569368219</v>
      </c>
      <c r="EW180" s="21">
        <f>EXP(-LN(2)/25)*EW179+(1-EXP(-LN(2)/25))/(LN(2)/25)*Calculateur!ER180*Calculateur!ET180*VLOOKUP('Données projet'!$B$15,Paramètres!$A$1:$I$89,3,0)*0.475*44/12</f>
        <v>2.8210936651898488</v>
      </c>
      <c r="EX180" s="21">
        <f>EXP(-LN(2)/2)*EX179+(1-EXP(-LN(2)/2))/(LN(2)/2)*ER180*EU180*VLOOKUP('Données projet'!$B$15,Paramètres!$A$1:$I$89,3,0)*0.475*44/12</f>
        <v>2.581146800070935E-14</v>
      </c>
      <c r="EY180" s="22">
        <f t="shared" si="181"/>
        <v>34.827941234558097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69.695156727504113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3.4106051316484809E-13</v>
      </c>
      <c r="FF180" s="17">
        <f>FE180*VLOOKUP('Données projet'!$B$16,Paramètres!$A$1:$I$89,3,0)*VLOOKUP('Données projet'!$B$16,Paramètres!$A$1:$I$89,5,0)</f>
        <v>1.5074874681886286E-13</v>
      </c>
      <c r="FG180" s="13">
        <f t="shared" si="182"/>
        <v>2.1590218794584103E-12</v>
      </c>
      <c r="FH180" s="20">
        <f t="shared" si="183"/>
        <v>4.0228505074329168E-12</v>
      </c>
      <c r="FI180" s="59">
        <f t="shared" si="131"/>
        <v>292.21557466751915</v>
      </c>
      <c r="FJ180" s="59">
        <f ca="1">AVERAGE(OFFSET($FI$3,0,0,'Données projet'!$E$16+1,1))-AVERAGE(OFFSET($H$3,0,0,'Données projet'!$E$16+1,1))</f>
        <v>508.71179785154317</v>
      </c>
      <c r="FK180" s="59">
        <f t="shared" si="156"/>
        <v>422.73937290731442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40.697450129014371</v>
      </c>
      <c r="FR180" s="21">
        <f>EXP(-LN(2)/25)*FR179+(1-EXP(-LN(2)/25))/(LN(2)/25)*Calculateur!FM180*Calculateur!FO180*VLOOKUP('Données projet'!$B$16,Paramètres!$A$1:$I$89,3,0)*0.475*44/12</f>
        <v>4.622148472514791</v>
      </c>
      <c r="FS180" s="21">
        <f>EXP(-LN(2)/2)*FS179+(1-EXP(-LN(2)/2))/(LN(2)/2)*FM180*FP180*VLOOKUP('Données projet'!$B$16,Paramètres!$A$1:$I$89,3,0)*0.475*44/12</f>
        <v>1.0819545303425402E-13</v>
      </c>
      <c r="FT180" s="22">
        <f t="shared" si="184"/>
        <v>45.319598601529272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69.695156727504113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69.695156727504113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1.35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4.95</v>
      </c>
      <c r="H181" s="67">
        <f t="shared" si="110"/>
        <v>236.86666666666665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69.700445076754448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5.6843418860808015E-14</v>
      </c>
      <c r="O181" s="13">
        <f>N181*VLOOKUP('Données projet'!$B$9,Paramètres!$A$1:$I$89,3,0)*VLOOKUP('Données projet'!$B$9,Paramètres!$A$1:$I$89,5,0)</f>
        <v>5.1431925385259088E-14</v>
      </c>
      <c r="P181" s="13">
        <f t="shared" si="141"/>
        <v>8.3482866290946129E-13</v>
      </c>
      <c r="Q181" s="20">
        <f t="shared" si="162"/>
        <v>1.5435705246133045E-12</v>
      </c>
      <c r="R181" s="59">
        <f t="shared" si="109"/>
        <v>292.23496528143448</v>
      </c>
      <c r="S181" s="59">
        <f ca="1">AVERAGE(OFFSET($R$3,0,0,'Données projet'!$E$9+1,1))-AVERAGE(OFFSET($H$3,0,0,'Données projet'!$E$9+1,1))</f>
        <v>466.90449882701591</v>
      </c>
      <c r="T181" s="59">
        <f t="shared" si="142"/>
        <v>283.37641704892053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59.269926749832933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59.269926749832933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69.700445076754448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-4.5474735088646412E-13</v>
      </c>
      <c r="AJ181" s="13">
        <f>AI181*VLOOKUP('Données projet'!$B$10,Paramètres!$A$1:$I$89,3,0)*VLOOKUP('Données projet'!$B$10,Paramètres!$A$1:$I$89,5,0)</f>
        <v>-4.3273757910355926E-13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399.5572791581468</v>
      </c>
      <c r="AO181" s="59">
        <f t="shared" si="144"/>
        <v>246.34185986079777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41.478460911337329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41.478460911337329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69.700445076754448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5.6843418860808015E-14</v>
      </c>
      <c r="BE181" s="13">
        <f>BD181*VLOOKUP('Données projet'!$B$11,Paramètres!$A$1:$I$89,3,0)*VLOOKUP('Données projet'!$B$11,Paramètres!$A$1:$I$89,5,0)</f>
        <v>4.4337866711430253E-14</v>
      </c>
      <c r="BF181" s="13">
        <f t="shared" si="167"/>
        <v>7.3222115536967035E-13</v>
      </c>
      <c r="BG181" s="20">
        <f t="shared" si="168"/>
        <v>1.3525069634579169E-12</v>
      </c>
      <c r="BH181" s="59">
        <f t="shared" si="116"/>
        <v>292.23496528143431</v>
      </c>
      <c r="BI181" s="59">
        <f ca="1">AVERAGE(OFFSET($BH$3,0,0,'Données projet'!$E$11+1,1))-AVERAGE(OFFSET($H$3,0,0,'Données projet'!$E$11+1,1))</f>
        <v>294.23449029791681</v>
      </c>
      <c r="BJ181" s="59">
        <f t="shared" si="146"/>
        <v>288.64639202306159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10.86426215393524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10.86426215393524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69.700445076754448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-4.5474735088646412E-13</v>
      </c>
      <c r="BZ181" s="13">
        <f>BY181*VLOOKUP('Données projet'!$B$12,Paramètres!$A$1:$I$89,3,0)*VLOOKUP('Données projet'!$B$12,Paramètres!$A$1:$I$89,5,0)</f>
        <v>-4.8949004849418999E-13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445.38112098358147</v>
      </c>
      <c r="CE181" s="59">
        <f t="shared" si="148"/>
        <v>272.45883568548516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46.918259063643887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46.918259063643887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69.700445076754448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-4.5474735088646412E-13</v>
      </c>
      <c r="CU181" s="17">
        <f>CT181*VLOOKUP('Données projet'!$B$13,Paramètres!$A$1:$I$89,3,0)*VLOOKUP('Données projet'!$B$13,Paramètres!$A$1:$I$89,5,0)</f>
        <v>-4.8949004849418999E-13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445.38112098358147</v>
      </c>
      <c r="CZ181" s="59">
        <f t="shared" si="150"/>
        <v>272.45883568548516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46.918259063643887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46.918259063643887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69.700445076754448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-4.5474735088646412E-13</v>
      </c>
      <c r="DP181" s="17">
        <f>DO181*VLOOKUP('Données projet'!$B$14,Paramètres!$A$1:$I$89,3,0)*VLOOKUP('Données projet'!$B$14,Paramètres!$A$1:$I$89,5,0)</f>
        <v>-4.3983163777738812E-13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405.29179902613089</v>
      </c>
      <c r="DU181" s="59">
        <f t="shared" si="152"/>
        <v>249.61049717638238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42.158435680375682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42.158435680375682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69.700445076754448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-5.6843418860808015E-13</v>
      </c>
      <c r="EK181" s="17">
        <f>EJ181*VLOOKUP('Données projet'!$B$15,Paramètres!$A$1:$I$89,3,0)*VLOOKUP('Données projet'!$B$15,Paramètres!$A$1:$I$89,5,0)</f>
        <v>-3.39923644787632E-13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444.77624981561257</v>
      </c>
      <c r="EP181" s="59">
        <f t="shared" si="154"/>
        <v>382.10319641527587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31.379212810782263</v>
      </c>
      <c r="EW181" s="21">
        <f>EXP(-LN(2)/25)*EW180+(1-EXP(-LN(2)/25))/(LN(2)/25)*Calculateur!ER181*Calculateur!ET181*VLOOKUP('Données projet'!$B$15,Paramètres!$A$1:$I$89,3,0)*0.475*44/12</f>
        <v>2.7439507105603642</v>
      </c>
      <c r="EX181" s="21">
        <f>EXP(-LN(2)/2)*EX180+(1-EXP(-LN(2)/2))/(LN(2)/2)*ER181*EU181*VLOOKUP('Données projet'!$B$15,Paramètres!$A$1:$I$89,3,0)*0.475*44/12</f>
        <v>1.825146405568116E-14</v>
      </c>
      <c r="EY181" s="22">
        <f t="shared" si="181"/>
        <v>34.123163521342647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69.700445076754448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3.4106051316484809E-13</v>
      </c>
      <c r="FF181" s="17">
        <f>FE181*VLOOKUP('Données projet'!$B$16,Paramètres!$A$1:$I$89,3,0)*VLOOKUP('Données projet'!$B$16,Paramètres!$A$1:$I$89,5,0)</f>
        <v>1.5074874681886286E-13</v>
      </c>
      <c r="FG181" s="13">
        <f t="shared" si="182"/>
        <v>2.1590218794584103E-12</v>
      </c>
      <c r="FH181" s="20">
        <f t="shared" si="183"/>
        <v>4.0228505074329168E-12</v>
      </c>
      <c r="FI181" s="59">
        <f t="shared" si="131"/>
        <v>292.23496528143698</v>
      </c>
      <c r="FJ181" s="59">
        <f ca="1">AVERAGE(OFFSET($FI$3,0,0,'Données projet'!$E$16+1,1))-AVERAGE(OFFSET($H$3,0,0,'Données projet'!$E$16+1,1))</f>
        <v>508.71179785154317</v>
      </c>
      <c r="FK181" s="59">
        <f t="shared" si="156"/>
        <v>422.73937290731442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39.899397954977907</v>
      </c>
      <c r="FR181" s="21">
        <f>EXP(-LN(2)/25)*FR180+(1-EXP(-LN(2)/25))/(LN(2)/25)*Calculateur!FM181*Calculateur!FO181*VLOOKUP('Données projet'!$B$16,Paramètres!$A$1:$I$89,3,0)*0.475*44/12</f>
        <v>4.4957555794656496</v>
      </c>
      <c r="FS181" s="21">
        <f>EXP(-LN(2)/2)*FS180+(1-EXP(-LN(2)/2))/(LN(2)/2)*FM181*FP181*VLOOKUP('Données projet'!$B$16,Paramètres!$A$1:$I$89,3,0)*0.475*44/12</f>
        <v>7.6505738534071635E-14</v>
      </c>
      <c r="FT181" s="22">
        <f t="shared" si="184"/>
        <v>44.395153534443637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69.700445076754448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69.700445076754448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1.35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4.95</v>
      </c>
      <c r="H182" s="67">
        <f t="shared" si="110"/>
        <v>236.86666666666665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69.705641684968285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5.6843418860808015E-14</v>
      </c>
      <c r="O182" s="13">
        <f>N182*VLOOKUP('Données projet'!$B$9,Paramètres!$A$1:$I$89,3,0)*VLOOKUP('Données projet'!$B$9,Paramètres!$A$1:$I$89,5,0)</f>
        <v>5.1431925385259088E-14</v>
      </c>
      <c r="P182" s="13">
        <f t="shared" si="141"/>
        <v>8.3482866290946129E-13</v>
      </c>
      <c r="Q182" s="20">
        <f t="shared" si="162"/>
        <v>1.5435705246133045E-12</v>
      </c>
      <c r="R182" s="59">
        <f t="shared" si="109"/>
        <v>292.25401951155192</v>
      </c>
      <c r="S182" s="59">
        <f ca="1">AVERAGE(OFFSET($R$3,0,0,'Données projet'!$E$9+1,1))-AVERAGE(OFFSET($H$3,0,0,'Données projet'!$E$9+1,1))</f>
        <v>466.90449882701591</v>
      </c>
      <c r="T182" s="59">
        <f t="shared" si="142"/>
        <v>283.37641704892053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58.107679637354401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58.107679637354401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69.705641684968285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-4.5474735088646412E-13</v>
      </c>
      <c r="AJ182" s="13">
        <f>AI182*VLOOKUP('Données projet'!$B$10,Paramètres!$A$1:$I$89,3,0)*VLOOKUP('Données projet'!$B$10,Paramètres!$A$1:$I$89,5,0)</f>
        <v>-4.3273757910355926E-13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399.5572791581468</v>
      </c>
      <c r="AO182" s="59">
        <f t="shared" si="144"/>
        <v>246.34185986079777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40.665093592229056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40.665093592229056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69.705641684968285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5.6843418860808015E-14</v>
      </c>
      <c r="BE182" s="13">
        <f>BD182*VLOOKUP('Données projet'!$B$11,Paramètres!$A$1:$I$89,3,0)*VLOOKUP('Données projet'!$B$11,Paramètres!$A$1:$I$89,5,0)</f>
        <v>4.4337866711430253E-14</v>
      </c>
      <c r="BF182" s="13">
        <f t="shared" si="167"/>
        <v>7.3222115536967035E-13</v>
      </c>
      <c r="BG182" s="20">
        <f t="shared" si="168"/>
        <v>1.3525069634579169E-12</v>
      </c>
      <c r="BH182" s="59">
        <f t="shared" si="116"/>
        <v>292.25401951155175</v>
      </c>
      <c r="BI182" s="59">
        <f ca="1">AVERAGE(OFFSET($BH$3,0,0,'Données projet'!$E$11+1,1))-AVERAGE(OFFSET($H$3,0,0,'Données projet'!$E$11+1,1))</f>
        <v>294.23449029791681</v>
      </c>
      <c r="BJ182" s="59">
        <f t="shared" si="146"/>
        <v>288.64639202306159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10.651220599642167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10.651220599642167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69.705641684968285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-4.5474735088646412E-13</v>
      </c>
      <c r="BZ182" s="13">
        <f>BY182*VLOOKUP('Données projet'!$B$12,Paramètres!$A$1:$I$89,3,0)*VLOOKUP('Données projet'!$B$12,Paramètres!$A$1:$I$89,5,0)</f>
        <v>-4.8949004849418999E-13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445.38112098358147</v>
      </c>
      <c r="CE182" s="59">
        <f t="shared" si="148"/>
        <v>272.45883568548516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45.998220620718136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45.998220620718136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69.705641684968285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-4.5474735088646412E-13</v>
      </c>
      <c r="CU182" s="17">
        <f>CT182*VLOOKUP('Données projet'!$B$13,Paramètres!$A$1:$I$89,3,0)*VLOOKUP('Données projet'!$B$13,Paramètres!$A$1:$I$89,5,0)</f>
        <v>-4.8949004849418999E-13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445.38112098358147</v>
      </c>
      <c r="CZ182" s="59">
        <f t="shared" si="150"/>
        <v>272.45883568548516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45.998220620718136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45.998220620718136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69.705641684968285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-4.5474735088646412E-13</v>
      </c>
      <c r="DP182" s="17">
        <f>DO182*VLOOKUP('Données projet'!$B$14,Paramètres!$A$1:$I$89,3,0)*VLOOKUP('Données projet'!$B$14,Paramètres!$A$1:$I$89,5,0)</f>
        <v>-4.3983163777738812E-13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405.29179902613089</v>
      </c>
      <c r="DU182" s="59">
        <f t="shared" si="152"/>
        <v>249.61049717638238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41.331734470790224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41.331734470790224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69.705641684968285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-5.6843418860808015E-13</v>
      </c>
      <c r="EK182" s="17">
        <f>EJ182*VLOOKUP('Données projet'!$B$15,Paramètres!$A$1:$I$89,3,0)*VLOOKUP('Données projet'!$B$15,Paramètres!$A$1:$I$89,5,0)</f>
        <v>-3.39923644787632E-13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444.77624981561257</v>
      </c>
      <c r="EP182" s="59">
        <f t="shared" si="154"/>
        <v>382.10319641527587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30.763885586992775</v>
      </c>
      <c r="EW182" s="21">
        <f>EXP(-LN(2)/25)*EW181+(1-EXP(-LN(2)/25))/(LN(2)/25)*Calculateur!ER182*Calculateur!ET182*VLOOKUP('Données projet'!$B$15,Paramètres!$A$1:$I$89,3,0)*0.475*44/12</f>
        <v>2.6689172340819947</v>
      </c>
      <c r="EX182" s="21">
        <f>EXP(-LN(2)/2)*EX181+(1-EXP(-LN(2)/2))/(LN(2)/2)*ER182*EU182*VLOOKUP('Données projet'!$B$15,Paramètres!$A$1:$I$89,3,0)*0.475*44/12</f>
        <v>1.2905734000354675E-14</v>
      </c>
      <c r="EY182" s="22">
        <f t="shared" si="181"/>
        <v>33.43280282107478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69.705641684968285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3.4106051316484809E-13</v>
      </c>
      <c r="FF182" s="17">
        <f>FE182*VLOOKUP('Données projet'!$B$16,Paramètres!$A$1:$I$89,3,0)*VLOOKUP('Données projet'!$B$16,Paramètres!$A$1:$I$89,5,0)</f>
        <v>1.5074874681886286E-13</v>
      </c>
      <c r="FG182" s="13">
        <f t="shared" si="182"/>
        <v>2.1590218794584103E-12</v>
      </c>
      <c r="FH182" s="20">
        <f t="shared" si="183"/>
        <v>4.0228505074329168E-12</v>
      </c>
      <c r="FI182" s="59">
        <f t="shared" si="131"/>
        <v>292.25401951155442</v>
      </c>
      <c r="FJ182" s="59">
        <f ca="1">AVERAGE(OFFSET($FI$3,0,0,'Données projet'!$E$16+1,1))-AVERAGE(OFFSET($H$3,0,0,'Données projet'!$E$16+1,1))</f>
        <v>508.71179785154317</v>
      </c>
      <c r="FK182" s="59">
        <f t="shared" si="156"/>
        <v>422.73937290731442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39.116995097310543</v>
      </c>
      <c r="FR182" s="21">
        <f>EXP(-LN(2)/25)*FR181+(1-EXP(-LN(2)/25))/(LN(2)/25)*Calculateur!FM182*Calculateur!FO182*VLOOKUP('Données projet'!$B$16,Paramètres!$A$1:$I$89,3,0)*0.475*44/12</f>
        <v>4.3728189067236505</v>
      </c>
      <c r="FS182" s="21">
        <f>EXP(-LN(2)/2)*FS181+(1-EXP(-LN(2)/2))/(LN(2)/2)*FM182*FP182*VLOOKUP('Données projet'!$B$16,Paramètres!$A$1:$I$89,3,0)*0.475*44/12</f>
        <v>5.409772651712701E-14</v>
      </c>
      <c r="FT182" s="22">
        <f t="shared" si="184"/>
        <v>43.489814004034251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69.705641684968285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69.705641684968285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1.35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4.95</v>
      </c>
      <c r="H183" s="67">
        <f t="shared" si="110"/>
        <v>236.86666666666665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69.710748143647479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5.6843418860808015E-14</v>
      </c>
      <c r="O183" s="13">
        <f>N183*VLOOKUP('Données projet'!$B$9,Paramètres!$A$1:$I$89,3,0)*VLOOKUP('Données projet'!$B$9,Paramètres!$A$1:$I$89,5,0)</f>
        <v>5.1431925385259088E-14</v>
      </c>
      <c r="P183" s="13">
        <f t="shared" si="141"/>
        <v>8.3482866290946129E-13</v>
      </c>
      <c r="Q183" s="20">
        <f t="shared" si="162"/>
        <v>1.5435705246133045E-12</v>
      </c>
      <c r="R183" s="59">
        <f t="shared" si="109"/>
        <v>292.27274319337562</v>
      </c>
      <c r="S183" s="59">
        <f ca="1">AVERAGE(OFFSET($R$3,0,0,'Données projet'!$E$9+1,1))-AVERAGE(OFFSET($H$3,0,0,'Données projet'!$E$9+1,1))</f>
        <v>466.90449882701591</v>
      </c>
      <c r="T183" s="59">
        <f t="shared" si="142"/>
        <v>283.37641704892053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56.968223481850835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56.968223481850835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69.710748143647479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-4.5474735088646412E-13</v>
      </c>
      <c r="AJ183" s="13">
        <f>AI183*VLOOKUP('Données projet'!$B$10,Paramètres!$A$1:$I$89,3,0)*VLOOKUP('Données projet'!$B$10,Paramètres!$A$1:$I$89,5,0)</f>
        <v>-4.3273757910355926E-13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399.5572791581468</v>
      </c>
      <c r="AO183" s="59">
        <f t="shared" si="144"/>
        <v>246.34185986079777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39.867675910143419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39.867675910143419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69.710748143647479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5.6843418860808015E-14</v>
      </c>
      <c r="BE183" s="13">
        <f>BD183*VLOOKUP('Données projet'!$B$11,Paramètres!$A$1:$I$89,3,0)*VLOOKUP('Données projet'!$B$11,Paramètres!$A$1:$I$89,5,0)</f>
        <v>4.4337866711430253E-14</v>
      </c>
      <c r="BF183" s="13">
        <f t="shared" si="167"/>
        <v>7.3222115536967035E-13</v>
      </c>
      <c r="BG183" s="20">
        <f t="shared" si="168"/>
        <v>1.3525069634579169E-12</v>
      </c>
      <c r="BH183" s="59">
        <f t="shared" si="116"/>
        <v>292.27274319337545</v>
      </c>
      <c r="BI183" s="59">
        <f ca="1">AVERAGE(OFFSET($BH$3,0,0,'Données projet'!$E$11+1,1))-AVERAGE(OFFSET($H$3,0,0,'Données projet'!$E$11+1,1))</f>
        <v>294.23449029791681</v>
      </c>
      <c r="BJ183" s="59">
        <f t="shared" si="146"/>
        <v>288.64639202306159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10.442356660286263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10.442356660286263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69.710748143647479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-4.5474735088646412E-13</v>
      </c>
      <c r="BZ183" s="13">
        <f>BY183*VLOOKUP('Données projet'!$B$12,Paramètres!$A$1:$I$89,3,0)*VLOOKUP('Données projet'!$B$12,Paramètres!$A$1:$I$89,5,0)</f>
        <v>-4.8949004849418999E-13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445.38112098358147</v>
      </c>
      <c r="CE183" s="59">
        <f t="shared" si="148"/>
        <v>272.45883568548516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45.096223570490118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45.096223570490118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69.710748143647479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-4.5474735088646412E-13</v>
      </c>
      <c r="CU183" s="17">
        <f>CT183*VLOOKUP('Données projet'!$B$13,Paramètres!$A$1:$I$89,3,0)*VLOOKUP('Données projet'!$B$13,Paramètres!$A$1:$I$89,5,0)</f>
        <v>-4.8949004849418999E-13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445.38112098358147</v>
      </c>
      <c r="CZ183" s="59">
        <f t="shared" si="150"/>
        <v>272.45883568548516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45.096223570490118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45.096223570490118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69.710748143647479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-4.5474735088646412E-13</v>
      </c>
      <c r="DP183" s="17">
        <f>DO183*VLOOKUP('Données projet'!$B$14,Paramètres!$A$1:$I$89,3,0)*VLOOKUP('Données projet'!$B$14,Paramètres!$A$1:$I$89,5,0)</f>
        <v>-4.3983163777738812E-13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405.29179902613089</v>
      </c>
      <c r="DU183" s="59">
        <f t="shared" si="152"/>
        <v>249.61049717638238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40.521244367686784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40.521244367686784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69.710748143647479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-5.6843418860808015E-13</v>
      </c>
      <c r="EK183" s="17">
        <f>EJ183*VLOOKUP('Données projet'!$B$15,Paramètres!$A$1:$I$89,3,0)*VLOOKUP('Données projet'!$B$15,Paramètres!$A$1:$I$89,5,0)</f>
        <v>-3.39923644787632E-13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444.77624981561257</v>
      </c>
      <c r="EP183" s="59">
        <f t="shared" si="154"/>
        <v>382.10319641527587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30.160624554749251</v>
      </c>
      <c r="EW183" s="21">
        <f>EXP(-LN(2)/25)*EW182+(1-EXP(-LN(2)/25))/(LN(2)/25)*Calculateur!ER183*Calculateur!ET183*VLOOKUP('Données projet'!$B$15,Paramètres!$A$1:$I$89,3,0)*0.475*44/12</f>
        <v>2.5959355519637652</v>
      </c>
      <c r="EX183" s="21">
        <f>EXP(-LN(2)/2)*EX182+(1-EXP(-LN(2)/2))/(LN(2)/2)*ER183*EU183*VLOOKUP('Données projet'!$B$15,Paramètres!$A$1:$I$89,3,0)*0.475*44/12</f>
        <v>9.1257320278405798E-15</v>
      </c>
      <c r="EY183" s="22">
        <f t="shared" si="181"/>
        <v>32.756560106713025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69.710748143647479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3.4106051316484809E-13</v>
      </c>
      <c r="FF183" s="17">
        <f>FE183*VLOOKUP('Données projet'!$B$16,Paramètres!$A$1:$I$89,3,0)*VLOOKUP('Données projet'!$B$16,Paramètres!$A$1:$I$89,5,0)</f>
        <v>1.5074874681886286E-13</v>
      </c>
      <c r="FG183" s="13">
        <f t="shared" si="182"/>
        <v>2.1590218794584103E-12</v>
      </c>
      <c r="FH183" s="20">
        <f t="shared" si="183"/>
        <v>4.0228505074329168E-12</v>
      </c>
      <c r="FI183" s="59">
        <f t="shared" si="131"/>
        <v>292.27274319337812</v>
      </c>
      <c r="FJ183" s="59">
        <f ca="1">AVERAGE(OFFSET($FI$3,0,0,'Données projet'!$E$16+1,1))-AVERAGE(OFFSET($H$3,0,0,'Données projet'!$E$16+1,1))</f>
        <v>508.71179785154317</v>
      </c>
      <c r="FK183" s="59">
        <f t="shared" si="156"/>
        <v>422.73937290731442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38.349934682463413</v>
      </c>
      <c r="FR183" s="21">
        <f>EXP(-LN(2)/25)*FR182+(1-EXP(-LN(2)/25))/(LN(2)/25)*Calculateur!FM183*Calculateur!FO183*VLOOKUP('Données projet'!$B$16,Paramètres!$A$1:$I$89,3,0)*0.475*44/12</f>
        <v>4.2532439437627403</v>
      </c>
      <c r="FS183" s="21">
        <f>EXP(-LN(2)/2)*FS182+(1-EXP(-LN(2)/2))/(LN(2)/2)*FM183*FP183*VLOOKUP('Données projet'!$B$16,Paramètres!$A$1:$I$89,3,0)*0.475*44/12</f>
        <v>3.8252869267035818E-14</v>
      </c>
      <c r="FT183" s="22">
        <f t="shared" si="184"/>
        <v>42.603178626226189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69.710748143647479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69.710748143647479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1.35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4.95</v>
      </c>
      <c r="H184" s="67">
        <f t="shared" si="110"/>
        <v>236.86666666666665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69.715766016684924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5.6843418860808015E-14</v>
      </c>
      <c r="O184" s="13">
        <f>N184*VLOOKUP('Données projet'!$B$9,Paramètres!$A$1:$I$89,3,0)*VLOOKUP('Données projet'!$B$9,Paramètres!$A$1:$I$89,5,0)</f>
        <v>5.1431925385259088E-14</v>
      </c>
      <c r="P184" s="13">
        <f t="shared" si="141"/>
        <v>8.3482866290946129E-13</v>
      </c>
      <c r="Q184" s="20">
        <f t="shared" si="162"/>
        <v>1.5435705246133045E-12</v>
      </c>
      <c r="R184" s="59">
        <f t="shared" si="109"/>
        <v>292.29114206117958</v>
      </c>
      <c r="S184" s="59">
        <f ca="1">AVERAGE(OFFSET($R$3,0,0,'Données projet'!$E$9+1,1))-AVERAGE(OFFSET($H$3,0,0,'Données projet'!$E$9+1,1))</f>
        <v>466.90449882701591</v>
      </c>
      <c r="T184" s="59">
        <f t="shared" si="142"/>
        <v>283.37641704892053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55.851111366557063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55.851111366557063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69.715766016684924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-4.5474735088646412E-13</v>
      </c>
      <c r="AJ184" s="13">
        <f>AI184*VLOOKUP('Données projet'!$B$10,Paramètres!$A$1:$I$89,3,0)*VLOOKUP('Données projet'!$B$10,Paramètres!$A$1:$I$89,5,0)</f>
        <v>-4.3273757910355926E-13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399.5572791581468</v>
      </c>
      <c r="AO184" s="59">
        <f t="shared" si="144"/>
        <v>246.34185986079777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39.085895102426718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39.085895102426718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69.715766016684924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5.6843418860808015E-14</v>
      </c>
      <c r="BE184" s="13">
        <f>BD184*VLOOKUP('Données projet'!$B$11,Paramètres!$A$1:$I$89,3,0)*VLOOKUP('Données projet'!$B$11,Paramètres!$A$1:$I$89,5,0)</f>
        <v>4.4337866711430253E-14</v>
      </c>
      <c r="BF184" s="13">
        <f t="shared" si="167"/>
        <v>7.3222115536967035E-13</v>
      </c>
      <c r="BG184" s="20">
        <f t="shared" si="168"/>
        <v>1.3525069634579169E-12</v>
      </c>
      <c r="BH184" s="59">
        <f t="shared" si="116"/>
        <v>292.29114206117941</v>
      </c>
      <c r="BI184" s="59">
        <f ca="1">AVERAGE(OFFSET($BH$3,0,0,'Données projet'!$E$11+1,1))-AVERAGE(OFFSET($H$3,0,0,'Données projet'!$E$11+1,1))</f>
        <v>294.23449029791681</v>
      </c>
      <c r="BJ184" s="59">
        <f t="shared" si="146"/>
        <v>288.64639202306159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10.237588415386705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10.237588415386705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69.715766016684924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-4.5474735088646412E-13</v>
      </c>
      <c r="BZ184" s="13">
        <f>BY184*VLOOKUP('Données projet'!$B$12,Paramètres!$A$1:$I$89,3,0)*VLOOKUP('Données projet'!$B$12,Paramètres!$A$1:$I$89,5,0)</f>
        <v>-4.8949004849418999E-13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445.38112098358147</v>
      </c>
      <c r="CE184" s="59">
        <f t="shared" si="148"/>
        <v>272.45883568548516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44.211914132253192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44.211914132253192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69.715766016684924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-4.5474735088646412E-13</v>
      </c>
      <c r="CU184" s="17">
        <f>CT184*VLOOKUP('Données projet'!$B$13,Paramètres!$A$1:$I$89,3,0)*VLOOKUP('Données projet'!$B$13,Paramètres!$A$1:$I$89,5,0)</f>
        <v>-4.8949004849418999E-13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445.38112098358147</v>
      </c>
      <c r="CZ184" s="59">
        <f t="shared" si="150"/>
        <v>272.45883568548516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44.211914132253192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44.211914132253192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69.715766016684924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-4.5474735088646412E-13</v>
      </c>
      <c r="DP184" s="17">
        <f>DO184*VLOOKUP('Données projet'!$B$14,Paramètres!$A$1:$I$89,3,0)*VLOOKUP('Données projet'!$B$14,Paramètres!$A$1:$I$89,5,0)</f>
        <v>-4.3983163777738812E-13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405.29179902613089</v>
      </c>
      <c r="DU184" s="59">
        <f t="shared" si="152"/>
        <v>249.61049717638238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39.726647481155055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39.726647481155055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69.715766016684924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-5.6843418860808015E-13</v>
      </c>
      <c r="EK184" s="17">
        <f>EJ184*VLOOKUP('Données projet'!$B$15,Paramètres!$A$1:$I$89,3,0)*VLOOKUP('Données projet'!$B$15,Paramètres!$A$1:$I$89,5,0)</f>
        <v>-3.39923644787632E-13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444.77624981561257</v>
      </c>
      <c r="EP184" s="59">
        <f t="shared" si="154"/>
        <v>382.10319641527587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29.569193103395126</v>
      </c>
      <c r="EW184" s="21">
        <f>EXP(-LN(2)/25)*EW183+(1-EXP(-LN(2)/25))/(LN(2)/25)*Calculateur!ER184*Calculateur!ET184*VLOOKUP('Données projet'!$B$15,Paramètres!$A$1:$I$89,3,0)*0.475*44/12</f>
        <v>2.5249495577809986</v>
      </c>
      <c r="EX184" s="21">
        <f>EXP(-LN(2)/2)*EX183+(1-EXP(-LN(2)/2))/(LN(2)/2)*ER184*EU184*VLOOKUP('Données projet'!$B$15,Paramètres!$A$1:$I$89,3,0)*0.475*44/12</f>
        <v>6.4528670001773375E-15</v>
      </c>
      <c r="EY184" s="22">
        <f t="shared" si="181"/>
        <v>32.094142661176129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69.715766016684924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3.4106051316484809E-13</v>
      </c>
      <c r="FF184" s="17">
        <f>FE184*VLOOKUP('Données projet'!$B$16,Paramètres!$A$1:$I$89,3,0)*VLOOKUP('Données projet'!$B$16,Paramètres!$A$1:$I$89,5,0)</f>
        <v>1.5074874681886286E-13</v>
      </c>
      <c r="FG184" s="13">
        <f t="shared" si="182"/>
        <v>2.1590218794584103E-12</v>
      </c>
      <c r="FH184" s="20">
        <f t="shared" si="183"/>
        <v>4.0228505074329168E-12</v>
      </c>
      <c r="FI184" s="59">
        <f t="shared" si="131"/>
        <v>292.29114206118209</v>
      </c>
      <c r="FJ184" s="59">
        <f ca="1">AVERAGE(OFFSET($FI$3,0,0,'Données projet'!$E$16+1,1))-AVERAGE(OFFSET($H$3,0,0,'Données projet'!$E$16+1,1))</f>
        <v>508.71179785154317</v>
      </c>
      <c r="FK184" s="59">
        <f t="shared" si="156"/>
        <v>422.73937290731442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37.597915854490779</v>
      </c>
      <c r="FR184" s="21">
        <f>EXP(-LN(2)/25)*FR183+(1-EXP(-LN(2)/25))/(LN(2)/25)*Calculateur!FM184*Calculateur!FO184*VLOOKUP('Données projet'!$B$16,Paramètres!$A$1:$I$89,3,0)*0.475*44/12</f>
        <v>4.1369387644521698</v>
      </c>
      <c r="FS184" s="21">
        <f>EXP(-LN(2)/2)*FS183+(1-EXP(-LN(2)/2))/(LN(2)/2)*FM184*FP184*VLOOKUP('Données projet'!$B$16,Paramètres!$A$1:$I$89,3,0)*0.475*44/12</f>
        <v>2.7048863258563505E-14</v>
      </c>
      <c r="FT184" s="22">
        <f t="shared" si="184"/>
        <v>41.734854618942975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69.715766016684924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69.715766016684924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1.35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4.95</v>
      </c>
      <c r="H185" s="67">
        <f t="shared" si="110"/>
        <v>236.86666666666665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69.720696840843459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5.6843418860808015E-14</v>
      </c>
      <c r="O185" s="13">
        <f>N185*VLOOKUP('Données projet'!$B$9,Paramètres!$A$1:$I$89,3,0)*VLOOKUP('Données projet'!$B$9,Paramètres!$A$1:$I$89,5,0)</f>
        <v>5.1431925385259088E-14</v>
      </c>
      <c r="P185" s="13">
        <f t="shared" si="141"/>
        <v>8.3482866290946129E-13</v>
      </c>
      <c r="Q185" s="20">
        <f t="shared" si="162"/>
        <v>1.5435705246133045E-12</v>
      </c>
      <c r="R185" s="59">
        <f t="shared" si="109"/>
        <v>292.30922174976092</v>
      </c>
      <c r="S185" s="59">
        <f ca="1">AVERAGE(OFFSET($R$3,0,0,'Données projet'!$E$9+1,1))-AVERAGE(OFFSET($H$3,0,0,'Données projet'!$E$9+1,1))</f>
        <v>466.90449882701591</v>
      </c>
      <c r="T185" s="59">
        <f t="shared" si="142"/>
        <v>283.37641704892053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54.755905138473096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54.755905138473096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69.720696840843459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-4.5474735088646412E-13</v>
      </c>
      <c r="AJ185" s="13">
        <f>AI185*VLOOKUP('Données projet'!$B$10,Paramètres!$A$1:$I$89,3,0)*VLOOKUP('Données projet'!$B$10,Paramètres!$A$1:$I$89,5,0)</f>
        <v>-4.3273757910355926E-13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399.5572791581468</v>
      </c>
      <c r="AO185" s="59">
        <f t="shared" si="144"/>
        <v>246.34185986079777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38.319444539510137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38.319444539510137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69.720696840843459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5.6843418860808015E-14</v>
      </c>
      <c r="BE185" s="13">
        <f>BD185*VLOOKUP('Données projet'!$B$11,Paramètres!$A$1:$I$89,3,0)*VLOOKUP('Données projet'!$B$11,Paramètres!$A$1:$I$89,5,0)</f>
        <v>4.4337866711430253E-14</v>
      </c>
      <c r="BF185" s="13">
        <f t="shared" si="167"/>
        <v>7.3222115536967035E-13</v>
      </c>
      <c r="BG185" s="20">
        <f t="shared" si="168"/>
        <v>1.3525069634579169E-12</v>
      </c>
      <c r="BH185" s="59">
        <f t="shared" si="116"/>
        <v>292.30922174976075</v>
      </c>
      <c r="BI185" s="59">
        <f ca="1">AVERAGE(OFFSET($BH$3,0,0,'Données projet'!$E$11+1,1))-AVERAGE(OFFSET($H$3,0,0,'Données projet'!$E$11+1,1))</f>
        <v>294.23449029791681</v>
      </c>
      <c r="BJ185" s="59">
        <f t="shared" si="146"/>
        <v>288.64639202306159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10.036835550873331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10.036835550873331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69.720696840843459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-4.5474735088646412E-13</v>
      </c>
      <c r="BZ185" s="13">
        <f>BY185*VLOOKUP('Données projet'!$B$12,Paramètres!$A$1:$I$89,3,0)*VLOOKUP('Données projet'!$B$12,Paramètres!$A$1:$I$89,5,0)</f>
        <v>-4.8949004849418999E-13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445.38112098358147</v>
      </c>
      <c r="CE185" s="59">
        <f t="shared" si="148"/>
        <v>272.45883568548516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43.344945462724596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43.344945462724596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69.720696840843459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-4.5474735088646412E-13</v>
      </c>
      <c r="CU185" s="17">
        <f>CT185*VLOOKUP('Données projet'!$B$13,Paramètres!$A$1:$I$89,3,0)*VLOOKUP('Données projet'!$B$13,Paramètres!$A$1:$I$89,5,0)</f>
        <v>-4.8949004849418999E-13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445.38112098358147</v>
      </c>
      <c r="CZ185" s="59">
        <f t="shared" si="150"/>
        <v>272.45883568548516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43.344945462724596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43.344945462724596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69.720696840843459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-4.5474735088646412E-13</v>
      </c>
      <c r="DP185" s="17">
        <f>DO185*VLOOKUP('Données projet'!$B$14,Paramètres!$A$1:$I$89,3,0)*VLOOKUP('Données projet'!$B$14,Paramètres!$A$1:$I$89,5,0)</f>
        <v>-4.3983163777738812E-13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405.29179902613089</v>
      </c>
      <c r="DU185" s="59">
        <f t="shared" si="152"/>
        <v>249.61049717638238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38.947632154911972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38.947632154911972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69.720696840843459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-5.6843418860808015E-13</v>
      </c>
      <c r="EK185" s="17">
        <f>EJ185*VLOOKUP('Données projet'!$B$15,Paramètres!$A$1:$I$89,3,0)*VLOOKUP('Données projet'!$B$15,Paramètres!$A$1:$I$89,5,0)</f>
        <v>-3.39923644787632E-13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444.77624981561257</v>
      </c>
      <c r="EP185" s="59">
        <f t="shared" si="154"/>
        <v>382.10319641527587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28.98935926206449</v>
      </c>
      <c r="EW185" s="21">
        <f>EXP(-LN(2)/25)*EW184+(1-EXP(-LN(2)/25))/(LN(2)/25)*Calculateur!ER185*Calculateur!ET185*VLOOKUP('Données projet'!$B$15,Paramètres!$A$1:$I$89,3,0)*0.475*44/12</f>
        <v>2.4559046793421508</v>
      </c>
      <c r="EX185" s="21">
        <f>EXP(-LN(2)/2)*EX184+(1-EXP(-LN(2)/2))/(LN(2)/2)*ER185*EU185*VLOOKUP('Données projet'!$B$15,Paramètres!$A$1:$I$89,3,0)*0.475*44/12</f>
        <v>4.5628660139202899E-15</v>
      </c>
      <c r="EY185" s="22">
        <f t="shared" si="181"/>
        <v>31.445263941406644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69.720696840843459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3.4106051316484809E-13</v>
      </c>
      <c r="FF185" s="17">
        <f>FE185*VLOOKUP('Données projet'!$B$16,Paramètres!$A$1:$I$89,3,0)*VLOOKUP('Données projet'!$B$16,Paramètres!$A$1:$I$89,5,0)</f>
        <v>1.5074874681886286E-13</v>
      </c>
      <c r="FG185" s="13">
        <f t="shared" si="182"/>
        <v>2.1590218794584103E-12</v>
      </c>
      <c r="FH185" s="20">
        <f t="shared" si="183"/>
        <v>4.0228505074329168E-12</v>
      </c>
      <c r="FI185" s="59">
        <f t="shared" si="131"/>
        <v>292.30922174976342</v>
      </c>
      <c r="FJ185" s="59">
        <f ca="1">AVERAGE(OFFSET($FI$3,0,0,'Données projet'!$E$16+1,1))-AVERAGE(OFFSET($H$3,0,0,'Données projet'!$E$16+1,1))</f>
        <v>508.71179785154317</v>
      </c>
      <c r="FK185" s="59">
        <f t="shared" si="156"/>
        <v>422.73937290731442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36.860643657048492</v>
      </c>
      <c r="FR185" s="21">
        <f>EXP(-LN(2)/25)*FR184+(1-EXP(-LN(2)/25))/(LN(2)/25)*Calculateur!FM185*Calculateur!FO185*VLOOKUP('Données projet'!$B$16,Paramètres!$A$1:$I$89,3,0)*0.475*44/12</f>
        <v>4.0238139563860704</v>
      </c>
      <c r="FS185" s="21">
        <f>EXP(-LN(2)/2)*FS184+(1-EXP(-LN(2)/2))/(LN(2)/2)*FM185*FP185*VLOOKUP('Données projet'!$B$16,Paramètres!$A$1:$I$89,3,0)*0.475*44/12</f>
        <v>1.9126434633517909E-14</v>
      </c>
      <c r="FT185" s="22">
        <f t="shared" si="184"/>
        <v>40.884457613434584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69.720696840843459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69.720696840843459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1.35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4.95</v>
      </c>
      <c r="H186" s="67">
        <f t="shared" si="110"/>
        <v>236.86666666666665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69.7255421262265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5.6843418860808015E-14</v>
      </c>
      <c r="O186" s="13">
        <f>N186*VLOOKUP('Données projet'!$B$9,Paramètres!$A$1:$I$89,3,0)*VLOOKUP('Données projet'!$B$9,Paramètres!$A$1:$I$89,5,0)</f>
        <v>5.1431925385259088E-14</v>
      </c>
      <c r="P186" s="13">
        <f t="shared" si="141"/>
        <v>8.3482866290946129E-13</v>
      </c>
      <c r="Q186" s="20">
        <f t="shared" si="162"/>
        <v>1.5435705246133045E-12</v>
      </c>
      <c r="R186" s="59">
        <f t="shared" si="109"/>
        <v>292.32698779616538</v>
      </c>
      <c r="S186" s="59">
        <f ca="1">AVERAGE(OFFSET($R$3,0,0,'Données projet'!$E$9+1,1))-AVERAGE(OFFSET($H$3,0,0,'Données projet'!$E$9+1,1))</f>
        <v>466.90449882701591</v>
      </c>
      <c r="T186" s="59">
        <f t="shared" si="142"/>
        <v>283.37641704892053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53.682175236512016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53.682175236512016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69.7255421262265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-4.5474735088646412E-13</v>
      </c>
      <c r="AJ186" s="13">
        <f>AI186*VLOOKUP('Données projet'!$B$10,Paramètres!$A$1:$I$89,3,0)*VLOOKUP('Données projet'!$B$10,Paramètres!$A$1:$I$89,5,0)</f>
        <v>-4.3273757910355926E-13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399.5572791581468</v>
      </c>
      <c r="AO186" s="59">
        <f t="shared" si="144"/>
        <v>246.34185986079777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37.568023604643663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37.568023604643663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69.7255421262265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5.6843418860808015E-14</v>
      </c>
      <c r="BE186" s="13">
        <f>BD186*VLOOKUP('Données projet'!$B$11,Paramètres!$A$1:$I$89,3,0)*VLOOKUP('Données projet'!$B$11,Paramètres!$A$1:$I$89,5,0)</f>
        <v>4.4337866711430253E-14</v>
      </c>
      <c r="BF186" s="13">
        <f t="shared" si="167"/>
        <v>7.3222115536967035E-13</v>
      </c>
      <c r="BG186" s="20">
        <f t="shared" si="168"/>
        <v>1.3525069634579169E-12</v>
      </c>
      <c r="BH186" s="59">
        <f t="shared" si="116"/>
        <v>292.32698779616521</v>
      </c>
      <c r="BI186" s="59">
        <f ca="1">AVERAGE(OFFSET($BH$3,0,0,'Données projet'!$E$11+1,1))-AVERAGE(OFFSET($H$3,0,0,'Données projet'!$E$11+1,1))</f>
        <v>294.23449029791681</v>
      </c>
      <c r="BJ186" s="59">
        <f t="shared" si="146"/>
        <v>288.64639202306159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9.8400193275859067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9.8400193275859067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69.7255421262265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-4.5474735088646412E-13</v>
      </c>
      <c r="BZ186" s="13">
        <f>BY186*VLOOKUP('Données projet'!$B$12,Paramètres!$A$1:$I$89,3,0)*VLOOKUP('Données projet'!$B$12,Paramètres!$A$1:$I$89,5,0)</f>
        <v>-4.8949004849418999E-13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445.38112098358147</v>
      </c>
      <c r="CE186" s="59">
        <f t="shared" si="148"/>
        <v>272.45883568548516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42.494977520006785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42.494977520006785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69.7255421262265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-4.5474735088646412E-13</v>
      </c>
      <c r="CU186" s="17">
        <f>CT186*VLOOKUP('Données projet'!$B$13,Paramètres!$A$1:$I$89,3,0)*VLOOKUP('Données projet'!$B$13,Paramètres!$A$1:$I$89,5,0)</f>
        <v>-4.8949004849418999E-13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445.38112098358147</v>
      </c>
      <c r="CZ186" s="59">
        <f t="shared" si="150"/>
        <v>272.45883568548516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42.494977520006785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42.494977520006785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69.7255421262265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-4.5474735088646412E-13</v>
      </c>
      <c r="DP186" s="17">
        <f>DO186*VLOOKUP('Données projet'!$B$14,Paramètres!$A$1:$I$89,3,0)*VLOOKUP('Données projet'!$B$14,Paramètres!$A$1:$I$89,5,0)</f>
        <v>-4.3983163777738812E-13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405.29179902613089</v>
      </c>
      <c r="DU186" s="59">
        <f t="shared" si="152"/>
        <v>249.61049717638238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38.183892844064083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38.183892844064083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69.7255421262265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-5.6843418860808015E-13</v>
      </c>
      <c r="EK186" s="17">
        <f>EJ186*VLOOKUP('Données projet'!$B$15,Paramètres!$A$1:$I$89,3,0)*VLOOKUP('Données projet'!$B$15,Paramètres!$A$1:$I$89,5,0)</f>
        <v>-3.39923644787632E-13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444.77624981561257</v>
      </c>
      <c r="EP186" s="59">
        <f t="shared" si="154"/>
        <v>382.10319641527587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28.420895608698626</v>
      </c>
      <c r="EW186" s="21">
        <f>EXP(-LN(2)/25)*EW185+(1-EXP(-LN(2)/25))/(LN(2)/25)*Calculateur!ER186*Calculateur!ET186*VLOOKUP('Données projet'!$B$15,Paramètres!$A$1:$I$89,3,0)*0.475*44/12</f>
        <v>2.3887478367351256</v>
      </c>
      <c r="EX186" s="21">
        <f>EXP(-LN(2)/2)*EX185+(1-EXP(-LN(2)/2))/(LN(2)/2)*ER186*EU186*VLOOKUP('Données projet'!$B$15,Paramètres!$A$1:$I$89,3,0)*0.475*44/12</f>
        <v>3.2264335000886688E-15</v>
      </c>
      <c r="EY186" s="22">
        <f t="shared" si="181"/>
        <v>30.809643445433753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69.7255421262265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3.4106051316484809E-13</v>
      </c>
      <c r="FF186" s="17">
        <f>FE186*VLOOKUP('Données projet'!$B$16,Paramètres!$A$1:$I$89,3,0)*VLOOKUP('Données projet'!$B$16,Paramètres!$A$1:$I$89,5,0)</f>
        <v>1.5074874681886286E-13</v>
      </c>
      <c r="FG186" s="13">
        <f t="shared" si="182"/>
        <v>2.1590218794584103E-12</v>
      </c>
      <c r="FH186" s="20">
        <f t="shared" si="183"/>
        <v>4.0228505074329168E-12</v>
      </c>
      <c r="FI186" s="59">
        <f t="shared" si="131"/>
        <v>292.32698779616788</v>
      </c>
      <c r="FJ186" s="59">
        <f ca="1">AVERAGE(OFFSET($FI$3,0,0,'Données projet'!$E$16+1,1))-AVERAGE(OFFSET($H$3,0,0,'Données projet'!$E$16+1,1))</f>
        <v>508.71179785154317</v>
      </c>
      <c r="FK186" s="59">
        <f t="shared" si="156"/>
        <v>422.73937290731442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36.137828917706415</v>
      </c>
      <c r="FR186" s="21">
        <f>EXP(-LN(2)/25)*FR185+(1-EXP(-LN(2)/25))/(LN(2)/25)*Calculateur!FM186*Calculateur!FO186*VLOOKUP('Données projet'!$B$16,Paramètres!$A$1:$I$89,3,0)*0.475*44/12</f>
        <v>3.9137825521455141</v>
      </c>
      <c r="FS186" s="21">
        <f>EXP(-LN(2)/2)*FS185+(1-EXP(-LN(2)/2))/(LN(2)/2)*FM186*FP186*VLOOKUP('Données projet'!$B$16,Paramètres!$A$1:$I$89,3,0)*0.475*44/12</f>
        <v>1.3524431629281752E-14</v>
      </c>
      <c r="FT186" s="22">
        <f t="shared" si="184"/>
        <v>40.051611469851942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69.7255421262265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69.7255421262265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1.35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4.95</v>
      </c>
      <c r="H187" s="67">
        <f t="shared" si="110"/>
        <v>236.86666666666665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69.730303356740592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5.6843418860808015E-14</v>
      </c>
      <c r="O187" s="13">
        <f>N187*VLOOKUP('Données projet'!$B$9,Paramètres!$A$1:$I$89,3,0)*VLOOKUP('Données projet'!$B$9,Paramètres!$A$1:$I$89,5,0)</f>
        <v>5.1431925385259088E-14</v>
      </c>
      <c r="P187" s="13">
        <f t="shared" si="141"/>
        <v>8.3482866290946129E-13</v>
      </c>
      <c r="Q187" s="20">
        <f t="shared" si="162"/>
        <v>1.5435705246133045E-12</v>
      </c>
      <c r="R187" s="59">
        <f t="shared" si="109"/>
        <v>292.34444564138369</v>
      </c>
      <c r="S187" s="59">
        <f ca="1">AVERAGE(OFFSET($R$3,0,0,'Données projet'!$E$9+1,1))-AVERAGE(OFFSET($H$3,0,0,'Données projet'!$E$9+1,1))</f>
        <v>466.90449882701591</v>
      </c>
      <c r="T187" s="59">
        <f t="shared" si="142"/>
        <v>283.37641704892053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52.629500523017818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52.629500523017818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69.730303356740592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-4.5474735088646412E-13</v>
      </c>
      <c r="AJ187" s="13">
        <f>AI187*VLOOKUP('Données projet'!$B$10,Paramètres!$A$1:$I$89,3,0)*VLOOKUP('Données projet'!$B$10,Paramètres!$A$1:$I$89,5,0)</f>
        <v>-4.3273757910355926E-13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399.5572791581468</v>
      </c>
      <c r="AO187" s="59">
        <f t="shared" si="144"/>
        <v>246.34185986079777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36.831337575988407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36.831337575988407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69.730303356740592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5.6843418860808015E-14</v>
      </c>
      <c r="BE187" s="13">
        <f>BD187*VLOOKUP('Données projet'!$B$11,Paramètres!$A$1:$I$89,3,0)*VLOOKUP('Données projet'!$B$11,Paramètres!$A$1:$I$89,5,0)</f>
        <v>4.4337866711430253E-14</v>
      </c>
      <c r="BF187" s="13">
        <f t="shared" si="167"/>
        <v>7.3222115536967035E-13</v>
      </c>
      <c r="BG187" s="20">
        <f t="shared" si="168"/>
        <v>1.3525069634579169E-12</v>
      </c>
      <c r="BH187" s="59">
        <f t="shared" si="116"/>
        <v>292.34444564138352</v>
      </c>
      <c r="BI187" s="59">
        <f ca="1">AVERAGE(OFFSET($BH$3,0,0,'Données projet'!$E$11+1,1))-AVERAGE(OFFSET($H$3,0,0,'Données projet'!$E$11+1,1))</f>
        <v>294.23449029791681</v>
      </c>
      <c r="BJ187" s="59">
        <f t="shared" si="146"/>
        <v>288.64639202306159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9.6470625503911069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9.6470625503911069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69.730303356740592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-4.5474735088646412E-13</v>
      </c>
      <c r="BZ187" s="13">
        <f>BY187*VLOOKUP('Données projet'!$B$12,Paramètres!$A$1:$I$89,3,0)*VLOOKUP('Données projet'!$B$12,Paramètres!$A$1:$I$89,5,0)</f>
        <v>-4.8949004849418999E-13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445.38112098358147</v>
      </c>
      <c r="CE187" s="59">
        <f t="shared" si="148"/>
        <v>272.45883568548516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41.661676930216416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41.661676930216416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69.730303356740592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-4.5474735088646412E-13</v>
      </c>
      <c r="CU187" s="17">
        <f>CT187*VLOOKUP('Données projet'!$B$13,Paramètres!$A$1:$I$89,3,0)*VLOOKUP('Données projet'!$B$13,Paramètres!$A$1:$I$89,5,0)</f>
        <v>-4.8949004849418999E-13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445.38112098358147</v>
      </c>
      <c r="CZ187" s="59">
        <f t="shared" si="150"/>
        <v>272.45883568548516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41.661676930216416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41.661676930216416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69.730303356740592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-4.5474735088646412E-13</v>
      </c>
      <c r="DP187" s="17">
        <f>DO187*VLOOKUP('Données projet'!$B$14,Paramètres!$A$1:$I$89,3,0)*VLOOKUP('Données projet'!$B$14,Paramètres!$A$1:$I$89,5,0)</f>
        <v>-4.3983163777738812E-13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405.29179902613089</v>
      </c>
      <c r="DU187" s="59">
        <f t="shared" si="152"/>
        <v>249.61049717638238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37.435129995266934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37.435129995266934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69.730303356740592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-5.6843418860808015E-13</v>
      </c>
      <c r="EK187" s="17">
        <f>EJ187*VLOOKUP('Données projet'!$B$15,Paramètres!$A$1:$I$89,3,0)*VLOOKUP('Données projet'!$B$15,Paramètres!$A$1:$I$89,5,0)</f>
        <v>-3.39923644787632E-13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444.77624981561257</v>
      </c>
      <c r="EP187" s="59">
        <f t="shared" si="154"/>
        <v>382.10319641527587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27.863579180846674</v>
      </c>
      <c r="EW187" s="21">
        <f>EXP(-LN(2)/25)*EW186+(1-EXP(-LN(2)/25))/(LN(2)/25)*Calculateur!ER187*Calculateur!ET187*VLOOKUP('Données projet'!$B$15,Paramètres!$A$1:$I$89,3,0)*0.475*44/12</f>
        <v>2.3234274015208145</v>
      </c>
      <c r="EX187" s="21">
        <f>EXP(-LN(2)/2)*EX186+(1-EXP(-LN(2)/2))/(LN(2)/2)*ER187*EU187*VLOOKUP('Données projet'!$B$15,Paramètres!$A$1:$I$89,3,0)*0.475*44/12</f>
        <v>2.2814330069601449E-15</v>
      </c>
      <c r="EY187" s="22">
        <f t="shared" si="181"/>
        <v>30.187006582367491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69.730303356740592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3.4106051316484809E-13</v>
      </c>
      <c r="FF187" s="17">
        <f>FE187*VLOOKUP('Données projet'!$B$16,Paramètres!$A$1:$I$89,3,0)*VLOOKUP('Données projet'!$B$16,Paramètres!$A$1:$I$89,5,0)</f>
        <v>1.5074874681886286E-13</v>
      </c>
      <c r="FG187" s="13">
        <f t="shared" si="182"/>
        <v>2.1590218794584103E-12</v>
      </c>
      <c r="FH187" s="20">
        <f t="shared" si="183"/>
        <v>4.0228505074329168E-12</v>
      </c>
      <c r="FI187" s="59">
        <f t="shared" si="131"/>
        <v>292.34444564138619</v>
      </c>
      <c r="FJ187" s="59">
        <f ca="1">AVERAGE(OFFSET($FI$3,0,0,'Données projet'!$E$16+1,1))-AVERAGE(OFFSET($H$3,0,0,'Données projet'!$E$16+1,1))</f>
        <v>508.71179785154317</v>
      </c>
      <c r="FK187" s="59">
        <f t="shared" si="156"/>
        <v>422.73937290731442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35.429188134529376</v>
      </c>
      <c r="FR187" s="21">
        <f>EXP(-LN(2)/25)*FR186+(1-EXP(-LN(2)/25))/(LN(2)/25)*Calculateur!FM187*Calculateur!FO187*VLOOKUP('Données projet'!$B$16,Paramètres!$A$1:$I$89,3,0)*0.475*44/12</f>
        <v>3.8067599624402155</v>
      </c>
      <c r="FS187" s="21">
        <f>EXP(-LN(2)/2)*FS186+(1-EXP(-LN(2)/2))/(LN(2)/2)*FM187*FP187*VLOOKUP('Données projet'!$B$16,Paramètres!$A$1:$I$89,3,0)*0.475*44/12</f>
        <v>9.5632173167589544E-15</v>
      </c>
      <c r="FT187" s="22">
        <f t="shared" si="184"/>
        <v>39.235948096969601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69.730303356740592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69.730303356740592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1.35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4.95</v>
      </c>
      <c r="H188" s="67">
        <f t="shared" si="110"/>
        <v>236.86666666666665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69.734981990549784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5.6843418860808015E-14</v>
      </c>
      <c r="O188" s="13">
        <f>N188*VLOOKUP('Données projet'!$B$9,Paramètres!$A$1:$I$89,3,0)*VLOOKUP('Données projet'!$B$9,Paramètres!$A$1:$I$89,5,0)</f>
        <v>5.1431925385259088E-14</v>
      </c>
      <c r="P188" s="13">
        <f t="shared" si="141"/>
        <v>8.3482866290946129E-13</v>
      </c>
      <c r="Q188" s="20">
        <f t="shared" si="162"/>
        <v>1.5435705246133045E-12</v>
      </c>
      <c r="R188" s="59">
        <f t="shared" si="109"/>
        <v>292.36160063201737</v>
      </c>
      <c r="S188" s="59">
        <f ca="1">AVERAGE(OFFSET($R$3,0,0,'Données projet'!$E$9+1,1))-AVERAGE(OFFSET($H$3,0,0,'Données projet'!$E$9+1,1))</f>
        <v>466.90449882701591</v>
      </c>
      <c r="T188" s="59">
        <f t="shared" si="142"/>
        <v>283.37641704892053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51.597468118587066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51.597468118587066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69.734981990549784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-4.5474735088646412E-13</v>
      </c>
      <c r="AJ188" s="13">
        <f>AI188*VLOOKUP('Données projet'!$B$10,Paramètres!$A$1:$I$89,3,0)*VLOOKUP('Données projet'!$B$10,Paramètres!$A$1:$I$89,5,0)</f>
        <v>-4.3273757910355926E-13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399.5572791581468</v>
      </c>
      <c r="AO188" s="59">
        <f t="shared" si="144"/>
        <v>246.34185986079777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36.10909751102097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36.10909751102097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69.734981990549784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5.6843418860808015E-14</v>
      </c>
      <c r="BE188" s="13">
        <f>BD188*VLOOKUP('Données projet'!$B$11,Paramètres!$A$1:$I$89,3,0)*VLOOKUP('Données projet'!$B$11,Paramètres!$A$1:$I$89,5,0)</f>
        <v>4.4337866711430253E-14</v>
      </c>
      <c r="BF188" s="13">
        <f t="shared" si="167"/>
        <v>7.3222115536967035E-13</v>
      </c>
      <c r="BG188" s="20">
        <f t="shared" si="168"/>
        <v>1.3525069634579169E-12</v>
      </c>
      <c r="BH188" s="59">
        <f t="shared" si="116"/>
        <v>292.3616006320172</v>
      </c>
      <c r="BI188" s="59">
        <f ca="1">AVERAGE(OFFSET($BH$3,0,0,'Données projet'!$E$11+1,1))-AVERAGE(OFFSET($H$3,0,0,'Données projet'!$E$11+1,1))</f>
        <v>294.23449029791681</v>
      </c>
      <c r="BJ188" s="59">
        <f t="shared" si="146"/>
        <v>288.64639202306159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9.4578895379050838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9.4578895379050838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69.734981990549784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-4.5474735088646412E-13</v>
      </c>
      <c r="BZ188" s="13">
        <f>BY188*VLOOKUP('Données projet'!$B$12,Paramètres!$A$1:$I$89,3,0)*VLOOKUP('Données projet'!$B$12,Paramètres!$A$1:$I$89,5,0)</f>
        <v>-4.8949004849418999E-13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445.38112098358147</v>
      </c>
      <c r="CE188" s="59">
        <f t="shared" si="148"/>
        <v>272.45883568548516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40.84471685672866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40.84471685672866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69.734981990549784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-4.5474735088646412E-13</v>
      </c>
      <c r="CU188" s="17">
        <f>CT188*VLOOKUP('Données projet'!$B$13,Paramètres!$A$1:$I$89,3,0)*VLOOKUP('Données projet'!$B$13,Paramètres!$A$1:$I$89,5,0)</f>
        <v>-4.8949004849418999E-13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445.38112098358147</v>
      </c>
      <c r="CZ188" s="59">
        <f t="shared" si="150"/>
        <v>272.45883568548516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40.84471685672866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40.84471685672866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69.734981990549784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-4.5474735088646412E-13</v>
      </c>
      <c r="DP188" s="17">
        <f>DO188*VLOOKUP('Données projet'!$B$14,Paramètres!$A$1:$I$89,3,0)*VLOOKUP('Données projet'!$B$14,Paramètres!$A$1:$I$89,5,0)</f>
        <v>-4.3983163777738812E-13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405.29179902613089</v>
      </c>
      <c r="DU188" s="59">
        <f t="shared" si="152"/>
        <v>249.61049717638238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36.701049929234458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36.701049929234458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69.734981990549784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-5.6843418860808015E-13</v>
      </c>
      <c r="EK188" s="17">
        <f>EJ188*VLOOKUP('Données projet'!$B$15,Paramètres!$A$1:$I$89,3,0)*VLOOKUP('Données projet'!$B$15,Paramètres!$A$1:$I$89,5,0)</f>
        <v>-3.39923644787632E-13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444.77624981561257</v>
      </c>
      <c r="EP188" s="59">
        <f t="shared" si="154"/>
        <v>382.10319641527587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27.317191388215445</v>
      </c>
      <c r="EW188" s="21">
        <f>EXP(-LN(2)/25)*EW187+(1-EXP(-LN(2)/25))/(LN(2)/25)*Calculateur!ER188*Calculateur!ET188*VLOOKUP('Données projet'!$B$15,Paramètres!$A$1:$I$89,3,0)*0.475*44/12</f>
        <v>2.2598931570424909</v>
      </c>
      <c r="EX188" s="21">
        <f>EXP(-LN(2)/2)*EX187+(1-EXP(-LN(2)/2))/(LN(2)/2)*ER188*EU188*VLOOKUP('Données projet'!$B$15,Paramètres!$A$1:$I$89,3,0)*0.475*44/12</f>
        <v>1.6132167500443344E-15</v>
      </c>
      <c r="EY188" s="22">
        <f t="shared" si="181"/>
        <v>29.577084545257936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69.734981990549784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3.4106051316484809E-13</v>
      </c>
      <c r="FF188" s="17">
        <f>FE188*VLOOKUP('Données projet'!$B$16,Paramètres!$A$1:$I$89,3,0)*VLOOKUP('Données projet'!$B$16,Paramètres!$A$1:$I$89,5,0)</f>
        <v>1.5074874681886286E-13</v>
      </c>
      <c r="FG188" s="13">
        <f t="shared" si="182"/>
        <v>2.1590218794584103E-12</v>
      </c>
      <c r="FH188" s="20">
        <f t="shared" si="183"/>
        <v>4.0228505074329168E-12</v>
      </c>
      <c r="FI188" s="59">
        <f t="shared" si="131"/>
        <v>292.36160063201987</v>
      </c>
      <c r="FJ188" s="59">
        <f ca="1">AVERAGE(OFFSET($FI$3,0,0,'Données projet'!$E$16+1,1))-AVERAGE(OFFSET($H$3,0,0,'Données projet'!$E$16+1,1))</f>
        <v>508.71179785154317</v>
      </c>
      <c r="FK188" s="59">
        <f t="shared" si="156"/>
        <v>422.73937290731442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34.734443364882239</v>
      </c>
      <c r="FR188" s="21">
        <f>EXP(-LN(2)/25)*FR187+(1-EXP(-LN(2)/25))/(LN(2)/25)*Calculateur!FM188*Calculateur!FO188*VLOOKUP('Données projet'!$B$16,Paramètres!$A$1:$I$89,3,0)*0.475*44/12</f>
        <v>3.7026639110784818</v>
      </c>
      <c r="FS188" s="21">
        <f>EXP(-LN(2)/2)*FS187+(1-EXP(-LN(2)/2))/(LN(2)/2)*FM188*FP188*VLOOKUP('Données projet'!$B$16,Paramètres!$A$1:$I$89,3,0)*0.475*44/12</f>
        <v>6.7622158146408762E-15</v>
      </c>
      <c r="FT188" s="22">
        <f t="shared" si="184"/>
        <v>38.437107275960727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69.734981990549784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69.734981990549784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1.35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4.95</v>
      </c>
      <c r="H189" s="67">
        <f t="shared" si="110"/>
        <v>236.86666666666665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69.739579460522236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5.6843418860808015E-14</v>
      </c>
      <c r="O189" s="13">
        <f>N189*VLOOKUP('Données projet'!$B$9,Paramètres!$A$1:$I$89,3,0)*VLOOKUP('Données projet'!$B$9,Paramètres!$A$1:$I$89,5,0)</f>
        <v>5.1431925385259088E-14</v>
      </c>
      <c r="P189" s="13">
        <f t="shared" si="141"/>
        <v>8.3482866290946129E-13</v>
      </c>
      <c r="Q189" s="20">
        <f t="shared" si="162"/>
        <v>1.5435705246133045E-12</v>
      </c>
      <c r="R189" s="59">
        <f t="shared" si="109"/>
        <v>292.3784580219164</v>
      </c>
      <c r="S189" s="59">
        <f ca="1">AVERAGE(OFFSET($R$3,0,0,'Données projet'!$E$9+1,1))-AVERAGE(OFFSET($H$3,0,0,'Données projet'!$E$9+1,1))</f>
        <v>466.90449882701591</v>
      </c>
      <c r="T189" s="59">
        <f t="shared" si="142"/>
        <v>283.37641704892053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50.585673240129587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50.585673240129587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69.739579460522236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-4.5474735088646412E-13</v>
      </c>
      <c r="AJ189" s="13">
        <f>AI189*VLOOKUP('Données projet'!$B$10,Paramètres!$A$1:$I$89,3,0)*VLOOKUP('Données projet'!$B$10,Paramètres!$A$1:$I$89,5,0)</f>
        <v>-4.3273757910355926E-13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399.5572791581468</v>
      </c>
      <c r="AO189" s="59">
        <f t="shared" si="144"/>
        <v>246.34185986079777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35.401020133204604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35.401020133204604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69.739579460522236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5.6843418860808015E-14</v>
      </c>
      <c r="BE189" s="13">
        <f>BD189*VLOOKUP('Données projet'!$B$11,Paramètres!$A$1:$I$89,3,0)*VLOOKUP('Données projet'!$B$11,Paramètres!$A$1:$I$89,5,0)</f>
        <v>4.4337866711430253E-14</v>
      </c>
      <c r="BF189" s="13">
        <f t="shared" si="167"/>
        <v>7.3222115536967035E-13</v>
      </c>
      <c r="BG189" s="20">
        <f t="shared" si="168"/>
        <v>1.3525069634579169E-12</v>
      </c>
      <c r="BH189" s="59">
        <f t="shared" si="116"/>
        <v>292.37845802191623</v>
      </c>
      <c r="BI189" s="59">
        <f ca="1">AVERAGE(OFFSET($BH$3,0,0,'Données projet'!$E$11+1,1))-AVERAGE(OFFSET($H$3,0,0,'Données projet'!$E$11+1,1))</f>
        <v>294.23449029791681</v>
      </c>
      <c r="BJ189" s="59">
        <f t="shared" si="146"/>
        <v>288.64639202306159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9.2724260928097664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9.2724260928097664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69.739579460522236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-4.5474735088646412E-13</v>
      </c>
      <c r="BZ189" s="13">
        <f>BY189*VLOOKUP('Données projet'!$B$12,Paramètres!$A$1:$I$89,3,0)*VLOOKUP('Données projet'!$B$12,Paramètres!$A$1:$I$89,5,0)</f>
        <v>-4.8949004849418999E-13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445.38112098358147</v>
      </c>
      <c r="CE189" s="59">
        <f t="shared" si="148"/>
        <v>272.45883568548516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40.043776871985557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40.043776871985557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69.739579460522236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-4.5474735088646412E-13</v>
      </c>
      <c r="CU189" s="17">
        <f>CT189*VLOOKUP('Données projet'!$B$13,Paramètres!$A$1:$I$89,3,0)*VLOOKUP('Données projet'!$B$13,Paramètres!$A$1:$I$89,5,0)</f>
        <v>-4.8949004849418999E-13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445.38112098358147</v>
      </c>
      <c r="CZ189" s="59">
        <f t="shared" si="150"/>
        <v>272.45883568548516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40.043776871985557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40.043776871985557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69.739579460522236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-4.5474735088646412E-13</v>
      </c>
      <c r="DP189" s="17">
        <f>DO189*VLOOKUP('Données projet'!$B$14,Paramètres!$A$1:$I$89,3,0)*VLOOKUP('Données projet'!$B$14,Paramètres!$A$1:$I$89,5,0)</f>
        <v>-4.3983163777738812E-13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405.29179902613089</v>
      </c>
      <c r="DU189" s="59">
        <f t="shared" si="152"/>
        <v>249.61049717638238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35.981364725552247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35.981364725552247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69.739579460522236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-5.6843418860808015E-13</v>
      </c>
      <c r="EK189" s="17">
        <f>EJ189*VLOOKUP('Données projet'!$B$15,Paramètres!$A$1:$I$89,3,0)*VLOOKUP('Données projet'!$B$15,Paramètres!$A$1:$I$89,5,0)</f>
        <v>-3.39923644787632E-13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444.77624981561257</v>
      </c>
      <c r="EP189" s="59">
        <f t="shared" si="154"/>
        <v>382.10319641527587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26.781517926934068</v>
      </c>
      <c r="EW189" s="21">
        <f>EXP(-LN(2)/25)*EW188+(1-EXP(-LN(2)/25))/(LN(2)/25)*Calculateur!ER189*Calculateur!ET189*VLOOKUP('Données projet'!$B$15,Paramètres!$A$1:$I$89,3,0)*0.475*44/12</f>
        <v>2.1980962598205478</v>
      </c>
      <c r="EX189" s="21">
        <f>EXP(-LN(2)/2)*EX188+(1-EXP(-LN(2)/2))/(LN(2)/2)*ER189*EU189*VLOOKUP('Données projet'!$B$15,Paramètres!$A$1:$I$89,3,0)*0.475*44/12</f>
        <v>1.1407165034800725E-15</v>
      </c>
      <c r="EY189" s="22">
        <f t="shared" si="181"/>
        <v>28.979614186754617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69.739579460522236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3.4106051316484809E-13</v>
      </c>
      <c r="FF189" s="17">
        <f>FE189*VLOOKUP('Données projet'!$B$16,Paramètres!$A$1:$I$89,3,0)*VLOOKUP('Données projet'!$B$16,Paramètres!$A$1:$I$89,5,0)</f>
        <v>1.5074874681886286E-13</v>
      </c>
      <c r="FG189" s="13">
        <f t="shared" si="182"/>
        <v>2.1590218794584103E-12</v>
      </c>
      <c r="FH189" s="20">
        <f t="shared" si="183"/>
        <v>4.0228505074329168E-12</v>
      </c>
      <c r="FI189" s="59">
        <f t="shared" si="131"/>
        <v>292.3784580219189</v>
      </c>
      <c r="FJ189" s="59">
        <f ca="1">AVERAGE(OFFSET($FI$3,0,0,'Données projet'!$E$16+1,1))-AVERAGE(OFFSET($H$3,0,0,'Données projet'!$E$16+1,1))</f>
        <v>508.71179785154317</v>
      </c>
      <c r="FK189" s="59">
        <f t="shared" si="156"/>
        <v>422.73937290731442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34.053322116415416</v>
      </c>
      <c r="FR189" s="21">
        <f>EXP(-LN(2)/25)*FR188+(1-EXP(-LN(2)/25))/(LN(2)/25)*Calculateur!FM189*Calculateur!FO189*VLOOKUP('Données projet'!$B$16,Paramètres!$A$1:$I$89,3,0)*0.475*44/12</f>
        <v>3.6014143717154083</v>
      </c>
      <c r="FS189" s="21">
        <f>EXP(-LN(2)/2)*FS188+(1-EXP(-LN(2)/2))/(LN(2)/2)*FM189*FP189*VLOOKUP('Données projet'!$B$16,Paramètres!$A$1:$I$89,3,0)*0.475*44/12</f>
        <v>4.7816086583794772E-15</v>
      </c>
      <c r="FT189" s="22">
        <f t="shared" si="184"/>
        <v>37.65473648813083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69.739579460522236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69.739579460522236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1.35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4.95</v>
      </c>
      <c r="H190" s="67">
        <f t="shared" si="110"/>
        <v>236.86666666666665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69.744097174669065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5.6843418860808015E-14</v>
      </c>
      <c r="O190" s="13">
        <f>N190*VLOOKUP('Données projet'!$B$9,Paramètres!$A$1:$I$89,3,0)*VLOOKUP('Données projet'!$B$9,Paramètres!$A$1:$I$89,5,0)</f>
        <v>5.1431925385259088E-14</v>
      </c>
      <c r="P190" s="13">
        <f t="shared" si="141"/>
        <v>8.3482866290946129E-13</v>
      </c>
      <c r="Q190" s="20">
        <f t="shared" si="162"/>
        <v>1.5435705246133045E-12</v>
      </c>
      <c r="R190" s="59">
        <f t="shared" si="109"/>
        <v>292.39502297378812</v>
      </c>
      <c r="S190" s="59">
        <f ca="1">AVERAGE(OFFSET($R$3,0,0,'Données projet'!$E$9+1,1))-AVERAGE(OFFSET($H$3,0,0,'Données projet'!$E$9+1,1))</f>
        <v>466.90449882701591</v>
      </c>
      <c r="T190" s="59">
        <f t="shared" si="142"/>
        <v>283.37641704892053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49.593719042104723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49.593719042104723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69.744097174669065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-4.5474735088646412E-13</v>
      </c>
      <c r="AJ190" s="13">
        <f>AI190*VLOOKUP('Données projet'!$B$10,Paramètres!$A$1:$I$89,3,0)*VLOOKUP('Données projet'!$B$10,Paramètres!$A$1:$I$89,5,0)</f>
        <v>-4.3273757910355926E-13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399.5572791581468</v>
      </c>
      <c r="AO190" s="59">
        <f t="shared" si="144"/>
        <v>246.34185986079777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34.706827720882664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34.706827720882664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69.744097174669065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5.6843418860808015E-14</v>
      </c>
      <c r="BE190" s="13">
        <f>BD190*VLOOKUP('Données projet'!$B$11,Paramètres!$A$1:$I$89,3,0)*VLOOKUP('Données projet'!$B$11,Paramètres!$A$1:$I$89,5,0)</f>
        <v>4.4337866711430253E-14</v>
      </c>
      <c r="BF190" s="13">
        <f t="shared" si="167"/>
        <v>7.3222115536967035E-13</v>
      </c>
      <c r="BG190" s="20">
        <f t="shared" si="168"/>
        <v>1.3525069634579169E-12</v>
      </c>
      <c r="BH190" s="59">
        <f t="shared" si="116"/>
        <v>292.39502297378795</v>
      </c>
      <c r="BI190" s="59">
        <f ca="1">AVERAGE(OFFSET($BH$3,0,0,'Données projet'!$E$11+1,1))-AVERAGE(OFFSET($H$3,0,0,'Données projet'!$E$11+1,1))</f>
        <v>294.23449029791681</v>
      </c>
      <c r="BJ190" s="59">
        <f t="shared" si="146"/>
        <v>288.64639202306159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9.0905994727512365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9.0905994727512365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69.744097174669065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-4.5474735088646412E-13</v>
      </c>
      <c r="BZ190" s="13">
        <f>BY190*VLOOKUP('Données projet'!$B$12,Paramètres!$A$1:$I$89,3,0)*VLOOKUP('Données projet'!$B$12,Paramètres!$A$1:$I$89,5,0)</f>
        <v>-4.8949004849418999E-13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445.38112098358147</v>
      </c>
      <c r="CE190" s="59">
        <f t="shared" si="148"/>
        <v>272.45883568548516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39.258542831818112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39.258542831818112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69.744097174669065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-4.5474735088646412E-13</v>
      </c>
      <c r="CU190" s="17">
        <f>CT190*VLOOKUP('Données projet'!$B$13,Paramètres!$A$1:$I$89,3,0)*VLOOKUP('Données projet'!$B$13,Paramètres!$A$1:$I$89,5,0)</f>
        <v>-4.8949004849418999E-13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445.38112098358147</v>
      </c>
      <c r="CZ190" s="59">
        <f t="shared" si="150"/>
        <v>272.45883568548516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39.258542831818112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39.258542831818112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69.744097174669065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-4.5474735088646412E-13</v>
      </c>
      <c r="DP190" s="17">
        <f>DO190*VLOOKUP('Données projet'!$B$14,Paramètres!$A$1:$I$89,3,0)*VLOOKUP('Données projet'!$B$14,Paramètres!$A$1:$I$89,5,0)</f>
        <v>-4.3983163777738812E-13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405.29179902613089</v>
      </c>
      <c r="DU190" s="59">
        <f t="shared" si="152"/>
        <v>249.61049717638238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35.275792109749617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35.275792109749617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69.744097174669065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-5.6843418860808015E-13</v>
      </c>
      <c r="EK190" s="17">
        <f>EJ190*VLOOKUP('Données projet'!$B$15,Paramètres!$A$1:$I$89,3,0)*VLOOKUP('Données projet'!$B$15,Paramètres!$A$1:$I$89,5,0)</f>
        <v>-3.39923644787632E-13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444.77624981561257</v>
      </c>
      <c r="EP190" s="59">
        <f t="shared" si="154"/>
        <v>382.10319641527587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26.256348695499867</v>
      </c>
      <c r="EW190" s="21">
        <f>EXP(-LN(2)/25)*EW189+(1-EXP(-LN(2)/25))/(LN(2)/25)*Calculateur!ER190*Calculateur!ET190*VLOOKUP('Données projet'!$B$15,Paramètres!$A$1:$I$89,3,0)*0.475*44/12</f>
        <v>2.1379892020028963</v>
      </c>
      <c r="EX190" s="21">
        <f>EXP(-LN(2)/2)*EX189+(1-EXP(-LN(2)/2))/(LN(2)/2)*ER190*EU190*VLOOKUP('Données projet'!$B$15,Paramètres!$A$1:$I$89,3,0)*0.475*44/12</f>
        <v>8.0660837502216719E-16</v>
      </c>
      <c r="EY190" s="22">
        <f t="shared" si="181"/>
        <v>28.394337897502762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69.744097174669065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3.4106051316484809E-13</v>
      </c>
      <c r="FF190" s="17">
        <f>FE190*VLOOKUP('Données projet'!$B$16,Paramètres!$A$1:$I$89,3,0)*VLOOKUP('Données projet'!$B$16,Paramètres!$A$1:$I$89,5,0)</f>
        <v>1.5074874681886286E-13</v>
      </c>
      <c r="FG190" s="13">
        <f t="shared" si="182"/>
        <v>2.1590218794584103E-12</v>
      </c>
      <c r="FH190" s="20">
        <f t="shared" si="183"/>
        <v>4.0228505074329168E-12</v>
      </c>
      <c r="FI190" s="59">
        <f t="shared" si="131"/>
        <v>292.39502297379062</v>
      </c>
      <c r="FJ190" s="59">
        <f ca="1">AVERAGE(OFFSET($FI$3,0,0,'Données projet'!$E$16+1,1))-AVERAGE(OFFSET($H$3,0,0,'Données projet'!$E$16+1,1))</f>
        <v>508.71179785154317</v>
      </c>
      <c r="FK190" s="59">
        <f t="shared" si="156"/>
        <v>422.73937290731442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33.385557240188085</v>
      </c>
      <c r="FR190" s="21">
        <f>EXP(-LN(2)/25)*FR189+(1-EXP(-LN(2)/25))/(LN(2)/25)*Calculateur!FM190*Calculateur!FO190*VLOOKUP('Données projet'!$B$16,Paramètres!$A$1:$I$89,3,0)*0.475*44/12</f>
        <v>3.5029335063306997</v>
      </c>
      <c r="FS190" s="21">
        <f>EXP(-LN(2)/2)*FS189+(1-EXP(-LN(2)/2))/(LN(2)/2)*FM190*FP190*VLOOKUP('Données projet'!$B$16,Paramètres!$A$1:$I$89,3,0)*0.475*44/12</f>
        <v>3.3811079073204381E-15</v>
      </c>
      <c r="FT190" s="22">
        <f t="shared" si="184"/>
        <v>36.888490746518784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69.744097174669065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69.744097174669065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1.35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4.95</v>
      </c>
      <c r="H191" s="67">
        <f t="shared" si="110"/>
        <v>236.86666666666665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69.748536516575541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5.6843418860808015E-14</v>
      </c>
      <c r="O191" s="13">
        <f>N191*VLOOKUP('Données projet'!$B$9,Paramètres!$A$1:$I$89,3,0)*VLOOKUP('Données projet'!$B$9,Paramètres!$A$1:$I$89,5,0)</f>
        <v>5.1431925385259088E-14</v>
      </c>
      <c r="P191" s="13">
        <f t="shared" si="141"/>
        <v>8.3482866290946129E-13</v>
      </c>
      <c r="Q191" s="20">
        <f t="shared" si="162"/>
        <v>1.5435705246133045E-12</v>
      </c>
      <c r="R191" s="59">
        <f t="shared" si="109"/>
        <v>292.4113005607785</v>
      </c>
      <c r="S191" s="59">
        <f ca="1">AVERAGE(OFFSET($R$3,0,0,'Données projet'!$E$9+1,1))-AVERAGE(OFFSET($H$3,0,0,'Données projet'!$E$9+1,1))</f>
        <v>466.90449882701591</v>
      </c>
      <c r="T191" s="59">
        <f t="shared" si="142"/>
        <v>283.37641704892053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48.621216460870805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48.621216460870805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69.748536516575541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-4.5474735088646412E-13</v>
      </c>
      <c r="AJ191" s="13">
        <f>AI191*VLOOKUP('Données projet'!$B$10,Paramètres!$A$1:$I$89,3,0)*VLOOKUP('Données projet'!$B$10,Paramètres!$A$1:$I$89,5,0)</f>
        <v>-4.3273757910355926E-13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399.5572791581468</v>
      </c>
      <c r="AO191" s="59">
        <f t="shared" si="144"/>
        <v>246.34185986079777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34.02624799835079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34.02624799835079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69.748536516575541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5.6843418860808015E-14</v>
      </c>
      <c r="BE191" s="13">
        <f>BD191*VLOOKUP('Données projet'!$B$11,Paramètres!$A$1:$I$89,3,0)*VLOOKUP('Données projet'!$B$11,Paramètres!$A$1:$I$89,5,0)</f>
        <v>4.4337866711430253E-14</v>
      </c>
      <c r="BF191" s="13">
        <f t="shared" si="167"/>
        <v>7.3222115536967035E-13</v>
      </c>
      <c r="BG191" s="20">
        <f t="shared" si="168"/>
        <v>1.3525069634579169E-12</v>
      </c>
      <c r="BH191" s="59">
        <f t="shared" si="116"/>
        <v>292.41130056077833</v>
      </c>
      <c r="BI191" s="59">
        <f ca="1">AVERAGE(OFFSET($BH$3,0,0,'Données projet'!$E$11+1,1))-AVERAGE(OFFSET($H$3,0,0,'Données projet'!$E$11+1,1))</f>
        <v>294.23449029791681</v>
      </c>
      <c r="BJ191" s="59">
        <f t="shared" si="146"/>
        <v>288.64639202306159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8.9123383618087679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8.9123383618087679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69.748536516575541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-4.5474735088646412E-13</v>
      </c>
      <c r="BZ191" s="13">
        <f>BY191*VLOOKUP('Données projet'!$B$12,Paramètres!$A$1:$I$89,3,0)*VLOOKUP('Données projet'!$B$12,Paramètres!$A$1:$I$89,5,0)</f>
        <v>-4.8949004849418999E-13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445.38112098358147</v>
      </c>
      <c r="CE191" s="59">
        <f t="shared" si="148"/>
        <v>272.45883568548516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38.488706752232879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38.488706752232879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69.748536516575541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-4.5474735088646412E-13</v>
      </c>
      <c r="CU191" s="17">
        <f>CT191*VLOOKUP('Données projet'!$B$13,Paramètres!$A$1:$I$89,3,0)*VLOOKUP('Données projet'!$B$13,Paramètres!$A$1:$I$89,5,0)</f>
        <v>-4.8949004849418999E-13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445.38112098358147</v>
      </c>
      <c r="CZ191" s="59">
        <f t="shared" si="150"/>
        <v>272.45883568548516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38.488706752232879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38.488706752232879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69.748536516575541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-4.5474735088646412E-13</v>
      </c>
      <c r="DP191" s="17">
        <f>DO191*VLOOKUP('Données projet'!$B$14,Paramètres!$A$1:$I$89,3,0)*VLOOKUP('Données projet'!$B$14,Paramètres!$A$1:$I$89,5,0)</f>
        <v>-4.3983163777738812E-13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405.29179902613089</v>
      </c>
      <c r="DU191" s="59">
        <f t="shared" si="152"/>
        <v>249.61049717638238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34.584055342586076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34.584055342586076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69.748536516575541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-5.6843418860808015E-13</v>
      </c>
      <c r="EK191" s="17">
        <f>EJ191*VLOOKUP('Données projet'!$B$15,Paramètres!$A$1:$I$89,3,0)*VLOOKUP('Données projet'!$B$15,Paramètres!$A$1:$I$89,5,0)</f>
        <v>-3.39923644787632E-13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444.77624981561257</v>
      </c>
      <c r="EP191" s="59">
        <f t="shared" si="154"/>
        <v>382.10319641527587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25.74147771237249</v>
      </c>
      <c r="EW191" s="21">
        <f>EXP(-LN(2)/25)*EW190+(1-EXP(-LN(2)/25))/(LN(2)/25)*Calculateur!ER191*Calculateur!ET191*VLOOKUP('Données projet'!$B$15,Paramètres!$A$1:$I$89,3,0)*0.475*44/12</f>
        <v>2.0795257748421614</v>
      </c>
      <c r="EX191" s="21">
        <f>EXP(-LN(2)/2)*EX190+(1-EXP(-LN(2)/2))/(LN(2)/2)*ER191*EU191*VLOOKUP('Données projet'!$B$15,Paramètres!$A$1:$I$89,3,0)*0.475*44/12</f>
        <v>5.7035825174003624E-16</v>
      </c>
      <c r="EY191" s="22">
        <f t="shared" si="181"/>
        <v>27.82100348721465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69.748536516575541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3.4106051316484809E-13</v>
      </c>
      <c r="FF191" s="17">
        <f>FE191*VLOOKUP('Données projet'!$B$16,Paramètres!$A$1:$I$89,3,0)*VLOOKUP('Données projet'!$B$16,Paramètres!$A$1:$I$89,5,0)</f>
        <v>1.5074874681886286E-13</v>
      </c>
      <c r="FG191" s="13">
        <f t="shared" si="182"/>
        <v>2.1590218794584103E-12</v>
      </c>
      <c r="FH191" s="20">
        <f t="shared" si="183"/>
        <v>4.0228505074329168E-12</v>
      </c>
      <c r="FI191" s="59">
        <f t="shared" si="131"/>
        <v>292.411300560781</v>
      </c>
      <c r="FJ191" s="59">
        <f ca="1">AVERAGE(OFFSET($FI$3,0,0,'Données projet'!$E$16+1,1))-AVERAGE(OFFSET($H$3,0,0,'Données projet'!$E$16+1,1))</f>
        <v>508.71179785154317</v>
      </c>
      <c r="FK191" s="59">
        <f t="shared" si="156"/>
        <v>422.73937290731442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32.730886825887218</v>
      </c>
      <c r="FR191" s="21">
        <f>EXP(-LN(2)/25)*FR190+(1-EXP(-LN(2)/25))/(LN(2)/25)*Calculateur!FM191*Calculateur!FO191*VLOOKUP('Données projet'!$B$16,Paramètres!$A$1:$I$89,3,0)*0.475*44/12</f>
        <v>3.4071456053888198</v>
      </c>
      <c r="FS191" s="21">
        <f>EXP(-LN(2)/2)*FS190+(1-EXP(-LN(2)/2))/(LN(2)/2)*FM191*FP191*VLOOKUP('Données projet'!$B$16,Paramètres!$A$1:$I$89,3,0)*0.475*44/12</f>
        <v>2.3908043291897386E-15</v>
      </c>
      <c r="FT191" s="22">
        <f t="shared" si="184"/>
        <v>36.138032431276038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69.748536516575541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69.748536516575541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1.35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4.95</v>
      </c>
      <c r="H192" s="67">
        <f t="shared" si="110"/>
        <v>236.86666666666665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69.752898845824831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5.6843418860808015E-14</v>
      </c>
      <c r="O192" s="13">
        <f>N192*VLOOKUP('Données projet'!$B$9,Paramètres!$A$1:$I$89,3,0)*VLOOKUP('Données projet'!$B$9,Paramètres!$A$1:$I$89,5,0)</f>
        <v>5.1431925385259088E-14</v>
      </c>
      <c r="P192" s="13">
        <f t="shared" si="141"/>
        <v>8.3482866290946129E-13</v>
      </c>
      <c r="Q192" s="20">
        <f t="shared" si="162"/>
        <v>1.5435705246133045E-12</v>
      </c>
      <c r="R192" s="59">
        <f t="shared" si="109"/>
        <v>292.42729576802594</v>
      </c>
      <c r="S192" s="59">
        <f ca="1">AVERAGE(OFFSET($R$3,0,0,'Données projet'!$E$9+1,1))-AVERAGE(OFFSET($H$3,0,0,'Données projet'!$E$9+1,1))</f>
        <v>466.90449882701591</v>
      </c>
      <c r="T192" s="59">
        <f t="shared" si="142"/>
        <v>283.37641704892053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47.667784062086881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47.667784062086881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69.752898845824831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-4.5474735088646412E-13</v>
      </c>
      <c r="AJ192" s="13">
        <f>AI192*VLOOKUP('Données projet'!$B$10,Paramètres!$A$1:$I$89,3,0)*VLOOKUP('Données projet'!$B$10,Paramètres!$A$1:$I$89,5,0)</f>
        <v>-4.3273757910355926E-13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399.5572791581468</v>
      </c>
      <c r="AO192" s="59">
        <f t="shared" si="144"/>
        <v>246.34185986079777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33.359014029065129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33.359014029065129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69.752898845824831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5.6843418860808015E-14</v>
      </c>
      <c r="BE192" s="13">
        <f>BD192*VLOOKUP('Données projet'!$B$11,Paramètres!$A$1:$I$89,3,0)*VLOOKUP('Données projet'!$B$11,Paramètres!$A$1:$I$89,5,0)</f>
        <v>4.4337866711430253E-14</v>
      </c>
      <c r="BF192" s="13">
        <f t="shared" si="167"/>
        <v>7.3222115536967035E-13</v>
      </c>
      <c r="BG192" s="20">
        <f t="shared" si="168"/>
        <v>1.3525069634579169E-12</v>
      </c>
      <c r="BH192" s="59">
        <f t="shared" si="116"/>
        <v>292.42729576802577</v>
      </c>
      <c r="BI192" s="59">
        <f ca="1">AVERAGE(OFFSET($BH$3,0,0,'Données projet'!$E$11+1,1))-AVERAGE(OFFSET($H$3,0,0,'Données projet'!$E$11+1,1))</f>
        <v>294.23449029791681</v>
      </c>
      <c r="BJ192" s="59">
        <f t="shared" si="146"/>
        <v>288.64639202306159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8.7375728425233401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8.7375728425233401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69.752898845824831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-4.5474735088646412E-13</v>
      </c>
      <c r="BZ192" s="13">
        <f>BY192*VLOOKUP('Données projet'!$B$12,Paramètres!$A$1:$I$89,3,0)*VLOOKUP('Données projet'!$B$12,Paramètres!$A$1:$I$89,5,0)</f>
        <v>-4.8949004849418999E-13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445.38112098358147</v>
      </c>
      <c r="CE192" s="59">
        <f t="shared" si="148"/>
        <v>272.45883568548516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37.733966688614672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37.733966688614672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69.752898845824831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-4.5474735088646412E-13</v>
      </c>
      <c r="CU192" s="17">
        <f>CT192*VLOOKUP('Données projet'!$B$13,Paramètres!$A$1:$I$89,3,0)*VLOOKUP('Données projet'!$B$13,Paramètres!$A$1:$I$89,5,0)</f>
        <v>-4.8949004849418999E-13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445.38112098358147</v>
      </c>
      <c r="CZ192" s="59">
        <f t="shared" si="150"/>
        <v>272.45883568548516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37.733966688614672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37.733966688614672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69.752898845824831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-4.5474735088646412E-13</v>
      </c>
      <c r="DP192" s="17">
        <f>DO192*VLOOKUP('Données projet'!$B$14,Paramètres!$A$1:$I$89,3,0)*VLOOKUP('Données projet'!$B$14,Paramètres!$A$1:$I$89,5,0)</f>
        <v>-4.3983163777738812E-13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405.29179902613089</v>
      </c>
      <c r="DU192" s="59">
        <f t="shared" si="152"/>
        <v>249.61049717638238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33.905883111508842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33.905883111508842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69.752898845824831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-5.6843418860808015E-13</v>
      </c>
      <c r="EK192" s="17">
        <f>EJ192*VLOOKUP('Données projet'!$B$15,Paramètres!$A$1:$I$89,3,0)*VLOOKUP('Données projet'!$B$15,Paramètres!$A$1:$I$89,5,0)</f>
        <v>-3.39923644787632E-13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444.77624981561257</v>
      </c>
      <c r="EP192" s="59">
        <f t="shared" si="154"/>
        <v>382.10319641527587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25.23670303518395</v>
      </c>
      <c r="EW192" s="21">
        <f>EXP(-LN(2)/25)*EW191+(1-EXP(-LN(2)/25))/(LN(2)/25)*Calculateur!ER192*Calculateur!ET192*VLOOKUP('Données projet'!$B$15,Paramètres!$A$1:$I$89,3,0)*0.475*44/12</f>
        <v>2.0226610331715946</v>
      </c>
      <c r="EX192" s="21">
        <f>EXP(-LN(2)/2)*EX191+(1-EXP(-LN(2)/2))/(LN(2)/2)*ER192*EU192*VLOOKUP('Données projet'!$B$15,Paramètres!$A$1:$I$89,3,0)*0.475*44/12</f>
        <v>4.033041875110836E-16</v>
      </c>
      <c r="EY192" s="22">
        <f t="shared" si="181"/>
        <v>27.259364068355545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69.752898845824831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3.4106051316484809E-13</v>
      </c>
      <c r="FF192" s="17">
        <f>FE192*VLOOKUP('Données projet'!$B$16,Paramètres!$A$1:$I$89,3,0)*VLOOKUP('Données projet'!$B$16,Paramètres!$A$1:$I$89,5,0)</f>
        <v>1.5074874681886286E-13</v>
      </c>
      <c r="FG192" s="13">
        <f t="shared" si="182"/>
        <v>2.1590218794584103E-12</v>
      </c>
      <c r="FH192" s="20">
        <f t="shared" si="183"/>
        <v>4.0228505074329168E-12</v>
      </c>
      <c r="FI192" s="59">
        <f t="shared" si="131"/>
        <v>292.42729576802844</v>
      </c>
      <c r="FJ192" s="59">
        <f ca="1">AVERAGE(OFFSET($FI$3,0,0,'Données projet'!$E$16+1,1))-AVERAGE(OFFSET($H$3,0,0,'Données projet'!$E$16+1,1))</f>
        <v>508.71179785154317</v>
      </c>
      <c r="FK192" s="59">
        <f t="shared" si="156"/>
        <v>422.73937290731442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32.089054099101268</v>
      </c>
      <c r="FR192" s="21">
        <f>EXP(-LN(2)/25)*FR191+(1-EXP(-LN(2)/25))/(LN(2)/25)*Calculateur!FM192*Calculateur!FO192*VLOOKUP('Données projet'!$B$16,Paramètres!$A$1:$I$89,3,0)*0.475*44/12</f>
        <v>3.3139770296354625</v>
      </c>
      <c r="FS192" s="21">
        <f>EXP(-LN(2)/2)*FS191+(1-EXP(-LN(2)/2))/(LN(2)/2)*FM192*FP192*VLOOKUP('Données projet'!$B$16,Paramètres!$A$1:$I$89,3,0)*0.475*44/12</f>
        <v>1.6905539536602191E-15</v>
      </c>
      <c r="FT192" s="22">
        <f t="shared" si="184"/>
        <v>35.403031128736728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69.752898845824831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69.752898845824831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1.35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4.95</v>
      </c>
      <c r="H193" s="67">
        <f t="shared" si="110"/>
        <v>236.86666666666665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69.757185498414344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5.6843418860808015E-14</v>
      </c>
      <c r="O193" s="13">
        <f>N193*VLOOKUP('Données projet'!$B$9,Paramètres!$A$1:$I$89,3,0)*VLOOKUP('Données projet'!$B$9,Paramètres!$A$1:$I$89,5,0)</f>
        <v>5.1431925385259088E-14</v>
      </c>
      <c r="P193" s="13">
        <f t="shared" si="141"/>
        <v>8.3482866290946129E-13</v>
      </c>
      <c r="Q193" s="20">
        <f t="shared" si="162"/>
        <v>1.5435705246133045E-12</v>
      </c>
      <c r="R193" s="59">
        <f t="shared" si="109"/>
        <v>292.44301349418743</v>
      </c>
      <c r="S193" s="59">
        <f ca="1">AVERAGE(OFFSET($R$3,0,0,'Données projet'!$E$9+1,1))-AVERAGE(OFFSET($H$3,0,0,'Données projet'!$E$9+1,1))</f>
        <v>466.90449882701591</v>
      </c>
      <c r="T193" s="59">
        <f t="shared" si="142"/>
        <v>283.37641704892053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46.733047891106771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46.733047891106771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69.757185498414344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-4.5474735088646412E-13</v>
      </c>
      <c r="AJ193" s="13">
        <f>AI193*VLOOKUP('Données projet'!$B$10,Paramètres!$A$1:$I$89,3,0)*VLOOKUP('Données projet'!$B$10,Paramètres!$A$1:$I$89,5,0)</f>
        <v>-4.3273757910355926E-13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399.5572791581468</v>
      </c>
      <c r="AO193" s="59">
        <f t="shared" si="144"/>
        <v>246.34185986079777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32.704864110944619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32.704864110944619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69.757185498414344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5.6843418860808015E-14</v>
      </c>
      <c r="BE193" s="13">
        <f>BD193*VLOOKUP('Données projet'!$B$11,Paramètres!$A$1:$I$89,3,0)*VLOOKUP('Données projet'!$B$11,Paramètres!$A$1:$I$89,5,0)</f>
        <v>4.4337866711430253E-14</v>
      </c>
      <c r="BF193" s="13">
        <f t="shared" si="167"/>
        <v>7.3222115536967035E-13</v>
      </c>
      <c r="BG193" s="20">
        <f t="shared" si="168"/>
        <v>1.3525069634579169E-12</v>
      </c>
      <c r="BH193" s="59">
        <f t="shared" si="116"/>
        <v>292.44301349418726</v>
      </c>
      <c r="BI193" s="59">
        <f ca="1">AVERAGE(OFFSET($BH$3,0,0,'Données projet'!$E$11+1,1))-AVERAGE(OFFSET($H$3,0,0,'Données projet'!$E$11+1,1))</f>
        <v>294.23449029791681</v>
      </c>
      <c r="BJ193" s="59">
        <f t="shared" si="146"/>
        <v>288.64639202306159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8.5662343684746567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8.5662343684746567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69.757185498414344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-4.5474735088646412E-13</v>
      </c>
      <c r="BZ193" s="13">
        <f>BY193*VLOOKUP('Données projet'!$B$12,Paramètres!$A$1:$I$89,3,0)*VLOOKUP('Données projet'!$B$12,Paramètres!$A$1:$I$89,5,0)</f>
        <v>-4.8949004849418999E-13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445.38112098358147</v>
      </c>
      <c r="CE193" s="59">
        <f t="shared" si="148"/>
        <v>272.45883568548516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36.994026617298033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36.994026617298033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69.757185498414344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-4.5474735088646412E-13</v>
      </c>
      <c r="CU193" s="17">
        <f>CT193*VLOOKUP('Données projet'!$B$13,Paramètres!$A$1:$I$89,3,0)*VLOOKUP('Données projet'!$B$13,Paramètres!$A$1:$I$89,5,0)</f>
        <v>-4.8949004849418999E-13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445.38112098358147</v>
      </c>
      <c r="CZ193" s="59">
        <f t="shared" si="150"/>
        <v>272.45883568548516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36.994026617298033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36.994026617298033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69.757185498414344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-4.5474735088646412E-13</v>
      </c>
      <c r="DP193" s="17">
        <f>DO193*VLOOKUP('Données projet'!$B$14,Paramètres!$A$1:$I$89,3,0)*VLOOKUP('Données projet'!$B$14,Paramètres!$A$1:$I$89,5,0)</f>
        <v>-4.3983163777738812E-13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405.29179902613089</v>
      </c>
      <c r="DU193" s="59">
        <f t="shared" si="152"/>
        <v>249.61049717638238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33.241009424238818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33.241009424238818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69.757185498414344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-5.6843418860808015E-13</v>
      </c>
      <c r="EK193" s="17">
        <f>EJ193*VLOOKUP('Données projet'!$B$15,Paramètres!$A$1:$I$89,3,0)*VLOOKUP('Données projet'!$B$15,Paramètres!$A$1:$I$89,5,0)</f>
        <v>-3.39923644787632E-13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444.77624981561257</v>
      </c>
      <c r="EP193" s="59">
        <f t="shared" si="154"/>
        <v>382.10319641527587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24.741826681532924</v>
      </c>
      <c r="EW193" s="21">
        <f>EXP(-LN(2)/25)*EW192+(1-EXP(-LN(2)/25))/(LN(2)/25)*Calculateur!ER193*Calculateur!ET193*VLOOKUP('Données projet'!$B$15,Paramètres!$A$1:$I$89,3,0)*0.475*44/12</f>
        <v>1.9673512608523964</v>
      </c>
      <c r="EX193" s="21">
        <f>EXP(-LN(2)/2)*EX192+(1-EXP(-LN(2)/2))/(LN(2)/2)*ER193*EU193*VLOOKUP('Données projet'!$B$15,Paramètres!$A$1:$I$89,3,0)*0.475*44/12</f>
        <v>2.8517912587001812E-16</v>
      </c>
      <c r="EY193" s="22">
        <f t="shared" si="181"/>
        <v>26.70917794238532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69.757185498414344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3.4106051316484809E-13</v>
      </c>
      <c r="FF193" s="17">
        <f>FE193*VLOOKUP('Données projet'!$B$16,Paramètres!$A$1:$I$89,3,0)*VLOOKUP('Données projet'!$B$16,Paramètres!$A$1:$I$89,5,0)</f>
        <v>1.5074874681886286E-13</v>
      </c>
      <c r="FG193" s="13">
        <f t="shared" si="182"/>
        <v>2.1590218794584103E-12</v>
      </c>
      <c r="FH193" s="20">
        <f t="shared" si="183"/>
        <v>4.0228505074329168E-12</v>
      </c>
      <c r="FI193" s="59">
        <f t="shared" si="131"/>
        <v>292.44301349418993</v>
      </c>
      <c r="FJ193" s="59">
        <f ca="1">AVERAGE(OFFSET($FI$3,0,0,'Données projet'!$E$16+1,1))-AVERAGE(OFFSET($H$3,0,0,'Données projet'!$E$16+1,1))</f>
        <v>508.71179785154317</v>
      </c>
      <c r="FK193" s="59">
        <f t="shared" si="156"/>
        <v>422.73937290731442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31.459807320608281</v>
      </c>
      <c r="FR193" s="21">
        <f>EXP(-LN(2)/25)*FR192+(1-EXP(-LN(2)/25))/(LN(2)/25)*Calculateur!FM193*Calculateur!FO193*VLOOKUP('Données projet'!$B$16,Paramètres!$A$1:$I$89,3,0)*0.475*44/12</f>
        <v>3.2233561534856028</v>
      </c>
      <c r="FS193" s="21">
        <f>EXP(-LN(2)/2)*FS192+(1-EXP(-LN(2)/2))/(LN(2)/2)*FM193*FP193*VLOOKUP('Données projet'!$B$16,Paramètres!$A$1:$I$89,3,0)*0.475*44/12</f>
        <v>1.1954021645948693E-15</v>
      </c>
      <c r="FT193" s="22">
        <f t="shared" si="184"/>
        <v>34.683163474093881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69.757185498414344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69.757185498414344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1.35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4.95</v>
      </c>
      <c r="H194" s="67">
        <f t="shared" si="110"/>
        <v>236.86666666666665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69.761397787164967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5.6843418860808015E-14</v>
      </c>
      <c r="O194" s="13">
        <f>N194*VLOOKUP('Données projet'!$B$9,Paramètres!$A$1:$I$89,3,0)*VLOOKUP('Données projet'!$B$9,Paramètres!$A$1:$I$89,5,0)</f>
        <v>5.1431925385259088E-14</v>
      </c>
      <c r="P194" s="13">
        <f t="shared" si="141"/>
        <v>8.3482866290946129E-13</v>
      </c>
      <c r="Q194" s="20">
        <f t="shared" si="162"/>
        <v>1.5435705246133045E-12</v>
      </c>
      <c r="R194" s="59">
        <f t="shared" si="109"/>
        <v>292.45845855293976</v>
      </c>
      <c r="S194" s="59">
        <f ca="1">AVERAGE(OFFSET($R$3,0,0,'Données projet'!$E$9+1,1))-AVERAGE(OFFSET($H$3,0,0,'Données projet'!$E$9+1,1))</f>
        <v>466.90449882701591</v>
      </c>
      <c r="T194" s="59">
        <f t="shared" si="142"/>
        <v>283.37641704892053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45.816641326306808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45.816641326306808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69.761397787164967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-4.5474735088646412E-13</v>
      </c>
      <c r="AJ194" s="13">
        <f>AI194*VLOOKUP('Données projet'!$B$10,Paramètres!$A$1:$I$89,3,0)*VLOOKUP('Données projet'!$B$10,Paramètres!$A$1:$I$89,5,0)</f>
        <v>-4.3273757910355926E-13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399.5572791581468</v>
      </c>
      <c r="AO194" s="59">
        <f t="shared" si="144"/>
        <v>246.34185986079777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32.063541673726405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32.063541673726405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69.761397787164967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5.6843418860808015E-14</v>
      </c>
      <c r="BE194" s="13">
        <f>BD194*VLOOKUP('Données projet'!$B$11,Paramètres!$A$1:$I$89,3,0)*VLOOKUP('Données projet'!$B$11,Paramètres!$A$1:$I$89,5,0)</f>
        <v>4.4337866711430253E-14</v>
      </c>
      <c r="BF194" s="13">
        <f t="shared" si="167"/>
        <v>7.3222115536967035E-13</v>
      </c>
      <c r="BG194" s="20">
        <f t="shared" si="168"/>
        <v>1.3525069634579169E-12</v>
      </c>
      <c r="BH194" s="59">
        <f t="shared" si="116"/>
        <v>292.45845855293959</v>
      </c>
      <c r="BI194" s="59">
        <f ca="1">AVERAGE(OFFSET($BH$3,0,0,'Données projet'!$E$11+1,1))-AVERAGE(OFFSET($H$3,0,0,'Données projet'!$E$11+1,1))</f>
        <v>294.23449029791681</v>
      </c>
      <c r="BJ194" s="59">
        <f t="shared" si="146"/>
        <v>288.64639202306159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8.3982557373959192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8.3982557373959192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69.761397787164967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-4.5474735088646412E-13</v>
      </c>
      <c r="BZ194" s="13">
        <f>BY194*VLOOKUP('Données projet'!$B$12,Paramètres!$A$1:$I$89,3,0)*VLOOKUP('Données projet'!$B$12,Paramètres!$A$1:$I$89,5,0)</f>
        <v>-4.8949004849418999E-13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445.38112098358147</v>
      </c>
      <c r="CE194" s="59">
        <f t="shared" si="148"/>
        <v>272.45883568548516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36.268596319461032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36.268596319461032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69.761397787164967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-4.5474735088646412E-13</v>
      </c>
      <c r="CU194" s="17">
        <f>CT194*VLOOKUP('Données projet'!$B$13,Paramètres!$A$1:$I$89,3,0)*VLOOKUP('Données projet'!$B$13,Paramètres!$A$1:$I$89,5,0)</f>
        <v>-4.8949004849418999E-13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445.38112098358147</v>
      </c>
      <c r="CZ194" s="59">
        <f t="shared" si="150"/>
        <v>272.45883568548516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36.268596319461032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36.268596319461032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69.761397787164967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-4.5474735088646412E-13</v>
      </c>
      <c r="DP194" s="17">
        <f>DO194*VLOOKUP('Données projet'!$B$14,Paramètres!$A$1:$I$89,3,0)*VLOOKUP('Données projet'!$B$14,Paramètres!$A$1:$I$89,5,0)</f>
        <v>-4.3983163777738812E-13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405.29179902613089</v>
      </c>
      <c r="DU194" s="59">
        <f t="shared" si="152"/>
        <v>249.61049717638238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32.589173504443252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32.589173504443252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69.761397787164967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-5.6843418860808015E-13</v>
      </c>
      <c r="EK194" s="17">
        <f>EJ194*VLOOKUP('Données projet'!$B$15,Paramètres!$A$1:$I$89,3,0)*VLOOKUP('Données projet'!$B$15,Paramètres!$A$1:$I$89,5,0)</f>
        <v>-3.39923644787632E-13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444.77624981561257</v>
      </c>
      <c r="EP194" s="59">
        <f t="shared" si="154"/>
        <v>382.10319641527587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24.256654551332225</v>
      </c>
      <c r="EW194" s="21">
        <f>EXP(-LN(2)/25)*EW193+(1-EXP(-LN(2)/25))/(LN(2)/25)*Calculateur!ER194*Calculateur!ET194*VLOOKUP('Données projet'!$B$15,Paramètres!$A$1:$I$89,3,0)*0.475*44/12</f>
        <v>1.9135539371658812</v>
      </c>
      <c r="EX194" s="21">
        <f>EXP(-LN(2)/2)*EX193+(1-EXP(-LN(2)/2))/(LN(2)/2)*ER194*EU194*VLOOKUP('Données projet'!$B$15,Paramètres!$A$1:$I$89,3,0)*0.475*44/12</f>
        <v>2.016520937555418E-16</v>
      </c>
      <c r="EY194" s="22">
        <f t="shared" si="181"/>
        <v>26.170208488498105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69.761397787164967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3.4106051316484809E-13</v>
      </c>
      <c r="FF194" s="17">
        <f>FE194*VLOOKUP('Données projet'!$B$16,Paramètres!$A$1:$I$89,3,0)*VLOOKUP('Données projet'!$B$16,Paramètres!$A$1:$I$89,5,0)</f>
        <v>1.5074874681886286E-13</v>
      </c>
      <c r="FG194" s="13">
        <f t="shared" si="182"/>
        <v>2.1590218794584103E-12</v>
      </c>
      <c r="FH194" s="20">
        <f t="shared" si="183"/>
        <v>4.0228505074329168E-12</v>
      </c>
      <c r="FI194" s="59">
        <f t="shared" si="131"/>
        <v>292.45845855294226</v>
      </c>
      <c r="FJ194" s="59">
        <f ca="1">AVERAGE(OFFSET($FI$3,0,0,'Données projet'!$E$16+1,1))-AVERAGE(OFFSET($H$3,0,0,'Données projet'!$E$16+1,1))</f>
        <v>508.71179785154317</v>
      </c>
      <c r="FK194" s="59">
        <f t="shared" si="156"/>
        <v>422.73937290731442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30.842899687638901</v>
      </c>
      <c r="FR194" s="21">
        <f>EXP(-LN(2)/25)*FR193+(1-EXP(-LN(2)/25))/(LN(2)/25)*Calculateur!FM194*Calculateur!FO194*VLOOKUP('Données projet'!$B$16,Paramètres!$A$1:$I$89,3,0)*0.475*44/12</f>
        <v>3.1352133099596058</v>
      </c>
      <c r="FS194" s="21">
        <f>EXP(-LN(2)/2)*FS193+(1-EXP(-LN(2)/2))/(LN(2)/2)*FM194*FP194*VLOOKUP('Données projet'!$B$16,Paramètres!$A$1:$I$89,3,0)*0.475*44/12</f>
        <v>8.4527697683010953E-16</v>
      </c>
      <c r="FT194" s="22">
        <f t="shared" si="184"/>
        <v>33.978112997598508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69.761397787164967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69.761397787164967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1.35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4.95</v>
      </c>
      <c r="H195" s="67">
        <f t="shared" si="110"/>
        <v>236.86666666666665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69.765537002123011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5.6843418860808015E-14</v>
      </c>
      <c r="O195" s="13">
        <f>N195*VLOOKUP('Données projet'!$B$9,Paramètres!$A$1:$I$89,3,0)*VLOOKUP('Données projet'!$B$9,Paramètres!$A$1:$I$89,5,0)</f>
        <v>5.1431925385259088E-14</v>
      </c>
      <c r="P195" s="13">
        <f t="shared" si="141"/>
        <v>8.3482866290946129E-13</v>
      </c>
      <c r="Q195" s="20">
        <f t="shared" si="162"/>
        <v>1.5435705246133045E-12</v>
      </c>
      <c r="R195" s="59">
        <f t="shared" ref="R195:R203" si="191">Q195+(I195+J195)*44/12</f>
        <v>292.47363567445257</v>
      </c>
      <c r="S195" s="59">
        <f ca="1">AVERAGE(OFFSET($R$3,0,0,'Données projet'!$E$9+1,1))-AVERAGE(OFFSET($H$3,0,0,'Données projet'!$E$9+1,1))</f>
        <v>466.90449882701591</v>
      </c>
      <c r="T195" s="59">
        <f t="shared" si="142"/>
        <v>283.37641704892053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44.918204935289765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44.918204935289765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69.765537002123011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-4.5474735088646412E-13</v>
      </c>
      <c r="AJ195" s="13">
        <f>AI195*VLOOKUP('Données projet'!$B$10,Paramètres!$A$1:$I$89,3,0)*VLOOKUP('Données projet'!$B$10,Paramètres!$A$1:$I$89,5,0)</f>
        <v>-4.3273757910355926E-13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399.5572791581468</v>
      </c>
      <c r="AO195" s="59">
        <f t="shared" si="144"/>
        <v>246.34185986079777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31.434795178333975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31.434795178333975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69.765537002123011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5.6843418860808015E-14</v>
      </c>
      <c r="BE195" s="13">
        <f>BD195*VLOOKUP('Données projet'!$B$11,Paramètres!$A$1:$I$89,3,0)*VLOOKUP('Données projet'!$B$11,Paramètres!$A$1:$I$89,5,0)</f>
        <v>4.4337866711430253E-14</v>
      </c>
      <c r="BF195" s="13">
        <f t="shared" si="167"/>
        <v>7.3222115536967035E-13</v>
      </c>
      <c r="BG195" s="20">
        <f t="shared" si="168"/>
        <v>1.3525069634579169E-12</v>
      </c>
      <c r="BH195" s="59">
        <f t="shared" si="116"/>
        <v>292.4736356744524</v>
      </c>
      <c r="BI195" s="59">
        <f ca="1">AVERAGE(OFFSET($BH$3,0,0,'Données projet'!$E$11+1,1))-AVERAGE(OFFSET($H$3,0,0,'Données projet'!$E$11+1,1))</f>
        <v>294.23449029791681</v>
      </c>
      <c r="BJ195" s="59">
        <f t="shared" si="146"/>
        <v>288.64639202306159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8.2335710648157878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8.2335710648157878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69.765537002123011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-4.5474735088646412E-13</v>
      </c>
      <c r="BZ195" s="13">
        <f>BY195*VLOOKUP('Données projet'!$B$12,Paramètres!$A$1:$I$89,3,0)*VLOOKUP('Données projet'!$B$12,Paramètres!$A$1:$I$89,5,0)</f>
        <v>-4.8949004849418999E-13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445.38112098358147</v>
      </c>
      <c r="CE195" s="59">
        <f t="shared" si="148"/>
        <v>272.45883568548516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35.557391267295827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35.557391267295827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69.765537002123011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-4.5474735088646412E-13</v>
      </c>
      <c r="CU195" s="17">
        <f>CT195*VLOOKUP('Données projet'!$B$13,Paramètres!$A$1:$I$89,3,0)*VLOOKUP('Données projet'!$B$13,Paramètres!$A$1:$I$89,5,0)</f>
        <v>-4.8949004849418999E-13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445.38112098358147</v>
      </c>
      <c r="CZ195" s="59">
        <f t="shared" si="150"/>
        <v>272.45883568548516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35.557391267295827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35.557391267295827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69.765537002123011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-4.5474735088646412E-13</v>
      </c>
      <c r="DP195" s="17">
        <f>DO195*VLOOKUP('Données projet'!$B$14,Paramètres!$A$1:$I$89,3,0)*VLOOKUP('Données projet'!$B$14,Paramètres!$A$1:$I$89,5,0)</f>
        <v>-4.3983163777738812E-13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405.29179902613089</v>
      </c>
      <c r="DU195" s="59">
        <f t="shared" si="152"/>
        <v>249.61049717638238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31.950119689454223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31.950119689454223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69.765537002123011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-5.6843418860808015E-13</v>
      </c>
      <c r="EK195" s="17">
        <f>EJ195*VLOOKUP('Données projet'!$B$15,Paramètres!$A$1:$I$89,3,0)*VLOOKUP('Données projet'!$B$15,Paramètres!$A$1:$I$89,5,0)</f>
        <v>-3.39923644787632E-13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444.77624981561257</v>
      </c>
      <c r="EP195" s="59">
        <f t="shared" si="154"/>
        <v>382.10319641527587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23.780996350678983</v>
      </c>
      <c r="EW195" s="21">
        <f>EXP(-LN(2)/25)*EW194+(1-EXP(-LN(2)/25))/(LN(2)/25)*Calculateur!ER195*Calculateur!ET195*VLOOKUP('Données projet'!$B$15,Paramètres!$A$1:$I$89,3,0)*0.475*44/12</f>
        <v>1.8612277041246521</v>
      </c>
      <c r="EX195" s="21">
        <f>EXP(-LN(2)/2)*EX194+(1-EXP(-LN(2)/2))/(LN(2)/2)*ER195*EU195*VLOOKUP('Données projet'!$B$15,Paramètres!$A$1:$I$89,3,0)*0.475*44/12</f>
        <v>1.4258956293500906E-16</v>
      </c>
      <c r="EY195" s="22">
        <f t="shared" si="181"/>
        <v>25.642224054803634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69.765537002123011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3.4106051316484809E-13</v>
      </c>
      <c r="FF195" s="17">
        <f>FE195*VLOOKUP('Données projet'!$B$16,Paramètres!$A$1:$I$89,3,0)*VLOOKUP('Données projet'!$B$16,Paramètres!$A$1:$I$89,5,0)</f>
        <v>1.5074874681886286E-13</v>
      </c>
      <c r="FG195" s="13">
        <f t="shared" si="182"/>
        <v>2.1590218794584103E-12</v>
      </c>
      <c r="FH195" s="20">
        <f t="shared" si="183"/>
        <v>4.0228505074329168E-12</v>
      </c>
      <c r="FI195" s="59">
        <f t="shared" si="131"/>
        <v>292.47363567445507</v>
      </c>
      <c r="FJ195" s="59">
        <f ca="1">AVERAGE(OFFSET($FI$3,0,0,'Données projet'!$E$16+1,1))-AVERAGE(OFFSET($H$3,0,0,'Données projet'!$E$16+1,1))</f>
        <v>508.71179785154317</v>
      </c>
      <c r="FK195" s="59">
        <f t="shared" si="156"/>
        <v>422.73937290731442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30.238089237075549</v>
      </c>
      <c r="FR195" s="21">
        <f>EXP(-LN(2)/25)*FR194+(1-EXP(-LN(2)/25))/(LN(2)/25)*Calculateur!FM195*Calculateur!FO195*VLOOKUP('Données projet'!$B$16,Paramètres!$A$1:$I$89,3,0)*0.475*44/12</f>
        <v>3.0494807371250578</v>
      </c>
      <c r="FS195" s="21">
        <f>EXP(-LN(2)/2)*FS194+(1-EXP(-LN(2)/2))/(LN(2)/2)*FM195*FP195*VLOOKUP('Données projet'!$B$16,Paramètres!$A$1:$I$89,3,0)*0.475*44/12</f>
        <v>5.9770108229743465E-16</v>
      </c>
      <c r="FT195" s="22">
        <f t="shared" si="184"/>
        <v>33.287569974200608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69.765537002123011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69.765537002123011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1.35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4.95</v>
      </c>
      <c r="H196" s="67">
        <f t="shared" ref="H196:H203" si="192">(B196+E196+F196)*44/12+(C196+D196)*0.475*44/12</f>
        <v>236.86666666666665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69.769604410955452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5.6843418860808015E-14</v>
      </c>
      <c r="O196" s="13">
        <f>N196*VLOOKUP('Données projet'!$B$9,Paramètres!$A$1:$I$89,3,0)*VLOOKUP('Données projet'!$B$9,Paramètres!$A$1:$I$89,5,0)</f>
        <v>5.1431925385259088E-14</v>
      </c>
      <c r="P196" s="13">
        <f t="shared" si="141"/>
        <v>8.3482866290946129E-13</v>
      </c>
      <c r="Q196" s="20">
        <f t="shared" si="162"/>
        <v>1.5435705246133045E-12</v>
      </c>
      <c r="R196" s="59">
        <f t="shared" si="191"/>
        <v>292.48854950683818</v>
      </c>
      <c r="S196" s="59">
        <f ca="1">AVERAGE(OFFSET($R$3,0,0,'Données projet'!$E$9+1,1))-AVERAGE(OFFSET($H$3,0,0,'Données projet'!$E$9+1,1))</f>
        <v>466.90449882701591</v>
      </c>
      <c r="T196" s="59">
        <f t="shared" si="142"/>
        <v>283.37641704892053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44.037386333908472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44.037386333908472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69.769604410955452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-4.5474735088646412E-13</v>
      </c>
      <c r="AJ196" s="13">
        <f>AI196*VLOOKUP('Données projet'!$B$10,Paramètres!$A$1:$I$89,3,0)*VLOOKUP('Données projet'!$B$10,Paramètres!$A$1:$I$89,5,0)</f>
        <v>-4.3273757910355926E-13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399.5572791581468</v>
      </c>
      <c r="AO196" s="59">
        <f t="shared" si="144"/>
        <v>246.34185986079777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30.818378018218695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30.818378018218695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69.769604410955452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5.6843418860808015E-14</v>
      </c>
      <c r="BE196" s="13">
        <f>BD196*VLOOKUP('Données projet'!$B$11,Paramètres!$A$1:$I$89,3,0)*VLOOKUP('Données projet'!$B$11,Paramètres!$A$1:$I$89,5,0)</f>
        <v>4.4337866711430253E-14</v>
      </c>
      <c r="BF196" s="13">
        <f t="shared" si="167"/>
        <v>7.3222115536967035E-13</v>
      </c>
      <c r="BG196" s="20">
        <f t="shared" si="168"/>
        <v>1.3525069634579169E-12</v>
      </c>
      <c r="BH196" s="59">
        <f t="shared" ref="BH196:BH203" si="194">BG196+(AY196+AZ196)*44/12</f>
        <v>292.48854950683801</v>
      </c>
      <c r="BI196" s="59">
        <f ca="1">AVERAGE(OFFSET($BH$3,0,0,'Données projet'!$E$11+1,1))-AVERAGE(OFFSET($H$3,0,0,'Données projet'!$E$11+1,1))</f>
        <v>294.23449029791681</v>
      </c>
      <c r="BJ196" s="59">
        <f t="shared" si="146"/>
        <v>288.64639202306159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8.0721157582172207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8.0721157582172207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69.769604410955452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-4.5474735088646412E-13</v>
      </c>
      <c r="BZ196" s="13">
        <f>BY196*VLOOKUP('Données projet'!$B$12,Paramètres!$A$1:$I$89,3,0)*VLOOKUP('Données projet'!$B$12,Paramètres!$A$1:$I$89,5,0)</f>
        <v>-4.8949004849418999E-13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445.38112098358147</v>
      </c>
      <c r="CE196" s="59">
        <f t="shared" si="148"/>
        <v>272.45883568548516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34.860132512411333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34.860132512411333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69.769604410955452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-4.5474735088646412E-13</v>
      </c>
      <c r="CU196" s="17">
        <f>CT196*VLOOKUP('Données projet'!$B$13,Paramètres!$A$1:$I$89,3,0)*VLOOKUP('Données projet'!$B$13,Paramètres!$A$1:$I$89,5,0)</f>
        <v>-4.8949004849418999E-13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445.38112098358147</v>
      </c>
      <c r="CZ196" s="59">
        <f t="shared" si="150"/>
        <v>272.45883568548516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34.860132512411333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34.860132512411333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69.769604410955452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-4.5474735088646412E-13</v>
      </c>
      <c r="DP196" s="17">
        <f>DO196*VLOOKUP('Données projet'!$B$14,Paramètres!$A$1:$I$89,3,0)*VLOOKUP('Données projet'!$B$14,Paramètres!$A$1:$I$89,5,0)</f>
        <v>-4.3983163777738812E-13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405.29179902613089</v>
      </c>
      <c r="DU196" s="59">
        <f t="shared" si="152"/>
        <v>249.61049717638238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31.32359732999279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31.32359732999279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69.769604410955452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-5.6843418860808015E-13</v>
      </c>
      <c r="EK196" s="17">
        <f>EJ196*VLOOKUP('Données projet'!$B$15,Paramètres!$A$1:$I$89,3,0)*VLOOKUP('Données projet'!$B$15,Paramètres!$A$1:$I$89,5,0)</f>
        <v>-3.39923644787632E-13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444.77624981561257</v>
      </c>
      <c r="EP196" s="59">
        <f t="shared" si="154"/>
        <v>382.10319641527587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23.314665517217694</v>
      </c>
      <c r="EW196" s="21">
        <f>EXP(-LN(2)/25)*EW195+(1-EXP(-LN(2)/25))/(LN(2)/25)*Calculateur!ER196*Calculateur!ET196*VLOOKUP('Données projet'!$B$15,Paramètres!$A$1:$I$89,3,0)*0.475*44/12</f>
        <v>1.8103323346776525</v>
      </c>
      <c r="EX196" s="21">
        <f>EXP(-LN(2)/2)*EX195+(1-EXP(-LN(2)/2))/(LN(2)/2)*ER196*EU196*VLOOKUP('Données projet'!$B$15,Paramètres!$A$1:$I$89,3,0)*0.475*44/12</f>
        <v>1.008260468777709E-16</v>
      </c>
      <c r="EY196" s="22">
        <f t="shared" si="181"/>
        <v>25.124997851895348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69.769604410955452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3.4106051316484809E-13</v>
      </c>
      <c r="FF196" s="17">
        <f>FE196*VLOOKUP('Données projet'!$B$16,Paramètres!$A$1:$I$89,3,0)*VLOOKUP('Données projet'!$B$16,Paramètres!$A$1:$I$89,5,0)</f>
        <v>1.5074874681886286E-13</v>
      </c>
      <c r="FG196" s="13">
        <f t="shared" si="182"/>
        <v>2.1590218794584103E-12</v>
      </c>
      <c r="FH196" s="20">
        <f t="shared" si="183"/>
        <v>4.0228505074329168E-12</v>
      </c>
      <c r="FI196" s="59">
        <f t="shared" ref="FI196:FI203" si="199">FH196+(EZ196+FA196)*44/12</f>
        <v>292.48854950684068</v>
      </c>
      <c r="FJ196" s="59">
        <f ca="1">AVERAGE(OFFSET($FI$3,0,0,'Données projet'!$E$16+1,1))-AVERAGE(OFFSET($H$3,0,0,'Données projet'!$E$16+1,1))</f>
        <v>508.71179785154317</v>
      </c>
      <c r="FK196" s="59">
        <f t="shared" si="156"/>
        <v>422.73937290731442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29.645138750549798</v>
      </c>
      <c r="FR196" s="21">
        <f>EXP(-LN(2)/25)*FR195+(1-EXP(-LN(2)/25))/(LN(2)/25)*Calculateur!FM196*Calculateur!FO196*VLOOKUP('Données projet'!$B$16,Paramètres!$A$1:$I$89,3,0)*0.475*44/12</f>
        <v>2.966092526003151</v>
      </c>
      <c r="FS196" s="21">
        <f>EXP(-LN(2)/2)*FS195+(1-EXP(-LN(2)/2))/(LN(2)/2)*FM196*FP196*VLOOKUP('Données projet'!$B$16,Paramètres!$A$1:$I$89,3,0)*0.475*44/12</f>
        <v>4.2263848841505476E-16</v>
      </c>
      <c r="FT196" s="22">
        <f t="shared" si="184"/>
        <v>32.61123127655295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69.769604410955452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69.769604410955452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1.35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4.95</v>
      </c>
      <c r="H197" s="67">
        <f t="shared" si="192"/>
        <v>236.86666666666665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69.773601259337994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5.6843418860808015E-14</v>
      </c>
      <c r="O197" s="13">
        <f>N197*VLOOKUP('Données projet'!$B$9,Paramètres!$A$1:$I$89,3,0)*VLOOKUP('Données projet'!$B$9,Paramètres!$A$1:$I$89,5,0)</f>
        <v>5.1431925385259088E-14</v>
      </c>
      <c r="P197" s="13">
        <f t="shared" ref="P197:P203" si="203">EXP(-1.0587+0.8836*LN(O197)+0.284)</f>
        <v>8.3482866290946129E-13</v>
      </c>
      <c r="Q197" s="20">
        <f t="shared" si="162"/>
        <v>1.5435705246133045E-12</v>
      </c>
      <c r="R197" s="59">
        <f t="shared" si="191"/>
        <v>292.50320461757417</v>
      </c>
      <c r="S197" s="59">
        <f ca="1">AVERAGE(OFFSET($R$3,0,0,'Données projet'!$E$9+1,1))-AVERAGE(OFFSET($H$3,0,0,'Données projet'!$E$9+1,1))</f>
        <v>466.90449882701591</v>
      </c>
      <c r="T197" s="59">
        <f t="shared" ref="T197:T203" si="204">$T$3</f>
        <v>283.37641704892053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43.173840048053968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43.173840048053968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69.773601259337994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-4.5474735088646412E-13</v>
      </c>
      <c r="AJ197" s="13">
        <f>AI197*VLOOKUP('Données projet'!$B$10,Paramètres!$A$1:$I$89,3,0)*VLOOKUP('Données projet'!$B$10,Paramètres!$A$1:$I$89,5,0)</f>
        <v>-4.3273757910355926E-13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399.5572791581468</v>
      </c>
      <c r="AO197" s="59">
        <f t="shared" ref="AO197:AO203" si="205">$AO$3</f>
        <v>246.34185986079777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30.214048422635933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30.214048422635933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69.773601259337994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5.6843418860808015E-14</v>
      </c>
      <c r="BE197" s="13">
        <f>BD197*VLOOKUP('Données projet'!$B$11,Paramètres!$A$1:$I$89,3,0)*VLOOKUP('Données projet'!$B$11,Paramètres!$A$1:$I$89,5,0)</f>
        <v>4.4337866711430253E-14</v>
      </c>
      <c r="BF197" s="13">
        <f t="shared" si="167"/>
        <v>7.3222115536967035E-13</v>
      </c>
      <c r="BG197" s="20">
        <f t="shared" si="168"/>
        <v>1.3525069634579169E-12</v>
      </c>
      <c r="BH197" s="59">
        <f t="shared" si="194"/>
        <v>292.503204617574</v>
      </c>
      <c r="BI197" s="59">
        <f ca="1">AVERAGE(OFFSET($BH$3,0,0,'Données projet'!$E$11+1,1))-AVERAGE(OFFSET($H$3,0,0,'Données projet'!$E$11+1,1))</f>
        <v>294.23449029791681</v>
      </c>
      <c r="BJ197" s="59">
        <f t="shared" ref="BJ197:BJ203" si="206">$BJ$3</f>
        <v>288.64639202306159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7.9138264917030376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7.9138264917030376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69.773601259337994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-4.5474735088646412E-13</v>
      </c>
      <c r="BZ197" s="13">
        <f>BY197*VLOOKUP('Données projet'!$B$12,Paramètres!$A$1:$I$89,3,0)*VLOOKUP('Données projet'!$B$12,Paramètres!$A$1:$I$89,5,0)</f>
        <v>-4.8949004849418999E-13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445.38112098358147</v>
      </c>
      <c r="CE197" s="59">
        <f t="shared" ref="CE197:CE203" si="207">$CE$3</f>
        <v>272.45883568548516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34.176546576424272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34.176546576424272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69.773601259337994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-4.5474735088646412E-13</v>
      </c>
      <c r="CU197" s="17">
        <f>CT197*VLOOKUP('Données projet'!$B$13,Paramètres!$A$1:$I$89,3,0)*VLOOKUP('Données projet'!$B$13,Paramètres!$A$1:$I$89,5,0)</f>
        <v>-4.8949004849418999E-13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445.38112098358147</v>
      </c>
      <c r="CZ197" s="59">
        <f t="shared" ref="CZ197:CZ203" si="208">$CZ$3</f>
        <v>272.45883568548516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34.176546576424272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34.176546576424272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69.773601259337994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-4.5474735088646412E-13</v>
      </c>
      <c r="DP197" s="17">
        <f>DO197*VLOOKUP('Données projet'!$B$14,Paramètres!$A$1:$I$89,3,0)*VLOOKUP('Données projet'!$B$14,Paramètres!$A$1:$I$89,5,0)</f>
        <v>-4.3983163777738812E-13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405.29179902613089</v>
      </c>
      <c r="DU197" s="59">
        <f t="shared" ref="DU197:DU203" si="209">$DU$3</f>
        <v>249.61049717638238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30.709360691859491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30.709360691859491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69.773601259337994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-5.6843418860808015E-13</v>
      </c>
      <c r="EK197" s="17">
        <f>EJ197*VLOOKUP('Données projet'!$B$15,Paramètres!$A$1:$I$89,3,0)*VLOOKUP('Données projet'!$B$15,Paramètres!$A$1:$I$89,5,0)</f>
        <v>-3.39923644787632E-13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444.77624981561257</v>
      </c>
      <c r="EP197" s="59">
        <f t="shared" ref="EP197:EP203" si="210">$EP$3</f>
        <v>382.10319641527587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22.85747914696686</v>
      </c>
      <c r="EW197" s="21">
        <f>EXP(-LN(2)/25)*EW196+(1-EXP(-LN(2)/25))/(LN(2)/25)*Calculateur!ER197*Calculateur!ET197*VLOOKUP('Données projet'!$B$15,Paramètres!$A$1:$I$89,3,0)*0.475*44/12</f>
        <v>1.7608287017846522</v>
      </c>
      <c r="EX197" s="21">
        <f>EXP(-LN(2)/2)*EX196+(1-EXP(-LN(2)/2))/(LN(2)/2)*ER197*EU197*VLOOKUP('Données projet'!$B$15,Paramètres!$A$1:$I$89,3,0)*0.475*44/12</f>
        <v>7.1294781467504529E-17</v>
      </c>
      <c r="EY197" s="22">
        <f t="shared" si="181"/>
        <v>24.618307848751513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69.773601259337994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3.4106051316484809E-13</v>
      </c>
      <c r="FF197" s="17">
        <f>FE197*VLOOKUP('Données projet'!$B$16,Paramètres!$A$1:$I$89,3,0)*VLOOKUP('Données projet'!$B$16,Paramètres!$A$1:$I$89,5,0)</f>
        <v>1.5074874681886286E-13</v>
      </c>
      <c r="FG197" s="13">
        <f t="shared" si="182"/>
        <v>2.1590218794584103E-12</v>
      </c>
      <c r="FH197" s="20">
        <f t="shared" si="183"/>
        <v>4.0228505074329168E-12</v>
      </c>
      <c r="FI197" s="59">
        <f t="shared" si="199"/>
        <v>292.50320461757667</v>
      </c>
      <c r="FJ197" s="59">
        <f ca="1">AVERAGE(OFFSET($FI$3,0,0,'Données projet'!$E$16+1,1))-AVERAGE(OFFSET($H$3,0,0,'Données projet'!$E$16+1,1))</f>
        <v>508.71179785154317</v>
      </c>
      <c r="FK197" s="59">
        <f t="shared" ref="FK197:FK203" si="211">$FK$3</f>
        <v>422.73937290731442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29.063815661400728</v>
      </c>
      <c r="FR197" s="21">
        <f>EXP(-LN(2)/25)*FR196+(1-EXP(-LN(2)/25))/(LN(2)/25)*Calculateur!FM197*Calculateur!FO197*VLOOKUP('Données projet'!$B$16,Paramètres!$A$1:$I$89,3,0)*0.475*44/12</f>
        <v>2.8849845698995682</v>
      </c>
      <c r="FS197" s="21">
        <f>EXP(-LN(2)/2)*FS196+(1-EXP(-LN(2)/2))/(LN(2)/2)*FM197*FP197*VLOOKUP('Données projet'!$B$16,Paramètres!$A$1:$I$89,3,0)*0.475*44/12</f>
        <v>2.9885054114871733E-16</v>
      </c>
      <c r="FT197" s="22">
        <f t="shared" si="184"/>
        <v>31.948800231300297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69.773601259337994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69.773601259337994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1.35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4.95</v>
      </c>
      <c r="H198" s="67">
        <f t="shared" si="192"/>
        <v>236.86666666666665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69.777528771336733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5.6843418860808015E-14</v>
      </c>
      <c r="O198" s="13">
        <f>N198*VLOOKUP('Données projet'!$B$9,Paramètres!$A$1:$I$89,3,0)*VLOOKUP('Données projet'!$B$9,Paramètres!$A$1:$I$89,5,0)</f>
        <v>5.1431925385259088E-14</v>
      </c>
      <c r="P198" s="13">
        <f t="shared" si="203"/>
        <v>8.3482866290946129E-13</v>
      </c>
      <c r="Q198" s="20">
        <f t="shared" si="162"/>
        <v>1.5435705246133045E-12</v>
      </c>
      <c r="R198" s="59">
        <f t="shared" si="191"/>
        <v>292.51760549490291</v>
      </c>
      <c r="S198" s="59">
        <f ca="1">AVERAGE(OFFSET($R$3,0,0,'Données projet'!$E$9+1,1))-AVERAGE(OFFSET($H$3,0,0,'Données projet'!$E$9+1,1))</f>
        <v>466.90449882701591</v>
      </c>
      <c r="T198" s="59">
        <f t="shared" si="204"/>
        <v>283.37641704892053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42.32722737815385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42.32722737815385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69.777528771336733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-4.5474735088646412E-13</v>
      </c>
      <c r="AJ198" s="13">
        <f>AI198*VLOOKUP('Données projet'!$B$10,Paramètres!$A$1:$I$89,3,0)*VLOOKUP('Données projet'!$B$10,Paramètres!$A$1:$I$89,5,0)</f>
        <v>-4.3273757910355926E-13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399.5572791581468</v>
      </c>
      <c r="AO198" s="59">
        <f t="shared" si="205"/>
        <v>246.34185986079777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29.621569361817894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29.621569361817894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69.777528771336733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5.6843418860808015E-14</v>
      </c>
      <c r="BE198" s="13">
        <f>BD198*VLOOKUP('Données projet'!$B$11,Paramètres!$A$1:$I$89,3,0)*VLOOKUP('Données projet'!$B$11,Paramètres!$A$1:$I$89,5,0)</f>
        <v>4.4337866711430253E-14</v>
      </c>
      <c r="BF198" s="13">
        <f t="shared" si="167"/>
        <v>7.3222115536967035E-13</v>
      </c>
      <c r="BG198" s="20">
        <f t="shared" si="168"/>
        <v>1.3525069634579169E-12</v>
      </c>
      <c r="BH198" s="59">
        <f t="shared" si="194"/>
        <v>292.51760549490274</v>
      </c>
      <c r="BI198" s="59">
        <f ca="1">AVERAGE(OFFSET($BH$3,0,0,'Données projet'!$E$11+1,1))-AVERAGE(OFFSET($H$3,0,0,'Données projet'!$E$11+1,1))</f>
        <v>294.23449029791681</v>
      </c>
      <c r="BJ198" s="59">
        <f t="shared" si="206"/>
        <v>288.64639202306159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7.7586411811582785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7.7586411811582785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69.777528771336733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-4.5474735088646412E-13</v>
      </c>
      <c r="BZ198" s="13">
        <f>BY198*VLOOKUP('Données projet'!$B$12,Paramètres!$A$1:$I$89,3,0)*VLOOKUP('Données projet'!$B$12,Paramètres!$A$1:$I$89,5,0)</f>
        <v>-4.8949004849418999E-13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445.38112098358147</v>
      </c>
      <c r="CE198" s="59">
        <f t="shared" si="207"/>
        <v>272.45883568548516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33.50636534369567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33.50636534369567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69.777528771336733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-4.5474735088646412E-13</v>
      </c>
      <c r="CU198" s="17">
        <f>CT198*VLOOKUP('Données projet'!$B$13,Paramètres!$A$1:$I$89,3,0)*VLOOKUP('Données projet'!$B$13,Paramètres!$A$1:$I$89,5,0)</f>
        <v>-4.8949004849418999E-13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445.38112098358147</v>
      </c>
      <c r="CZ198" s="59">
        <f t="shared" si="208"/>
        <v>272.45883568548516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33.50636534369567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33.50636534369567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69.777528771336733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-4.5474735088646412E-13</v>
      </c>
      <c r="DP198" s="17">
        <f>DO198*VLOOKUP('Données projet'!$B$14,Paramètres!$A$1:$I$89,3,0)*VLOOKUP('Données projet'!$B$14,Paramètres!$A$1:$I$89,5,0)</f>
        <v>-4.3983163777738812E-13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405.29179902613089</v>
      </c>
      <c r="DU198" s="59">
        <f t="shared" si="209"/>
        <v>249.61049717638238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30.10716885955263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30.10716885955263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69.777528771336733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-5.6843418860808015E-13</v>
      </c>
      <c r="EK198" s="17">
        <f>EJ198*VLOOKUP('Données projet'!$B$15,Paramètres!$A$1:$I$89,3,0)*VLOOKUP('Données projet'!$B$15,Paramètres!$A$1:$I$89,5,0)</f>
        <v>-3.39923644787632E-13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444.77624981561257</v>
      </c>
      <c r="EP198" s="59">
        <f t="shared" si="210"/>
        <v>382.10319641527587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22.40925792258049</v>
      </c>
      <c r="EW198" s="21">
        <f>EXP(-LN(2)/25)*EW197+(1-EXP(-LN(2)/25))/(LN(2)/25)*Calculateur!ER198*Calculateur!ET198*VLOOKUP('Données projet'!$B$15,Paramètres!$A$1:$I$89,3,0)*0.475*44/12</f>
        <v>1.7126787483363939</v>
      </c>
      <c r="EX198" s="21">
        <f>EXP(-LN(2)/2)*EX197+(1-EXP(-LN(2)/2))/(LN(2)/2)*ER198*EU198*VLOOKUP('Données projet'!$B$15,Paramètres!$A$1:$I$89,3,0)*0.475*44/12</f>
        <v>5.0413023438885449E-17</v>
      </c>
      <c r="EY198" s="22">
        <f t="shared" si="181"/>
        <v>24.121936670916885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69.777528771336733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3.4106051316484809E-13</v>
      </c>
      <c r="FF198" s="17">
        <f>FE198*VLOOKUP('Données projet'!$B$16,Paramètres!$A$1:$I$89,3,0)*VLOOKUP('Données projet'!$B$16,Paramètres!$A$1:$I$89,5,0)</f>
        <v>1.5074874681886286E-13</v>
      </c>
      <c r="FG198" s="13">
        <f t="shared" si="182"/>
        <v>2.1590218794584103E-12</v>
      </c>
      <c r="FH198" s="20">
        <f t="shared" si="183"/>
        <v>4.0228505074329168E-12</v>
      </c>
      <c r="FI198" s="59">
        <f t="shared" si="199"/>
        <v>292.51760549490541</v>
      </c>
      <c r="FJ198" s="59">
        <f ca="1">AVERAGE(OFFSET($FI$3,0,0,'Données projet'!$E$16+1,1))-AVERAGE(OFFSET($H$3,0,0,'Données projet'!$E$16+1,1))</f>
        <v>508.71179785154317</v>
      </c>
      <c r="FK198" s="59">
        <f t="shared" si="211"/>
        <v>422.73937290731442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28.493891963457799</v>
      </c>
      <c r="FR198" s="21">
        <f>EXP(-LN(2)/25)*FR197+(1-EXP(-LN(2)/25))/(LN(2)/25)*Calculateur!FM198*Calculateur!FO198*VLOOKUP('Données projet'!$B$16,Paramètres!$A$1:$I$89,3,0)*0.475*44/12</f>
        <v>2.8060945151209196</v>
      </c>
      <c r="FS198" s="21">
        <f>EXP(-LN(2)/2)*FS197+(1-EXP(-LN(2)/2))/(LN(2)/2)*FM198*FP198*VLOOKUP('Données projet'!$B$16,Paramètres!$A$1:$I$89,3,0)*0.475*44/12</f>
        <v>2.1131924420752738E-16</v>
      </c>
      <c r="FT198" s="22">
        <f t="shared" si="184"/>
        <v>31.299986478578717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69.777528771336733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69.777528771336733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1.35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4.95</v>
      </c>
      <c r="H199" s="67">
        <f t="shared" si="192"/>
        <v>236.86666666666665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69.781388149782885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5.6843418860808015E-14</v>
      </c>
      <c r="O199" s="13">
        <f>N199*VLOOKUP('Données projet'!$B$9,Paramètres!$A$1:$I$89,3,0)*VLOOKUP('Données projet'!$B$9,Paramètres!$A$1:$I$89,5,0)</f>
        <v>5.1431925385259088E-14</v>
      </c>
      <c r="P199" s="13">
        <f t="shared" si="203"/>
        <v>8.3482866290946129E-13</v>
      </c>
      <c r="Q199" s="20">
        <f t="shared" si="162"/>
        <v>1.5435705246133045E-12</v>
      </c>
      <c r="R199" s="59">
        <f t="shared" si="191"/>
        <v>292.53175654920545</v>
      </c>
      <c r="S199" s="59">
        <f ca="1">AVERAGE(OFFSET($R$3,0,0,'Données projet'!$E$9+1,1))-AVERAGE(OFFSET($H$3,0,0,'Données projet'!$E$9+1,1))</f>
        <v>466.90449882701591</v>
      </c>
      <c r="T199" s="59">
        <f t="shared" si="204"/>
        <v>283.37641704892053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41.497216266327733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41.497216266327733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69.781388149782885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-4.5474735088646412E-13</v>
      </c>
      <c r="AJ199" s="13">
        <f>AI199*VLOOKUP('Données projet'!$B$10,Paramètres!$A$1:$I$89,3,0)*VLOOKUP('Données projet'!$B$10,Paramètres!$A$1:$I$89,5,0)</f>
        <v>-4.3273757910355926E-13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399.5572791581468</v>
      </c>
      <c r="AO199" s="59">
        <f t="shared" si="205"/>
        <v>246.34185986079777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29.040708454005951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29.040708454005951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69.781388149782885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5.6843418860808015E-14</v>
      </c>
      <c r="BE199" s="13">
        <f>BD199*VLOOKUP('Données projet'!$B$11,Paramètres!$A$1:$I$89,3,0)*VLOOKUP('Données projet'!$B$11,Paramètres!$A$1:$I$89,5,0)</f>
        <v>4.4337866711430253E-14</v>
      </c>
      <c r="BF199" s="13">
        <f t="shared" si="167"/>
        <v>7.3222115536967035E-13</v>
      </c>
      <c r="BG199" s="20">
        <f t="shared" si="168"/>
        <v>1.3525069634579169E-12</v>
      </c>
      <c r="BH199" s="59">
        <f t="shared" si="194"/>
        <v>292.53175654920528</v>
      </c>
      <c r="BI199" s="59">
        <f ca="1">AVERAGE(OFFSET($BH$3,0,0,'Données projet'!$E$11+1,1))-AVERAGE(OFFSET($H$3,0,0,'Données projet'!$E$11+1,1))</f>
        <v>294.23449029791681</v>
      </c>
      <c r="BJ199" s="59">
        <f t="shared" si="206"/>
        <v>288.64639202306159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7.6064989598996089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7.6064989598996089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69.781388149782885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-4.5474735088646412E-13</v>
      </c>
      <c r="BZ199" s="13">
        <f>BY199*VLOOKUP('Données projet'!$B$12,Paramètres!$A$1:$I$89,3,0)*VLOOKUP('Données projet'!$B$12,Paramètres!$A$1:$I$89,5,0)</f>
        <v>-4.8949004849418999E-13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445.38112098358147</v>
      </c>
      <c r="CE199" s="59">
        <f t="shared" si="207"/>
        <v>272.45883568548516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32.849325956170688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32.849325956170688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69.781388149782885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-4.5474735088646412E-13</v>
      </c>
      <c r="CU199" s="17">
        <f>CT199*VLOOKUP('Données projet'!$B$13,Paramètres!$A$1:$I$89,3,0)*VLOOKUP('Données projet'!$B$13,Paramètres!$A$1:$I$89,5,0)</f>
        <v>-4.8949004849418999E-13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445.38112098358147</v>
      </c>
      <c r="CZ199" s="59">
        <f t="shared" si="208"/>
        <v>272.45883568548516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32.849325956170688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32.849325956170688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69.781388149782885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-4.5474735088646412E-13</v>
      </c>
      <c r="DP199" s="17">
        <f>DO199*VLOOKUP('Données projet'!$B$14,Paramètres!$A$1:$I$89,3,0)*VLOOKUP('Données projet'!$B$14,Paramètres!$A$1:$I$89,5,0)</f>
        <v>-4.3983163777738812E-13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405.29179902613089</v>
      </c>
      <c r="DU199" s="59">
        <f t="shared" si="209"/>
        <v>249.61049717638238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29.516785641776558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29.516785641776558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69.781388149782885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-5.6843418860808015E-13</v>
      </c>
      <c r="EK199" s="17">
        <f>EJ199*VLOOKUP('Données projet'!$B$15,Paramètres!$A$1:$I$89,3,0)*VLOOKUP('Données projet'!$B$15,Paramètres!$A$1:$I$89,5,0)</f>
        <v>-3.39923644787632E-13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444.77624981561257</v>
      </c>
      <c r="EP199" s="59">
        <f t="shared" si="210"/>
        <v>382.10319641527587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21.969826043016386</v>
      </c>
      <c r="EW199" s="21">
        <f>EXP(-LN(2)/25)*EW198+(1-EXP(-LN(2)/25))/(LN(2)/25)*Calculateur!ER199*Calculateur!ET199*VLOOKUP('Données projet'!$B$15,Paramètres!$A$1:$I$89,3,0)*0.475*44/12</f>
        <v>1.6658454578972741</v>
      </c>
      <c r="EX199" s="21">
        <f>EXP(-LN(2)/2)*EX198+(1-EXP(-LN(2)/2))/(LN(2)/2)*ER199*EU199*VLOOKUP('Données projet'!$B$15,Paramètres!$A$1:$I$89,3,0)*0.475*44/12</f>
        <v>3.5647390733752265E-17</v>
      </c>
      <c r="EY199" s="22">
        <f t="shared" si="181"/>
        <v>23.635671500913659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69.781388149782885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3.4106051316484809E-13</v>
      </c>
      <c r="FF199" s="17">
        <f>FE199*VLOOKUP('Données projet'!$B$16,Paramètres!$A$1:$I$89,3,0)*VLOOKUP('Données projet'!$B$16,Paramètres!$A$1:$I$89,5,0)</f>
        <v>1.5074874681886286E-13</v>
      </c>
      <c r="FG199" s="13">
        <f t="shared" si="182"/>
        <v>2.1590218794584103E-12</v>
      </c>
      <c r="FH199" s="20">
        <f t="shared" si="183"/>
        <v>4.0228505074329168E-12</v>
      </c>
      <c r="FI199" s="59">
        <f t="shared" si="199"/>
        <v>292.53175654920796</v>
      </c>
      <c r="FJ199" s="59">
        <f ca="1">AVERAGE(OFFSET($FI$3,0,0,'Données projet'!$E$16+1,1))-AVERAGE(OFFSET($H$3,0,0,'Données projet'!$E$16+1,1))</f>
        <v>508.71179785154317</v>
      </c>
      <c r="FK199" s="59">
        <f t="shared" si="211"/>
        <v>422.73937290731442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27.935144121612399</v>
      </c>
      <c r="FR199" s="21">
        <f>EXP(-LN(2)/25)*FR198+(1-EXP(-LN(2)/25))/(LN(2)/25)*Calculateur!FM199*Calculateur!FO199*VLOOKUP('Données projet'!$B$16,Paramètres!$A$1:$I$89,3,0)*0.475*44/12</f>
        <v>2.7293617130388408</v>
      </c>
      <c r="FS199" s="21">
        <f>EXP(-LN(2)/2)*FS198+(1-EXP(-LN(2)/2))/(LN(2)/2)*FM199*FP199*VLOOKUP('Données projet'!$B$16,Paramètres!$A$1:$I$89,3,0)*0.475*44/12</f>
        <v>1.4942527057435866E-16</v>
      </c>
      <c r="FT199" s="22">
        <f t="shared" si="184"/>
        <v>30.664505834651241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69.781388149782885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69.781388149782885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1.35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4.95</v>
      </c>
      <c r="H200" s="67">
        <f t="shared" si="192"/>
        <v>236.86666666666665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69.785180576641267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5.6843418860808015E-14</v>
      </c>
      <c r="O200" s="13">
        <f>N200*VLOOKUP('Données projet'!$B$9,Paramètres!$A$1:$I$89,3,0)*VLOOKUP('Données projet'!$B$9,Paramètres!$A$1:$I$89,5,0)</f>
        <v>5.1431925385259088E-14</v>
      </c>
      <c r="P200" s="13">
        <f t="shared" si="203"/>
        <v>8.3482866290946129E-13</v>
      </c>
      <c r="Q200" s="20">
        <f t="shared" si="162"/>
        <v>1.5435705246133045E-12</v>
      </c>
      <c r="R200" s="59">
        <f t="shared" si="191"/>
        <v>292.54566211435281</v>
      </c>
      <c r="S200" s="59">
        <f ca="1">AVERAGE(OFFSET($R$3,0,0,'Données projet'!$E$9+1,1))-AVERAGE(OFFSET($H$3,0,0,'Données projet'!$E$9+1,1))</f>
        <v>466.90449882701591</v>
      </c>
      <c r="T200" s="59">
        <f t="shared" si="204"/>
        <v>283.37641704892053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40.683481166147736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40.683481166147736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69.785180576641267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-4.5474735088646412E-13</v>
      </c>
      <c r="AJ200" s="13">
        <f>AI200*VLOOKUP('Données projet'!$B$10,Paramètres!$A$1:$I$89,3,0)*VLOOKUP('Données projet'!$B$10,Paramètres!$A$1:$I$89,5,0)</f>
        <v>-4.3273757910355926E-13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399.5572791581468</v>
      </c>
      <c r="AO200" s="59">
        <f t="shared" si="205"/>
        <v>246.34185986079777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28.471237874306031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28.471237874306031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69.785180576641267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5.6843418860808015E-14</v>
      </c>
      <c r="BE200" s="13">
        <f>BD200*VLOOKUP('Données projet'!$B$11,Paramètres!$A$1:$I$89,3,0)*VLOOKUP('Données projet'!$B$11,Paramètres!$A$1:$I$89,5,0)</f>
        <v>4.4337866711430253E-14</v>
      </c>
      <c r="BF200" s="13">
        <f t="shared" si="167"/>
        <v>7.3222115536967035E-13</v>
      </c>
      <c r="BG200" s="20">
        <f t="shared" si="168"/>
        <v>1.3525069634579169E-12</v>
      </c>
      <c r="BH200" s="59">
        <f t="shared" si="194"/>
        <v>292.54566211435264</v>
      </c>
      <c r="BI200" s="59">
        <f ca="1">AVERAGE(OFFSET($BH$3,0,0,'Données projet'!$E$11+1,1))-AVERAGE(OFFSET($H$3,0,0,'Données projet'!$E$11+1,1))</f>
        <v>294.23449029791681</v>
      </c>
      <c r="BJ200" s="59">
        <f t="shared" si="206"/>
        <v>288.64639202306159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7.45734015480223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7.45734015480223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69.785180576641267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-4.5474735088646412E-13</v>
      </c>
      <c r="BZ200" s="13">
        <f>BY200*VLOOKUP('Données projet'!$B$12,Paramètres!$A$1:$I$89,3,0)*VLOOKUP('Données projet'!$B$12,Paramètres!$A$1:$I$89,5,0)</f>
        <v>-4.8949004849418999E-13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445.38112098358147</v>
      </c>
      <c r="CE200" s="59">
        <f t="shared" si="207"/>
        <v>272.45883568548516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32.205170710280612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32.205170710280612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69.785180576641267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-4.5474735088646412E-13</v>
      </c>
      <c r="CU200" s="17">
        <f>CT200*VLOOKUP('Données projet'!$B$13,Paramètres!$A$1:$I$89,3,0)*VLOOKUP('Données projet'!$B$13,Paramètres!$A$1:$I$89,5,0)</f>
        <v>-4.8949004849418999E-13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445.38112098358147</v>
      </c>
      <c r="CZ200" s="59">
        <f t="shared" si="208"/>
        <v>272.45883568548516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32.205170710280612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32.205170710280612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69.785180576641267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-4.5474735088646412E-13</v>
      </c>
      <c r="DP200" s="17">
        <f>DO200*VLOOKUP('Données projet'!$B$14,Paramètres!$A$1:$I$89,3,0)*VLOOKUP('Données projet'!$B$14,Paramètres!$A$1:$I$89,5,0)</f>
        <v>-4.3983163777738812E-13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405.29179902613089</v>
      </c>
      <c r="DU200" s="59">
        <f t="shared" si="209"/>
        <v>249.61049717638238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28.937979478802866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28.937979478802866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69.785180576641267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-5.6843418860808015E-13</v>
      </c>
      <c r="EK200" s="17">
        <f>EJ200*VLOOKUP('Données projet'!$B$15,Paramètres!$A$1:$I$89,3,0)*VLOOKUP('Données projet'!$B$15,Paramètres!$A$1:$I$89,5,0)</f>
        <v>-3.39923644787632E-13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444.77624981561257</v>
      </c>
      <c r="EP200" s="59">
        <f t="shared" si="210"/>
        <v>382.10319641527587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21.539011154583555</v>
      </c>
      <c r="EW200" s="21">
        <f>EXP(-LN(2)/25)*EW199+(1-EXP(-LN(2)/25))/(LN(2)/25)*Calculateur!ER200*Calculateur!ET200*VLOOKUP('Données projet'!$B$15,Paramètres!$A$1:$I$89,3,0)*0.475*44/12</f>
        <v>1.6202928262480678</v>
      </c>
      <c r="EX200" s="21">
        <f>EXP(-LN(2)/2)*EX199+(1-EXP(-LN(2)/2))/(LN(2)/2)*ER200*EU200*VLOOKUP('Données projet'!$B$15,Paramètres!$A$1:$I$89,3,0)*0.475*44/12</f>
        <v>2.5206511719442725E-17</v>
      </c>
      <c r="EY200" s="22">
        <f t="shared" si="181"/>
        <v>23.159303980831623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69.785180576641267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3.4106051316484809E-13</v>
      </c>
      <c r="FF200" s="17">
        <f>FE200*VLOOKUP('Données projet'!$B$16,Paramètres!$A$1:$I$89,3,0)*VLOOKUP('Données projet'!$B$16,Paramètres!$A$1:$I$89,5,0)</f>
        <v>1.5074874681886286E-13</v>
      </c>
      <c r="FG200" s="13">
        <f t="shared" si="182"/>
        <v>2.1590218794584103E-12</v>
      </c>
      <c r="FH200" s="20">
        <f t="shared" si="183"/>
        <v>4.0228505074329168E-12</v>
      </c>
      <c r="FI200" s="59">
        <f t="shared" si="199"/>
        <v>292.54566211435531</v>
      </c>
      <c r="FJ200" s="59">
        <f ca="1">AVERAGE(OFFSET($FI$3,0,0,'Données projet'!$E$16+1,1))-AVERAGE(OFFSET($H$3,0,0,'Données projet'!$E$16+1,1))</f>
        <v>508.71179785154317</v>
      </c>
      <c r="FK200" s="59">
        <f t="shared" si="211"/>
        <v>422.73937290731442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27.387352984143057</v>
      </c>
      <c r="FR200" s="21">
        <f>EXP(-LN(2)/25)*FR199+(1-EXP(-LN(2)/25))/(LN(2)/25)*Calculateur!FM200*Calculateur!FO200*VLOOKUP('Données projet'!$B$16,Paramètres!$A$1:$I$89,3,0)*0.475*44/12</f>
        <v>2.6547271734648992</v>
      </c>
      <c r="FS200" s="21">
        <f>EXP(-LN(2)/2)*FS199+(1-EXP(-LN(2)/2))/(LN(2)/2)*FM200*FP200*VLOOKUP('Données projet'!$B$16,Paramètres!$A$1:$I$89,3,0)*0.475*44/12</f>
        <v>1.0565962210376369E-16</v>
      </c>
      <c r="FT200" s="22">
        <f t="shared" si="184"/>
        <v>30.042080157607955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69.785180576641267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69.785180576641267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1.35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4.95</v>
      </c>
      <c r="H201" s="67">
        <f t="shared" si="192"/>
        <v>236.86666666666665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69.788907213372255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5.6843418860808015E-14</v>
      </c>
      <c r="O201" s="13">
        <f>N201*VLOOKUP('Données projet'!$B$9,Paramètres!$A$1:$I$89,3,0)*VLOOKUP('Données projet'!$B$9,Paramètres!$A$1:$I$89,5,0)</f>
        <v>5.1431925385259088E-14</v>
      </c>
      <c r="P201" s="13">
        <f t="shared" si="203"/>
        <v>8.3482866290946129E-13</v>
      </c>
      <c r="Q201" s="20">
        <f t="shared" si="162"/>
        <v>1.5435705246133045E-12</v>
      </c>
      <c r="R201" s="59">
        <f t="shared" si="191"/>
        <v>292.55932644903316</v>
      </c>
      <c r="S201" s="59">
        <f ca="1">AVERAGE(OFFSET($R$3,0,0,'Données projet'!$E$9+1,1))-AVERAGE(OFFSET($H$3,0,0,'Données projet'!$E$9+1,1))</f>
        <v>466.90449882701591</v>
      </c>
      <c r="T201" s="59">
        <f t="shared" si="204"/>
        <v>283.37641704892053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39.885702914952866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39.885702914952866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69.788907213372255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-4.5474735088646412E-13</v>
      </c>
      <c r="AJ201" s="13">
        <f>AI201*VLOOKUP('Données projet'!$B$10,Paramètres!$A$1:$I$89,3,0)*VLOOKUP('Données projet'!$B$10,Paramètres!$A$1:$I$89,5,0)</f>
        <v>-4.3273757910355926E-13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399.5572791581468</v>
      </c>
      <c r="AO201" s="59">
        <f t="shared" si="205"/>
        <v>246.34185986079777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27.91293426533127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27.91293426533127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69.788907213372255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5.6843418860808015E-14</v>
      </c>
      <c r="BE201" s="13">
        <f>BD201*VLOOKUP('Données projet'!$B$11,Paramètres!$A$1:$I$89,3,0)*VLOOKUP('Données projet'!$B$11,Paramètres!$A$1:$I$89,5,0)</f>
        <v>4.4337866711430253E-14</v>
      </c>
      <c r="BF201" s="13">
        <f t="shared" si="167"/>
        <v>7.3222115536967035E-13</v>
      </c>
      <c r="BG201" s="20">
        <f t="shared" si="168"/>
        <v>1.3525069634579169E-12</v>
      </c>
      <c r="BH201" s="59">
        <f t="shared" si="194"/>
        <v>292.55932644903299</v>
      </c>
      <c r="BI201" s="59">
        <f ca="1">AVERAGE(OFFSET($BH$3,0,0,'Données projet'!$E$11+1,1))-AVERAGE(OFFSET($H$3,0,0,'Données projet'!$E$11+1,1))</f>
        <v>294.23449029791681</v>
      </c>
      <c r="BJ201" s="59">
        <f t="shared" si="206"/>
        <v>288.64639202306159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7.3111062628949233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7.3111062628949233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69.788907213372255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-4.5474735088646412E-13</v>
      </c>
      <c r="BZ201" s="13">
        <f>BY201*VLOOKUP('Données projet'!$B$12,Paramètres!$A$1:$I$89,3,0)*VLOOKUP('Données projet'!$B$12,Paramètres!$A$1:$I$89,5,0)</f>
        <v>-4.8949004849418999E-13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445.38112098358147</v>
      </c>
      <c r="CE201" s="59">
        <f t="shared" si="207"/>
        <v>272.45883568548516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31.573646955866536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31.573646955866536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69.788907213372255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-4.5474735088646412E-13</v>
      </c>
      <c r="CU201" s="17">
        <f>CT201*VLOOKUP('Données projet'!$B$13,Paramètres!$A$1:$I$89,3,0)*VLOOKUP('Données projet'!$B$13,Paramètres!$A$1:$I$89,5,0)</f>
        <v>-4.8949004849418999E-13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445.38112098358147</v>
      </c>
      <c r="CZ201" s="59">
        <f t="shared" si="208"/>
        <v>272.45883568548516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31.573646955866536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31.573646955866536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69.788907213372255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-4.5474735088646412E-13</v>
      </c>
      <c r="DP201" s="17">
        <f>DO201*VLOOKUP('Données projet'!$B$14,Paramètres!$A$1:$I$89,3,0)*VLOOKUP('Données projet'!$B$14,Paramètres!$A$1:$I$89,5,0)</f>
        <v>-4.3983163777738812E-13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405.29179902613089</v>
      </c>
      <c r="DU201" s="59">
        <f t="shared" si="209"/>
        <v>249.61049717638238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28.370523351648188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28.370523351648188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69.788907213372255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-5.6843418860808015E-13</v>
      </c>
      <c r="EK201" s="17">
        <f>EJ201*VLOOKUP('Données projet'!$B$15,Paramètres!$A$1:$I$89,3,0)*VLOOKUP('Données projet'!$B$15,Paramètres!$A$1:$I$89,5,0)</f>
        <v>-3.39923644787632E-13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444.77624981561257</v>
      </c>
      <c r="EP201" s="59">
        <f t="shared" si="210"/>
        <v>382.10319641527587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21.116644283341756</v>
      </c>
      <c r="EW201" s="21">
        <f>EXP(-LN(2)/25)*EW200+(1-EXP(-LN(2)/25))/(LN(2)/25)*Calculateur!ER201*Calculateur!ET201*VLOOKUP('Données projet'!$B$15,Paramètres!$A$1:$I$89,3,0)*0.475*44/12</f>
        <v>1.575985833706818</v>
      </c>
      <c r="EX201" s="21">
        <f>EXP(-LN(2)/2)*EX200+(1-EXP(-LN(2)/2))/(LN(2)/2)*ER201*EU201*VLOOKUP('Données projet'!$B$15,Paramètres!$A$1:$I$89,3,0)*0.475*44/12</f>
        <v>1.7823695366876132E-17</v>
      </c>
      <c r="EY201" s="22">
        <f t="shared" si="181"/>
        <v>22.692630117048573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69.788907213372255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3.4106051316484809E-13</v>
      </c>
      <c r="FF201" s="17">
        <f>FE201*VLOOKUP('Données projet'!$B$16,Paramètres!$A$1:$I$89,3,0)*VLOOKUP('Données projet'!$B$16,Paramètres!$A$1:$I$89,5,0)</f>
        <v>1.5074874681886286E-13</v>
      </c>
      <c r="FG201" s="13">
        <f t="shared" si="182"/>
        <v>2.1590218794584103E-12</v>
      </c>
      <c r="FH201" s="20">
        <f t="shared" si="183"/>
        <v>4.0228505074329168E-12</v>
      </c>
      <c r="FI201" s="59">
        <f t="shared" si="199"/>
        <v>292.55932644903567</v>
      </c>
      <c r="FJ201" s="59">
        <f ca="1">AVERAGE(OFFSET($FI$3,0,0,'Données projet'!$E$16+1,1))-AVERAGE(OFFSET($H$3,0,0,'Données projet'!$E$16+1,1))</f>
        <v>508.71179785154317</v>
      </c>
      <c r="FK201" s="59">
        <f t="shared" si="211"/>
        <v>422.73937290731442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26.850303696759887</v>
      </c>
      <c r="FR201" s="21">
        <f>EXP(-LN(2)/25)*FR200+(1-EXP(-LN(2)/25))/(LN(2)/25)*Calculateur!FM201*Calculateur!FO201*VLOOKUP('Données projet'!$B$16,Paramètres!$A$1:$I$89,3,0)*0.475*44/12</f>
        <v>2.5821335193004669</v>
      </c>
      <c r="FS201" s="21">
        <f>EXP(-LN(2)/2)*FS200+(1-EXP(-LN(2)/2))/(LN(2)/2)*FM201*FP201*VLOOKUP('Données projet'!$B$16,Paramètres!$A$1:$I$89,3,0)*0.475*44/12</f>
        <v>7.4712635287179331E-17</v>
      </c>
      <c r="FT201" s="22">
        <f t="shared" si="184"/>
        <v>29.432437216060354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69.788907213372255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69.788907213372255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1.35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4.95</v>
      </c>
      <c r="H202" s="67">
        <f t="shared" si="192"/>
        <v>236.86666666666665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69.792569201287478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5.6843418860808015E-14</v>
      </c>
      <c r="O202" s="13">
        <f>N202*VLOOKUP('Données projet'!$B$9,Paramètres!$A$1:$I$89,3,0)*VLOOKUP('Données projet'!$B$9,Paramètres!$A$1:$I$89,5,0)</f>
        <v>5.1431925385259088E-14</v>
      </c>
      <c r="P202" s="13">
        <f t="shared" si="203"/>
        <v>8.3482866290946129E-13</v>
      </c>
      <c r="Q202" s="20">
        <f t="shared" si="162"/>
        <v>1.5435705246133045E-12</v>
      </c>
      <c r="R202" s="59">
        <f t="shared" si="191"/>
        <v>292.57275373805561</v>
      </c>
      <c r="S202" s="59">
        <f ca="1">AVERAGE(OFFSET($R$3,0,0,'Données projet'!$E$9+1,1))-AVERAGE(OFFSET($H$3,0,0,'Données projet'!$E$9+1,1))</f>
        <v>466.90449882701591</v>
      </c>
      <c r="T202" s="59">
        <f t="shared" si="204"/>
        <v>283.37641704892053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39.103568608667238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39.103568608667238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69.792569201287478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-4.5474735088646412E-13</v>
      </c>
      <c r="AJ202" s="13">
        <f>AI202*VLOOKUP('Données projet'!$B$10,Paramètres!$A$1:$I$89,3,0)*VLOOKUP('Données projet'!$B$10,Paramètres!$A$1:$I$89,5,0)</f>
        <v>-4.3273757910355926E-13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399.5572791581468</v>
      </c>
      <c r="AO202" s="59">
        <f t="shared" si="205"/>
        <v>246.34185986079777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27.365578649596927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27.365578649596927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69.792569201287478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5.6843418860808015E-14</v>
      </c>
      <c r="BE202" s="13">
        <f>BD202*VLOOKUP('Données projet'!$B$11,Paramètres!$A$1:$I$89,3,0)*VLOOKUP('Données projet'!$B$11,Paramètres!$A$1:$I$89,5,0)</f>
        <v>4.4337866711430253E-14</v>
      </c>
      <c r="BF202" s="13">
        <f t="shared" si="167"/>
        <v>7.3222115536967035E-13</v>
      </c>
      <c r="BG202" s="20">
        <f t="shared" si="168"/>
        <v>1.3525069634579169E-12</v>
      </c>
      <c r="BH202" s="59">
        <f t="shared" si="194"/>
        <v>292.57275373805544</v>
      </c>
      <c r="BI202" s="59">
        <f ca="1">AVERAGE(OFFSET($BH$3,0,0,'Données projet'!$E$11+1,1))-AVERAGE(OFFSET($H$3,0,0,'Données projet'!$E$11+1,1))</f>
        <v>294.23449029791681</v>
      </c>
      <c r="BJ202" s="59">
        <f t="shared" si="206"/>
        <v>288.64639202306159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7.1677399284140515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7.1677399284140515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69.792569201287478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-4.5474735088646412E-13</v>
      </c>
      <c r="BZ202" s="13">
        <f>BY202*VLOOKUP('Données projet'!$B$12,Paramètres!$A$1:$I$89,3,0)*VLOOKUP('Données projet'!$B$12,Paramètres!$A$1:$I$89,5,0)</f>
        <v>-4.8949004849418999E-13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445.38112098358147</v>
      </c>
      <c r="CE202" s="59">
        <f t="shared" si="207"/>
        <v>272.45883568548516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30.954506997085065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30.954506997085065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69.792569201287478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-4.5474735088646412E-13</v>
      </c>
      <c r="CU202" s="17">
        <f>CT202*VLOOKUP('Données projet'!$B$13,Paramètres!$A$1:$I$89,3,0)*VLOOKUP('Données projet'!$B$13,Paramètres!$A$1:$I$89,5,0)</f>
        <v>-4.8949004849418999E-13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445.38112098358147</v>
      </c>
      <c r="CZ202" s="59">
        <f t="shared" si="208"/>
        <v>272.45883568548516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30.954506997085065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30.954506997085065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69.792569201287478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-4.5474735088646412E-13</v>
      </c>
      <c r="DP202" s="17">
        <f>DO202*VLOOKUP('Données projet'!$B$14,Paramètres!$A$1:$I$89,3,0)*VLOOKUP('Données projet'!$B$14,Paramètres!$A$1:$I$89,5,0)</f>
        <v>-4.3983163777738812E-13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405.29179902613089</v>
      </c>
      <c r="DU202" s="59">
        <f t="shared" si="209"/>
        <v>249.61049717638238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27.814194693032952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27.814194693032952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69.792569201287478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-5.6843418860808015E-13</v>
      </c>
      <c r="EK202" s="17">
        <f>EJ202*VLOOKUP('Données projet'!$B$15,Paramètres!$A$1:$I$89,3,0)*VLOOKUP('Données projet'!$B$15,Paramètres!$A$1:$I$89,5,0)</f>
        <v>-3.39923644787632E-13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444.77624981561257</v>
      </c>
      <c r="EP202" s="59">
        <f t="shared" si="210"/>
        <v>382.10319641527587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20.702559768826653</v>
      </c>
      <c r="EW202" s="21">
        <f>EXP(-LN(2)/25)*EW201+(1-EXP(-LN(2)/25))/(LN(2)/25)*Calculateur!ER202*Calculateur!ET202*VLOOKUP('Données projet'!$B$15,Paramètres!$A$1:$I$89,3,0)*0.475*44/12</f>
        <v>1.5328904182066121</v>
      </c>
      <c r="EX202" s="21">
        <f>EXP(-LN(2)/2)*EX201+(1-EXP(-LN(2)/2))/(LN(2)/2)*ER202*EU202*VLOOKUP('Données projet'!$B$15,Paramètres!$A$1:$I$89,3,0)*0.475*44/12</f>
        <v>1.2603255859721362E-17</v>
      </c>
      <c r="EY202" s="22">
        <f t="shared" si="181"/>
        <v>22.235450187033265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69.792569201287478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3.4106051316484809E-13</v>
      </c>
      <c r="FF202" s="17">
        <f>FE202*VLOOKUP('Données projet'!$B$16,Paramètres!$A$1:$I$89,3,0)*VLOOKUP('Données projet'!$B$16,Paramètres!$A$1:$I$89,5,0)</f>
        <v>1.5074874681886286E-13</v>
      </c>
      <c r="FG202" s="13">
        <f t="shared" si="182"/>
        <v>2.1590218794584103E-12</v>
      </c>
      <c r="FH202" s="20">
        <f t="shared" si="183"/>
        <v>4.0228505074329168E-12</v>
      </c>
      <c r="FI202" s="59">
        <f t="shared" si="199"/>
        <v>292.57275373805811</v>
      </c>
      <c r="FJ202" s="59">
        <f ca="1">AVERAGE(OFFSET($FI$3,0,0,'Données projet'!$E$16+1,1))-AVERAGE(OFFSET($H$3,0,0,'Données projet'!$E$16+1,1))</f>
        <v>508.71179785154317</v>
      </c>
      <c r="FK202" s="59">
        <f t="shared" si="211"/>
        <v>422.73937290731442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26.323785618334579</v>
      </c>
      <c r="FR202" s="21">
        <f>EXP(-LN(2)/25)*FR201+(1-EXP(-LN(2)/25))/(LN(2)/25)*Calculateur!FM202*Calculateur!FO202*VLOOKUP('Données projet'!$B$16,Paramètres!$A$1:$I$89,3,0)*0.475*44/12</f>
        <v>2.5115249424266954</v>
      </c>
      <c r="FS202" s="21">
        <f>EXP(-LN(2)/2)*FS201+(1-EXP(-LN(2)/2))/(LN(2)/2)*FM202*FP202*VLOOKUP('Données projet'!$B$16,Paramètres!$A$1:$I$89,3,0)*0.475*44/12</f>
        <v>5.2829811051881846E-17</v>
      </c>
      <c r="FT202" s="22">
        <f t="shared" si="184"/>
        <v>28.835310560761275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69.792569201287478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69.792569201287478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1.35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4.95</v>
      </c>
      <c r="H203" s="67">
        <f t="shared" si="192"/>
        <v>236.86666666666665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69.796167661899347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5.6843418860808015E-14</v>
      </c>
      <c r="O203" s="13">
        <f>N203*VLOOKUP('Données projet'!$B$9,Paramètres!$A$1:$I$89,3,0)*VLOOKUP('Données projet'!$B$9,Paramètres!$A$1:$I$89,5,0)</f>
        <v>5.1431925385259088E-14</v>
      </c>
      <c r="P203" s="13">
        <f t="shared" si="203"/>
        <v>8.3482866290946129E-13</v>
      </c>
      <c r="Q203" s="20">
        <f t="shared" si="162"/>
        <v>1.5435705246133045E-12</v>
      </c>
      <c r="R203" s="59">
        <f t="shared" si="191"/>
        <v>292.58594809363251</v>
      </c>
      <c r="S203" s="59">
        <f ca="1">AVERAGE(OFFSET($R$3,0,0,'Données projet'!$E$9+1,1))-AVERAGE(OFFSET($H$3,0,0,'Données projet'!$E$9+1,1))</f>
        <v>466.90449882701591</v>
      </c>
      <c r="T203" s="59">
        <f t="shared" si="204"/>
        <v>283.37641704892053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38.33677147907305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38.33677147907305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69.796167661899347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-4.5474735088646412E-13</v>
      </c>
      <c r="AJ203" s="13">
        <f>AI203*VLOOKUP('Données projet'!$B$10,Paramètres!$A$1:$I$89,3,0)*VLOOKUP('Données projet'!$B$10,Paramètres!$A$1:$I$89,5,0)</f>
        <v>-4.3273757910355926E-13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399.5572791581468</v>
      </c>
      <c r="AO203" s="59">
        <f t="shared" si="205"/>
        <v>246.34185986079777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26.828956343633173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26.828956343633173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69.796167661899347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5.6843418860808015E-14</v>
      </c>
      <c r="BE203" s="13">
        <f>BD203*VLOOKUP('Données projet'!$B$11,Paramètres!$A$1:$I$89,3,0)*VLOOKUP('Données projet'!$B$11,Paramètres!$A$1:$I$89,5,0)</f>
        <v>4.4337866711430253E-14</v>
      </c>
      <c r="BF203" s="13">
        <f t="shared" si="167"/>
        <v>7.3222115536967035E-13</v>
      </c>
      <c r="BG203" s="20">
        <f t="shared" si="168"/>
        <v>1.3525069634579169E-12</v>
      </c>
      <c r="BH203" s="59">
        <f t="shared" si="194"/>
        <v>292.58594809363234</v>
      </c>
      <c r="BI203" s="59">
        <f ca="1">AVERAGE(OFFSET($BH$3,0,0,'Données projet'!$E$11+1,1))-AVERAGE(OFFSET($H$3,0,0,'Données projet'!$E$11+1,1))</f>
        <v>294.23449029791681</v>
      </c>
      <c r="BJ203" s="59">
        <f t="shared" si="206"/>
        <v>288.64639202306159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7.0271849203075201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7.0271849203075201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69.796167661899347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-4.5474735088646412E-13</v>
      </c>
      <c r="BZ203" s="13">
        <f>BY203*VLOOKUP('Données projet'!$B$12,Paramètres!$A$1:$I$89,3,0)*VLOOKUP('Données projet'!$B$12,Paramètres!$A$1:$I$89,5,0)</f>
        <v>-4.8949004849418999E-13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445.38112098358147</v>
      </c>
      <c r="CE203" s="59">
        <f t="shared" si="207"/>
        <v>272.45883568548516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30.347507995257214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30.347507995257214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69.796167661899347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-4.5474735088646412E-13</v>
      </c>
      <c r="CU203" s="17">
        <f>CT203*VLOOKUP('Données projet'!$B$13,Paramètres!$A$1:$I$89,3,0)*VLOOKUP('Données projet'!$B$13,Paramètres!$A$1:$I$89,5,0)</f>
        <v>-4.8949004849418999E-13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445.38112098358147</v>
      </c>
      <c r="CZ203" s="59">
        <f t="shared" si="208"/>
        <v>272.45883568548516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30.347507995257214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30.347507995257214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69.796167661899347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-4.5474735088646412E-13</v>
      </c>
      <c r="DP203" s="17">
        <f>DO203*VLOOKUP('Données projet'!$B$14,Paramètres!$A$1:$I$89,3,0)*VLOOKUP('Données projet'!$B$14,Paramètres!$A$1:$I$89,5,0)</f>
        <v>-4.3983163777738812E-13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405.29179902613089</v>
      </c>
      <c r="DU203" s="59">
        <f t="shared" si="209"/>
        <v>249.61049717638238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27.268775300086187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27.268775300086187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69.796167661899347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-5.6843418860808015E-13</v>
      </c>
      <c r="EK203" s="17">
        <f>EJ203*VLOOKUP('Données projet'!$B$15,Paramètres!$A$1:$I$89,3,0)*VLOOKUP('Données projet'!$B$15,Paramètres!$A$1:$I$89,5,0)</f>
        <v>-3.39923644787632E-13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444.77624981561257</v>
      </c>
      <c r="EP203" s="59">
        <f t="shared" si="210"/>
        <v>382.10319641527587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20.296595199074577</v>
      </c>
      <c r="EW203" s="21">
        <f>EXP(-LN(2)/25)*EW202+(1-EXP(-LN(2)/25))/(LN(2)/25)*Calculateur!ER203*Calculateur!ET203*VLOOKUP('Données projet'!$B$15,Paramètres!$A$1:$I$89,3,0)*0.475*44/12</f>
        <v>1.4909734491095488</v>
      </c>
      <c r="EX203" s="21">
        <f>EXP(-LN(2)/2)*EX202+(1-EXP(-LN(2)/2))/(LN(2)/2)*ER203*EU203*VLOOKUP('Données projet'!$B$15,Paramètres!$A$1:$I$89,3,0)*0.475*44/12</f>
        <v>8.9118476834380662E-18</v>
      </c>
      <c r="EY203" s="22">
        <f t="shared" si="181"/>
        <v>21.787568648184127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69.796167661899347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3.4106051316484809E-13</v>
      </c>
      <c r="FF203" s="17">
        <f>FE203*VLOOKUP('Données projet'!$B$16,Paramètres!$A$1:$I$89,3,0)*VLOOKUP('Données projet'!$B$16,Paramètres!$A$1:$I$89,5,0)</f>
        <v>1.5074874681886286E-13</v>
      </c>
      <c r="FG203" s="13">
        <f t="shared" si="182"/>
        <v>2.1590218794584103E-12</v>
      </c>
      <c r="FH203" s="20">
        <f t="shared" si="183"/>
        <v>4.0228505074329168E-12</v>
      </c>
      <c r="FI203" s="59">
        <f t="shared" si="199"/>
        <v>292.58594809363501</v>
      </c>
      <c r="FJ203" s="59">
        <f ca="1">AVERAGE(OFFSET($FI$3,0,0,'Données projet'!$E$16+1,1))-AVERAGE(OFFSET($H$3,0,0,'Données projet'!$E$16+1,1))</f>
        <v>508.71179785154317</v>
      </c>
      <c r="FK203" s="59">
        <f t="shared" si="211"/>
        <v>422.73937290731442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25.807592238282876</v>
      </c>
      <c r="FR203" s="21">
        <f>EXP(-LN(2)/25)*FR202+(1-EXP(-LN(2)/25))/(LN(2)/25)*Calculateur!FM203*Calculateur!FO203*VLOOKUP('Données projet'!$B$16,Paramètres!$A$1:$I$89,3,0)*0.475*44/12</f>
        <v>2.4428471608006808</v>
      </c>
      <c r="FS203" s="21">
        <f>EXP(-LN(2)/2)*FS202+(1-EXP(-LN(2)/2))/(LN(2)/2)*FM203*FP203*VLOOKUP('Données projet'!$B$16,Paramètres!$A$1:$I$89,3,0)*0.475*44/12</f>
        <v>3.7356317643589666E-17</v>
      </c>
      <c r="FT203" s="22">
        <f t="shared" si="184"/>
        <v>28.250439399083557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69.796167661899347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69.796167661899347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1.2392705892426346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1.2054868146447177</v>
      </c>
      <c r="BA205" s="82">
        <f>EXP(LN('Données projet'!B88)/'Données projet'!A88)</f>
        <v>1.2788040393997409</v>
      </c>
      <c r="BV205" s="82">
        <f>EXP(LN('Données projet'!B114)/'Données projet'!A114)</f>
        <v>1.2054868146447177</v>
      </c>
      <c r="CQ205" s="82">
        <f>EXP(LN('Données projet'!B140)/'Données projet'!A140)</f>
        <v>1.2054868146447177</v>
      </c>
      <c r="DL205" s="82">
        <f>EXP(LN('Données projet'!B166)/'Données projet'!A166)</f>
        <v>1.2054868146447177</v>
      </c>
      <c r="EG205" s="82">
        <f>EXP(LN('Données projet'!B192)/'Données projet'!A192)</f>
        <v>1.2954438051451196</v>
      </c>
      <c r="FB205" s="82">
        <f>EXP(LN('Données projet'!B218)/'Données projet'!A218)</f>
        <v>1.3248516801703365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5" style="4" bestFit="1" customWidth="1"/>
    <col min="7" max="7" width="11.5" style="4" bestFit="1" customWidth="1"/>
    <col min="8" max="8" width="39" style="4" bestFit="1" customWidth="1"/>
    <col min="9" max="9" width="16.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I21" sqref="I21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Chêne sessile</v>
      </c>
      <c r="B6" s="146">
        <f>'Données projet'!D9</f>
        <v>1.6164462899999998</v>
      </c>
      <c r="C6" s="147">
        <f ca="1">IF(OR('Données projet'!B9="",'Données projet'!C9="",'Données projet'!C9=0%),0,Calculateur!S3)</f>
        <v>466.90449882701591</v>
      </c>
      <c r="D6" s="147">
        <f>IF(OR('Données projet'!B9="",'Données projet'!C9="",'Données projet'!C9=0%),0,Calculateur!T3)</f>
        <v>283.37641704892053</v>
      </c>
      <c r="E6" s="147">
        <f ca="1">MIN(C6,D6)</f>
        <v>283.37641704892053</v>
      </c>
      <c r="F6" s="147">
        <f ca="1">E6*B6</f>
        <v>458.06275801222029</v>
      </c>
      <c r="G6" s="147">
        <f ca="1">F6*(100%-'Données projet'!$C$24)*(100%-'Données projet'!$C$25)*(100%-'Données projet'!$C$26)*(100%-'Données projet'!$C$27)</f>
        <v>412.25648221099829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11.31512403</v>
      </c>
      <c r="K6" s="151">
        <f>J6*(100%-'Données projet'!$C$24)*(100%-'Données projet'!$C$25)*(100%-'Données projet'!$C$26)*(100%-'Données projet'!$C$27)</f>
        <v>10.183611626999999</v>
      </c>
      <c r="L6" s="152">
        <f ca="1">G6+I6+K6</f>
        <v>422.44009383799829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>Charme</v>
      </c>
      <c r="B7" s="154">
        <f>'Données projet'!D10</f>
        <v>0.46214408000000001</v>
      </c>
      <c r="C7" s="147">
        <f ca="1">IF(OR('Données projet'!B10="",'Données projet'!C10="",'Données projet'!C10=0%),0,Calculateur!AN3)</f>
        <v>399.5572791581468</v>
      </c>
      <c r="D7" s="147">
        <f>IF(OR('Données projet'!B10="",'Données projet'!C10="",'Données projet'!C10=0%),0,Calculateur!AO3)</f>
        <v>246.34185986079777</v>
      </c>
      <c r="E7" s="147">
        <f t="shared" ref="E7:E15" ca="1" si="0">MIN(C7,D7)</f>
        <v>246.34185986079777</v>
      </c>
      <c r="F7" s="147">
        <f t="shared" ref="F7:F15" ca="1" si="1">E7*B7</f>
        <v>113.84543219085731</v>
      </c>
      <c r="G7" s="147">
        <f ca="1">F7*(100%-'Données projet'!$C$24)*(100%-'Données projet'!$C$25)*(100%-'Données projet'!$C$26)*(100%-'Données projet'!$C$27)</f>
        <v>102.46088897177158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2.4262564200000001</v>
      </c>
      <c r="K7" s="151">
        <f>J7*(100%-'Données projet'!$C$24)*(100%-'Données projet'!$C$25)*(100%-'Données projet'!$C$26)*(100%-'Données projet'!$C$27)</f>
        <v>2.1836307779999999</v>
      </c>
      <c r="L7" s="152">
        <f t="shared" ref="L7:L15" ca="1" si="2">G7+I7+K7</f>
        <v>104.64451974977158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>Merisier</v>
      </c>
      <c r="B8" s="154">
        <f>'Données projet'!D11</f>
        <v>5.8022629999999992E-2</v>
      </c>
      <c r="C8" s="147">
        <f ca="1">IF(OR('Données projet'!B11="",'Données projet'!C11="",'Données projet'!C11=0%),0,Calculateur!BI3)</f>
        <v>294.23449029791681</v>
      </c>
      <c r="D8" s="147">
        <f>IF(OR('Données projet'!B11="",'Données projet'!C11="",'Données projet'!C11=0%),0,Calculateur!BJ3)</f>
        <v>288.64639202306159</v>
      </c>
      <c r="E8" s="147">
        <f t="shared" ca="1" si="0"/>
        <v>288.64639202306159</v>
      </c>
      <c r="F8" s="147">
        <f t="shared" ca="1" si="1"/>
        <v>16.748022805189052</v>
      </c>
      <c r="G8" s="147">
        <f ca="1">F8*(100%-'Données projet'!$C$24)*(100%-'Données projet'!$C$25)*(100%-'Données projet'!$C$26)*(100%-'Données projet'!$C$27)</f>
        <v>15.073220524670147</v>
      </c>
      <c r="H8" s="155">
        <f>IF(OR('Données projet'!B11="",'Données projet'!C11="",'Données projet'!C11=0%),0,AVERAGE(Calculateur!$BS$3:$BS$33)*B8)</f>
        <v>2.1411008563916891E-2</v>
      </c>
      <c r="I8" s="149">
        <f>H8*(100%-'Données projet'!$C$24)*(100%-'Données projet'!$C$25)*(100%-'Données projet'!$C$26)*(100%-'Données projet'!$C$27)</f>
        <v>1.9269907707525201E-2</v>
      </c>
      <c r="J8" s="150">
        <f>IF(OR('Données projet'!B11="",'Données projet'!C11="",'Données projet'!C11=0%),0,SUM(Calculateur!$BL$3:$BL$33)*VLOOKUP('Données projet'!$B$11,Paramètres!$A$1:$I$89,9,0)*B8)</f>
        <v>0.79781116249999984</v>
      </c>
      <c r="K8" s="151">
        <f>J8*(100%-'Données projet'!$C$24)*(100%-'Données projet'!$C$25)*(100%-'Données projet'!$C$26)*(100%-'Données projet'!$C$27)</f>
        <v>0.71803004624999989</v>
      </c>
      <c r="L8" s="152">
        <f t="shared" ca="1" si="2"/>
        <v>15.810520478627671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>Cormier</v>
      </c>
      <c r="B9" s="154">
        <f>'Données projet'!D12</f>
        <v>5.8031409999999999E-2</v>
      </c>
      <c r="C9" s="147">
        <f ca="1">IF(OR('Données projet'!B12="",'Données projet'!C12="",'Données projet'!C12=0%),0,Calculateur!CD3)</f>
        <v>445.38112098358147</v>
      </c>
      <c r="D9" s="147">
        <f>IF(OR('Données projet'!B12="",'Données projet'!C12="",'Données projet'!C12=0%),0,Calculateur!CE3)</f>
        <v>272.45883568548516</v>
      </c>
      <c r="E9" s="147">
        <f t="shared" ca="1" si="0"/>
        <v>272.45883568548516</v>
      </c>
      <c r="F9" s="147">
        <f t="shared" ca="1" si="1"/>
        <v>15.81117040178702</v>
      </c>
      <c r="G9" s="147">
        <f ca="1">F9*(100%-'Données projet'!$C$24)*(100%-'Données projet'!$C$25)*(100%-'Données projet'!$C$26)*(100%-'Données projet'!$C$27)</f>
        <v>14.230053361608318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0.3046649025</v>
      </c>
      <c r="K9" s="151">
        <f>J9*(100%-'Données projet'!$C$24)*(100%-'Données projet'!$C$25)*(100%-'Données projet'!$C$26)*(100%-'Données projet'!$C$27)</f>
        <v>0.27419841225000002</v>
      </c>
      <c r="L9" s="152">
        <f t="shared" ca="1" si="2"/>
        <v>14.504251773858318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>Cormier</v>
      </c>
      <c r="B10" s="154">
        <f>'Données projet'!D13</f>
        <v>5.8031409999999999E-2</v>
      </c>
      <c r="C10" s="147">
        <f ca="1">IF(OR('Données projet'!B13="",'Données projet'!C13="",'Données projet'!C13=0%),0,Calculateur!CY3)</f>
        <v>445.38112098358147</v>
      </c>
      <c r="D10" s="147">
        <f>IF(OR('Données projet'!B13="",'Données projet'!C13="",'Données projet'!C13=0%),0,Calculateur!CZ3)</f>
        <v>272.45883568548516</v>
      </c>
      <c r="E10" s="147">
        <f t="shared" ca="1" si="0"/>
        <v>272.45883568548516</v>
      </c>
      <c r="F10" s="147">
        <f t="shared" ca="1" si="1"/>
        <v>15.81117040178702</v>
      </c>
      <c r="G10" s="147">
        <f ca="1">F10*(100%-'Données projet'!$C$24)*(100%-'Données projet'!$C$25)*(100%-'Données projet'!$C$26)*(100%-'Données projet'!$C$27)</f>
        <v>14.230053361608318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0.3046649025</v>
      </c>
      <c r="K10" s="151">
        <f>J10*(100%-'Données projet'!$C$24)*(100%-'Données projet'!$C$25)*(100%-'Données projet'!$C$26)*(100%-'Données projet'!$C$27)</f>
        <v>0.27419841225000002</v>
      </c>
      <c r="L10" s="152">
        <f t="shared" ca="1" si="2"/>
        <v>14.504251773858318</v>
      </c>
      <c r="M10" s="23" t="s">
        <v>324</v>
      </c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>Alisier torminal</v>
      </c>
      <c r="B11" s="154">
        <f>'Données projet'!D14</f>
        <v>5.8031409999999999E-2</v>
      </c>
      <c r="C11" s="147">
        <f ca="1">IF(OR('Données projet'!B14="",'Données projet'!C14="",'Données projet'!C14=0%),0,Calculateur!DT3)</f>
        <v>405.29179902613089</v>
      </c>
      <c r="D11" s="147">
        <f>IF(OR('Données projet'!B14="",'Données projet'!C14="",'Données projet'!C14=0%),0,Calculateur!DU3)</f>
        <v>249.61049717638238</v>
      </c>
      <c r="E11" s="147">
        <f t="shared" ca="1" si="0"/>
        <v>249.61049717638238</v>
      </c>
      <c r="F11" s="147">
        <f t="shared" ca="1" si="1"/>
        <v>14.485249101946488</v>
      </c>
      <c r="G11" s="147">
        <f ca="1">F11*(100%-'Données projet'!$C$24)*(100%-'Données projet'!$C$25)*(100%-'Données projet'!$C$26)*(100%-'Données projet'!$C$27)</f>
        <v>13.036724191751839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0.3046649025</v>
      </c>
      <c r="K11" s="151">
        <f>J11*(100%-'Données projet'!$C$24)*(100%-'Données projet'!$C$25)*(100%-'Données projet'!$C$26)*(100%-'Données projet'!$C$27)</f>
        <v>0.27419841225000002</v>
      </c>
      <c r="L11" s="152">
        <f t="shared" ca="1" si="2"/>
        <v>13.310922604001838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>Pin laricio</v>
      </c>
      <c r="B12" s="154">
        <f>'Données projet'!D15</f>
        <v>1.8716413799999998</v>
      </c>
      <c r="C12" s="147">
        <f ca="1">IF(OR('Données projet'!B15="",'Données projet'!C15="",'Données projet'!C15=0%),0,Calculateur!EO3)</f>
        <v>444.77624981561257</v>
      </c>
      <c r="D12" s="147">
        <f>IF(OR('Données projet'!B15="",'Données projet'!C15="",'Données projet'!C15=0%),0,Calculateur!EP3)</f>
        <v>382.10319641527587</v>
      </c>
      <c r="E12" s="147">
        <f t="shared" ca="1" si="0"/>
        <v>382.10319641527587</v>
      </c>
      <c r="F12" s="147">
        <f t="shared" ca="1" si="1"/>
        <v>715.16015384109789</v>
      </c>
      <c r="G12" s="147">
        <f ca="1">F12*(100%-'Données projet'!$C$24)*(100%-'Données projet'!$C$25)*(100%-'Données projet'!$C$26)*(100%-'Données projet'!$C$27)</f>
        <v>643.64413845698812</v>
      </c>
      <c r="H12" s="155">
        <f>IF(OR('Données projet'!B15="",'Données projet'!C15="",'Données projet'!C15=0%),0,AVERAGE(Calculateur!$EY$3:$EY$33)*B12)</f>
        <v>16.991898543437156</v>
      </c>
      <c r="I12" s="149">
        <f>H12*(100%-'Données projet'!$C$24)*(100%-'Données projet'!$C$25)*(100%-'Données projet'!$C$26)*(100%-'Données projet'!$C$27)</f>
        <v>15.292708689093441</v>
      </c>
      <c r="J12" s="150">
        <f>IF(OR('Données projet'!B15="",'Données projet'!C15="",'Données projet'!C15=0%),0,SUM(Calculateur!$ER$3:$ER$33)*VLOOKUP('Données projet'!$B$15,Paramètres!$A$1:$I$89,9,0)*B12)</f>
        <v>127.392709037286</v>
      </c>
      <c r="K12" s="151">
        <f>J12*(100%-'Données projet'!$C$24)*(100%-'Données projet'!$C$25)*(100%-'Données projet'!$C$26)*(100%-'Données projet'!$C$27)</f>
        <v>114.6534381335574</v>
      </c>
      <c r="L12" s="152">
        <f t="shared" ca="1" si="2"/>
        <v>773.59028527963892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>Séquoia toujours vert</v>
      </c>
      <c r="B13" s="154">
        <f>'Données projet'!D16</f>
        <v>0.20765138999999999</v>
      </c>
      <c r="C13" s="147">
        <f ca="1">IF(OR('Données projet'!B16="",'Données projet'!C16="",'Données projet'!C16=0%),0,Calculateur!FJ3)</f>
        <v>508.71179785154317</v>
      </c>
      <c r="D13" s="147">
        <f>IF(OR('Données projet'!B16="",'Données projet'!C16="",'Données projet'!C16=0%),0,Calculateur!FK3)</f>
        <v>422.73937290731442</v>
      </c>
      <c r="E13" s="147">
        <f t="shared" ca="1" si="0"/>
        <v>422.73937290731442</v>
      </c>
      <c r="F13" s="147">
        <f t="shared" ca="1" si="1"/>
        <v>87.782418391932183</v>
      </c>
      <c r="G13" s="147">
        <f ca="1">F13*(100%-'Données projet'!$C$24)*(100%-'Données projet'!$C$25)*(100%-'Données projet'!$C$26)*(100%-'Données projet'!$C$27)</f>
        <v>79.004176552738969</v>
      </c>
      <c r="H13" s="155">
        <f>IF(OR('Données projet'!B16="",'Données projet'!C16="",'Données projet'!C16=0%),0,AVERAGE(Calculateur!$FT$3:$FT$33)*B13)</f>
        <v>2.3840502779910246</v>
      </c>
      <c r="I13" s="149">
        <f>H13*(100%-'Données projet'!$C$24)*(100%-'Données projet'!$C$25)*(100%-'Données projet'!$C$26)*(100%-'Données projet'!$C$27)</f>
        <v>2.1456452501919223</v>
      </c>
      <c r="J13" s="150">
        <f>IF(OR('Données projet'!C16="",'Données projet'!C16=0%),0,SUM(Calculateur!$FM$3:$FM$33)*VLOOKUP('Données projet'!$B$16,Paramètres!$A$1:$I$89,9,0)*B13)</f>
        <v>21.6082036434</v>
      </c>
      <c r="K13" s="151">
        <f>J13*(100%-'Données projet'!$C$24)*(100%-'Données projet'!$C$25)*(100%-'Données projet'!$C$26)*(100%-'Données projet'!$C$27)</f>
        <v>19.447383279059999</v>
      </c>
      <c r="L13" s="152">
        <f t="shared" ca="1" si="2"/>
        <v>100.59720508199089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8"/>
      <c r="B16" s="212"/>
      <c r="C16" s="213"/>
      <c r="D16" s="23"/>
      <c r="E16" s="23"/>
      <c r="F16" s="165">
        <f t="shared" ref="F16:L16" ca="1" si="3">SUM(F6:F15)</f>
        <v>1437.706375146817</v>
      </c>
      <c r="G16" s="166">
        <f t="shared" ca="1" si="3"/>
        <v>1293.9357376321354</v>
      </c>
      <c r="H16" s="167">
        <f t="shared" si="3"/>
        <v>19.397359829992098</v>
      </c>
      <c r="I16" s="167">
        <f t="shared" si="3"/>
        <v>17.457623846992888</v>
      </c>
      <c r="J16" s="168">
        <f t="shared" si="3"/>
        <v>164.454099000686</v>
      </c>
      <c r="K16" s="168">
        <f t="shared" si="3"/>
        <v>148.0086891006174</v>
      </c>
      <c r="L16" s="169">
        <f t="shared" ca="1" si="3"/>
        <v>1459.4020505797457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>Charme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>Merisier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>Cormier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>Cormier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>Alisier torminal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>Pin laricio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>Séquoia toujours vert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75" zoomScaleNormal="80" workbookViewId="0">
      <selection activeCell="C20" sqref="C20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61" t="s">
        <v>315</v>
      </c>
      <c r="I4" s="261"/>
      <c r="K4" s="285" t="s">
        <v>253</v>
      </c>
      <c r="L4" s="286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5" t="s">
        <v>310</v>
      </c>
      <c r="S7" s="296"/>
      <c r="T7" s="296"/>
      <c r="U7" s="296"/>
      <c r="V7" s="29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-813.07606296893084</v>
      </c>
      <c r="U10" s="178">
        <f>'Données projet'!D9</f>
        <v>1.6164462899999998</v>
      </c>
      <c r="V10" s="177">
        <f>U10*T10</f>
        <v>-1314.2937854739346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>Charme</v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-1377.9745120217417</v>
      </c>
      <c r="U11" s="178">
        <f>'Données projet'!D10</f>
        <v>0.46214408000000001</v>
      </c>
      <c r="V11" s="177">
        <f t="shared" ref="V11" si="0">U11*T11</f>
        <v>-636.82276312173678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>Merisier</v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-1441.1887261197508</v>
      </c>
      <c r="U12" s="178">
        <f>'Données projet'!D11</f>
        <v>5.8022629999999992E-2</v>
      </c>
      <c r="V12" s="177">
        <f t="shared" ref="V12:V19" si="1">U12*T12</f>
        <v>-83.621560215817624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>Cormier</v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-3584.177363040536</v>
      </c>
      <c r="U13" s="178">
        <f>'Données projet'!D12</f>
        <v>5.8031409999999999E-2</v>
      </c>
      <c r="V13" s="177">
        <f t="shared" si="1"/>
        <v>-207.99486606732418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>Cormier</v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-2440.177363040536</v>
      </c>
      <c r="U14" s="178">
        <f>'Données projet'!D13</f>
        <v>5.8031409999999999E-2</v>
      </c>
      <c r="V14" s="177">
        <f t="shared" si="1"/>
        <v>-141.60693302732417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29"/>
      <c r="G15" s="288" t="s">
        <v>318</v>
      </c>
      <c r="H15" s="190">
        <v>1</v>
      </c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>Alisier torminal</v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-1724.968524723567</v>
      </c>
      <c r="U15" s="178">
        <f>'Données projet'!D14</f>
        <v>5.8031409999999999E-2</v>
      </c>
      <c r="V15" s="177">
        <f t="shared" si="1"/>
        <v>-100.10235569532846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288"/>
      <c r="H16" s="190"/>
      <c r="I16" s="191"/>
      <c r="J16" s="201"/>
      <c r="K16" s="207"/>
      <c r="L16" s="285" t="s">
        <v>254</v>
      </c>
      <c r="M16" s="286"/>
      <c r="N16" s="2"/>
      <c r="O16" s="23"/>
      <c r="P16" s="23"/>
      <c r="Q16" s="233"/>
      <c r="R16" s="23"/>
      <c r="S16" s="36" t="str">
        <f>B200</f>
        <v>Pin laricio</v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1205.248984007128</v>
      </c>
      <c r="U16" s="178">
        <f>'Données projet'!D15</f>
        <v>1.8716413799999998</v>
      </c>
      <c r="V16" s="177">
        <f t="shared" si="1"/>
        <v>2255.7938716706985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8" t="s">
        <v>132</v>
      </c>
      <c r="C17" s="197" t="s">
        <v>132</v>
      </c>
      <c r="D17" s="196" t="s">
        <v>132</v>
      </c>
      <c r="E17" s="193">
        <v>3003</v>
      </c>
      <c r="F17" s="229"/>
      <c r="G17" s="288"/>
      <c r="J17" s="201"/>
      <c r="K17" s="207"/>
      <c r="L17" s="258" t="s">
        <v>289</v>
      </c>
      <c r="M17" s="260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3"/>
      <c r="R17" s="23"/>
      <c r="S17" s="36" t="str">
        <f>B231</f>
        <v>Séquoia toujours vert</v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1364.524903865866</v>
      </c>
      <c r="U17" s="178">
        <f>'Données projet'!D16</f>
        <v>0.20765138999999999</v>
      </c>
      <c r="V17" s="177">
        <f t="shared" si="1"/>
        <v>283.34549297736345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8" t="s">
        <v>132</v>
      </c>
      <c r="C18" s="197" t="s">
        <v>132</v>
      </c>
      <c r="D18" s="196" t="s">
        <v>132</v>
      </c>
      <c r="E18" s="193"/>
      <c r="F18" s="229"/>
      <c r="G18" s="288"/>
      <c r="J18" s="201"/>
      <c r="K18" s="207"/>
      <c r="L18" s="258" t="s">
        <v>255</v>
      </c>
      <c r="M18" s="260"/>
      <c r="N18" s="192"/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8" t="s">
        <v>132</v>
      </c>
      <c r="C19" s="197" t="s">
        <v>132</v>
      </c>
      <c r="D19" s="196" t="s">
        <v>132</v>
      </c>
      <c r="E19" s="193"/>
      <c r="F19" s="229"/>
      <c r="G19" s="288"/>
      <c r="H19" s="211" t="s">
        <v>178</v>
      </c>
      <c r="I19" s="211" t="s">
        <v>287</v>
      </c>
      <c r="J19" s="93"/>
      <c r="K19" s="173"/>
      <c r="L19" s="285" t="s">
        <v>288</v>
      </c>
      <c r="M19" s="286"/>
      <c r="N19" s="179">
        <f>N17*N18</f>
        <v>0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8" t="s">
        <v>132</v>
      </c>
      <c r="C20" s="197" t="s">
        <v>132</v>
      </c>
      <c r="D20" s="196" t="s">
        <v>132</v>
      </c>
      <c r="E20" s="193"/>
      <c r="F20" s="229"/>
      <c r="G20" s="288"/>
      <c r="H20" s="190">
        <v>0</v>
      </c>
      <c r="I20" s="191">
        <f>650+3539+360</f>
        <v>4549</v>
      </c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8" t="s">
        <v>132</v>
      </c>
      <c r="C21" s="197" t="s">
        <v>132</v>
      </c>
      <c r="D21" s="196" t="s">
        <v>132</v>
      </c>
      <c r="E21" s="193"/>
      <c r="F21" s="229"/>
      <c r="H21" s="190">
        <v>1</v>
      </c>
      <c r="I21" s="191">
        <v>430</v>
      </c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8" t="s">
        <v>132</v>
      </c>
      <c r="C22" s="197" t="s">
        <v>132</v>
      </c>
      <c r="D22" s="196" t="s">
        <v>132</v>
      </c>
      <c r="E22" s="193"/>
      <c r="F22" s="229"/>
      <c r="H22" s="190">
        <v>2</v>
      </c>
      <c r="I22" s="191">
        <v>430</v>
      </c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20</v>
      </c>
      <c r="B23" s="181">
        <f>'Données projet'!D36</f>
        <v>0</v>
      </c>
      <c r="C23" s="193">
        <f>225*'Données projet'!E36+13.8*('Données projet'!F36+'Données projet'!G36)+10*'Données projet'!G36</f>
        <v>0</v>
      </c>
      <c r="D23" s="182">
        <f>B23*C23</f>
        <v>0</v>
      </c>
      <c r="E23" s="193"/>
      <c r="F23" s="229"/>
      <c r="H23" s="190">
        <v>3</v>
      </c>
      <c r="I23" s="191">
        <v>430</v>
      </c>
      <c r="K23" s="207"/>
      <c r="L23" s="287" t="s">
        <v>260</v>
      </c>
      <c r="M23" s="287"/>
      <c r="N23" s="287"/>
      <c r="O23" s="23"/>
      <c r="P23" s="23"/>
      <c r="Q23" s="233"/>
      <c r="R23" s="23"/>
      <c r="S23" s="36" t="s">
        <v>264</v>
      </c>
      <c r="T23" s="30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-28202.371999412499</v>
      </c>
      <c r="U23" s="300"/>
      <c r="V23" s="30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25</v>
      </c>
      <c r="B24" s="181">
        <f>'Données projet'!D37</f>
        <v>0</v>
      </c>
      <c r="C24" s="193">
        <f>225*'Données projet'!E37+13.8*('Données projet'!F37+'Données projet'!G37)+10*'Données projet'!G37</f>
        <v>0</v>
      </c>
      <c r="D24" s="182">
        <f t="shared" ref="D24:D42" si="2">B24*C24</f>
        <v>0</v>
      </c>
      <c r="E24" s="193"/>
      <c r="F24" s="232"/>
      <c r="H24" s="190">
        <v>4</v>
      </c>
      <c r="I24" s="191">
        <v>430</v>
      </c>
      <c r="K24" s="207"/>
      <c r="O24" s="23"/>
      <c r="P24" s="23"/>
      <c r="Q24" s="233"/>
      <c r="R24" s="23"/>
      <c r="S24" s="36" t="s">
        <v>261</v>
      </c>
      <c r="T24" s="30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1"/>
      <c r="V24" s="30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30</v>
      </c>
      <c r="B25" s="181">
        <f>'Données projet'!D38</f>
        <v>28</v>
      </c>
      <c r="C25" s="193">
        <f>225*'Données projet'!E38+13.8*('Données projet'!F38+'Données projet'!G38)+10*'Données projet'!G38</f>
        <v>0</v>
      </c>
      <c r="D25" s="182">
        <f t="shared" si="2"/>
        <v>0</v>
      </c>
      <c r="E25" s="193"/>
      <c r="F25" s="232"/>
      <c r="H25" s="190">
        <v>5</v>
      </c>
      <c r="I25" s="191">
        <v>430</v>
      </c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302">
        <f ca="1">T23-T24</f>
        <v>-28202.371999412499</v>
      </c>
      <c r="U25" s="302"/>
      <c r="V25" s="30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35</v>
      </c>
      <c r="B26" s="181">
        <f>'Données projet'!D39</f>
        <v>28</v>
      </c>
      <c r="C26" s="193">
        <f>225*'Données projet'!E39+13.8*('Données projet'!F39+'Données projet'!G39)+10*'Données projet'!G39</f>
        <v>0</v>
      </c>
      <c r="D26" s="182">
        <f t="shared" si="2"/>
        <v>0</v>
      </c>
      <c r="E26" s="193"/>
      <c r="F26" s="232"/>
      <c r="G26" s="228"/>
      <c r="H26" s="190"/>
      <c r="I26" s="191"/>
      <c r="K26" s="207"/>
      <c r="L26" s="289" t="s">
        <v>258</v>
      </c>
      <c r="M26" s="290"/>
      <c r="N26" s="290"/>
      <c r="O26" s="290"/>
      <c r="P26" s="291"/>
      <c r="Q26" s="233"/>
      <c r="R26" s="23"/>
      <c r="S26" s="186" t="s">
        <v>265</v>
      </c>
      <c r="T26" s="299" t="str">
        <f ca="1">IF(T25&lt;0,"Votre projet est additionnel","Votre projet n'est pas additionnel")</f>
        <v>Votre projet est additionnel</v>
      </c>
      <c r="U26" s="299"/>
      <c r="V26" s="29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40</v>
      </c>
      <c r="B27" s="181">
        <f>'Données projet'!D40</f>
        <v>28</v>
      </c>
      <c r="C27" s="193">
        <f>225*'Données projet'!E40+13.8*('Données projet'!F40+'Données projet'!G40)+10*'Données projet'!G40</f>
        <v>45</v>
      </c>
      <c r="D27" s="182">
        <f t="shared" si="2"/>
        <v>1260</v>
      </c>
      <c r="E27" s="193"/>
      <c r="F27" s="232"/>
      <c r="G27" s="228"/>
      <c r="H27" s="190"/>
      <c r="I27" s="191"/>
      <c r="K27" s="207"/>
      <c r="L27" s="292"/>
      <c r="M27" s="293"/>
      <c r="N27" s="293"/>
      <c r="O27" s="293"/>
      <c r="P27" s="294"/>
      <c r="Q27" s="233"/>
      <c r="R27" s="23"/>
      <c r="S27" s="298" t="s">
        <v>267</v>
      </c>
      <c r="T27" s="298"/>
      <c r="U27" s="298"/>
      <c r="V27" s="29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45</v>
      </c>
      <c r="B28" s="181">
        <f>'Données projet'!D41</f>
        <v>28</v>
      </c>
      <c r="C28" s="193">
        <f>225*'Données projet'!E41+13.8*('Données projet'!F41+'Données projet'!G41)+10*'Données projet'!G41</f>
        <v>45</v>
      </c>
      <c r="D28" s="182">
        <f t="shared" si="2"/>
        <v>1260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50</v>
      </c>
      <c r="B29" s="181">
        <f>'Données projet'!D42</f>
        <v>28</v>
      </c>
      <c r="C29" s="193">
        <f>225*'Données projet'!E42+13.8*('Données projet'!F42+'Données projet'!G42)+10*'Données projet'!G42</f>
        <v>67.5</v>
      </c>
      <c r="D29" s="182">
        <f t="shared" si="2"/>
        <v>1890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55</v>
      </c>
      <c r="B30" s="181">
        <f>'Données projet'!D43</f>
        <v>28</v>
      </c>
      <c r="C30" s="193">
        <f>225*'Données projet'!E43+13.8*('Données projet'!F43+'Données projet'!G43)+10*'Données projet'!G43</f>
        <v>67.5</v>
      </c>
      <c r="D30" s="182">
        <f t="shared" si="2"/>
        <v>1890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60</v>
      </c>
      <c r="B31" s="181">
        <f>'Données projet'!D44</f>
        <v>28</v>
      </c>
      <c r="C31" s="193">
        <f>225*'Données projet'!E44+13.8*('Données projet'!F44+'Données projet'!G44)+10*'Données projet'!G44</f>
        <v>90</v>
      </c>
      <c r="D31" s="182">
        <f t="shared" si="2"/>
        <v>2520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65</v>
      </c>
      <c r="B32" s="181">
        <f>'Données projet'!D45</f>
        <v>28</v>
      </c>
      <c r="C32" s="193">
        <f>225*'Données projet'!E45+13.8*('Données projet'!F45+'Données projet'!G45)+10*'Données projet'!G45</f>
        <v>90</v>
      </c>
      <c r="D32" s="182">
        <f t="shared" si="2"/>
        <v>2520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70</v>
      </c>
      <c r="B33" s="181">
        <f>'Données projet'!D46</f>
        <v>28</v>
      </c>
      <c r="C33" s="193">
        <f>225*'Données projet'!E46+13.8*('Données projet'!F46+'Données projet'!G46)+10*'Données projet'!G46</f>
        <v>112.5</v>
      </c>
      <c r="D33" s="182">
        <f t="shared" si="2"/>
        <v>3150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75</v>
      </c>
      <c r="B34" s="181">
        <f>'Données projet'!D47</f>
        <v>28</v>
      </c>
      <c r="C34" s="193">
        <f>225*'Données projet'!E47+13.8*('Données projet'!F47+'Données projet'!G47)+10*'Données projet'!G47</f>
        <v>112.5</v>
      </c>
      <c r="D34" s="182">
        <f t="shared" si="2"/>
        <v>3150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80</v>
      </c>
      <c r="B35" s="181">
        <f>'Données projet'!D48</f>
        <v>28</v>
      </c>
      <c r="C35" s="193">
        <f>225*'Données projet'!E48+13.8*('Données projet'!F48+'Données projet'!G48)+10*'Données projet'!G48</f>
        <v>135</v>
      </c>
      <c r="D35" s="182">
        <f t="shared" si="2"/>
        <v>3780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90</v>
      </c>
      <c r="B36" s="181">
        <f>'Données projet'!D49</f>
        <v>56</v>
      </c>
      <c r="C36" s="193">
        <f>225*'Données projet'!E49+13.8*('Données projet'!F49+'Données projet'!G49)+10*'Données projet'!G49</f>
        <v>157.5</v>
      </c>
      <c r="D36" s="182">
        <f t="shared" si="2"/>
        <v>8820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100</v>
      </c>
      <c r="B37" s="181">
        <f>'Données projet'!D50</f>
        <v>56</v>
      </c>
      <c r="C37" s="193">
        <f>225*'Données projet'!E50+13.8*('Données projet'!F50+'Données projet'!G50)+10*'Données projet'!G50</f>
        <v>180</v>
      </c>
      <c r="D37" s="182">
        <f t="shared" si="2"/>
        <v>10080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110</v>
      </c>
      <c r="B38" s="181">
        <f>'Données projet'!D51</f>
        <v>51</v>
      </c>
      <c r="C38" s="193">
        <f>225*'Données projet'!E51+13.8*('Données projet'!F51+'Données projet'!G51)+10*'Données projet'!G51</f>
        <v>180</v>
      </c>
      <c r="D38" s="182">
        <f t="shared" si="2"/>
        <v>9180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120</v>
      </c>
      <c r="B39" s="181">
        <f>'Données projet'!D52</f>
        <v>352</v>
      </c>
      <c r="C39" s="193">
        <f>225*'Données projet'!E52+13.8*('Données projet'!F52+'Données projet'!G52)+10*'Données projet'!G52</f>
        <v>202.5</v>
      </c>
      <c r="D39" s="182">
        <f t="shared" si="2"/>
        <v>71280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>
        <f>225*'Données projet'!E53+13.8*('Données projet'!F53+'Données projet'!G53)+10*'Données projet'!G53</f>
        <v>0</v>
      </c>
      <c r="D40" s="182">
        <f t="shared" si="2"/>
        <v>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>
        <f>225*'Données projet'!E54+13.8*('Données projet'!F54+'Données projet'!G54)+10*'Données projet'!G54</f>
        <v>0</v>
      </c>
      <c r="D41" s="182">
        <f t="shared" si="2"/>
        <v>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>
        <f>225*'Données projet'!E55+13.8*('Données projet'!F55+'Données projet'!G55)+10*'Données projet'!G55</f>
        <v>0</v>
      </c>
      <c r="D42" s="182">
        <f t="shared" si="2"/>
        <v>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>Charme</v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8" t="s">
        <v>132</v>
      </c>
      <c r="C48" s="197" t="s">
        <v>132</v>
      </c>
      <c r="D48" s="196" t="s">
        <v>132</v>
      </c>
      <c r="E48" s="193">
        <v>1716</v>
      </c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8" t="s">
        <v>132</v>
      </c>
      <c r="C49" s="197" t="s">
        <v>132</v>
      </c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8" t="s">
        <v>132</v>
      </c>
      <c r="C50" s="197" t="s">
        <v>132</v>
      </c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8" t="s">
        <v>132</v>
      </c>
      <c r="C51" s="197" t="s">
        <v>132</v>
      </c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8" t="s">
        <v>132</v>
      </c>
      <c r="C52" s="197" t="s">
        <v>132</v>
      </c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8" t="s">
        <v>132</v>
      </c>
      <c r="C53" s="197" t="s">
        <v>132</v>
      </c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20</v>
      </c>
      <c r="B54" s="181">
        <f>'Données projet'!D62</f>
        <v>0</v>
      </c>
      <c r="C54" s="191">
        <f>17.5*'Données projet'!E62+13.8*('Données projet'!F62+'Données projet'!G62)+10*'Données projet'!H62</f>
        <v>10</v>
      </c>
      <c r="D54" s="179">
        <f>B54*C54</f>
        <v>0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25</v>
      </c>
      <c r="B55" s="181">
        <f>'Données projet'!D63</f>
        <v>0</v>
      </c>
      <c r="C55" s="191">
        <f>17.5*'Données projet'!E63+13.8*('Données projet'!F63+'Données projet'!G63)+10*'Données projet'!H63</f>
        <v>10</v>
      </c>
      <c r="D55" s="179">
        <f t="shared" ref="D55:D73" si="4">B55*C55</f>
        <v>0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30</v>
      </c>
      <c r="B56" s="181">
        <f>'Données projet'!D64</f>
        <v>21</v>
      </c>
      <c r="C56" s="191">
        <f>17.5*'Données projet'!E64+13.8*('Données projet'!F64+'Données projet'!G64)+10*'Données projet'!H64</f>
        <v>10</v>
      </c>
      <c r="D56" s="179">
        <f t="shared" si="4"/>
        <v>210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35</v>
      </c>
      <c r="B57" s="181">
        <f>'Données projet'!D65</f>
        <v>21</v>
      </c>
      <c r="C57" s="191">
        <f>17.5*'Données projet'!E65+13.8*('Données projet'!F65+'Données projet'!G65)+10*'Données projet'!H65</f>
        <v>10</v>
      </c>
      <c r="D57" s="179">
        <f t="shared" si="4"/>
        <v>210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40</v>
      </c>
      <c r="B58" s="181">
        <f>'Données projet'!D66</f>
        <v>21</v>
      </c>
      <c r="C58" s="191">
        <f>17.5*'Données projet'!E66+13.8*('Données projet'!F66+'Données projet'!G66)+10*'Données projet'!H66</f>
        <v>11.5</v>
      </c>
      <c r="D58" s="179">
        <f t="shared" si="4"/>
        <v>241.5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45</v>
      </c>
      <c r="B59" s="181">
        <f>'Données projet'!D67</f>
        <v>21</v>
      </c>
      <c r="C59" s="191">
        <f>17.5*'Données projet'!E67+13.8*('Données projet'!F67+'Données projet'!G67)+10*'Données projet'!H67</f>
        <v>11.5</v>
      </c>
      <c r="D59" s="179">
        <f t="shared" si="4"/>
        <v>241.5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50</v>
      </c>
      <c r="B60" s="181">
        <f>'Données projet'!D68</f>
        <v>21</v>
      </c>
      <c r="C60" s="191">
        <f>17.5*'Données projet'!E68+13.8*('Données projet'!F68+'Données projet'!G68)+10*'Données projet'!H68</f>
        <v>12.25</v>
      </c>
      <c r="D60" s="179">
        <f t="shared" si="4"/>
        <v>257.25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55</v>
      </c>
      <c r="B61" s="181">
        <f>'Données projet'!D69</f>
        <v>21</v>
      </c>
      <c r="C61" s="191">
        <f>17.5*'Données projet'!E69+13.8*('Données projet'!F69+'Données projet'!G69)+10*'Données projet'!H69</f>
        <v>12.25</v>
      </c>
      <c r="D61" s="179">
        <f t="shared" si="4"/>
        <v>257.25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60</v>
      </c>
      <c r="B62" s="181">
        <f>'Données projet'!D70</f>
        <v>21</v>
      </c>
      <c r="C62" s="191">
        <f>17.5*'Données projet'!E70+13.8*('Données projet'!F70+'Données projet'!G70)+10*'Données projet'!H70</f>
        <v>13</v>
      </c>
      <c r="D62" s="179">
        <f t="shared" si="4"/>
        <v>273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65</v>
      </c>
      <c r="B63" s="181">
        <f>'Données projet'!D71</f>
        <v>21</v>
      </c>
      <c r="C63" s="191">
        <f>17.5*'Données projet'!E71+13.8*('Données projet'!F71+'Données projet'!G71)+10*'Données projet'!H71</f>
        <v>13</v>
      </c>
      <c r="D63" s="179">
        <f t="shared" si="4"/>
        <v>273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70</v>
      </c>
      <c r="B64" s="181">
        <f>'Données projet'!D72</f>
        <v>21</v>
      </c>
      <c r="C64" s="191">
        <f>17.5*'Données projet'!E72+13.8*('Données projet'!F72+'Données projet'!G72)+10*'Données projet'!H72</f>
        <v>13.75</v>
      </c>
      <c r="D64" s="179">
        <f t="shared" si="4"/>
        <v>288.75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75</v>
      </c>
      <c r="B65" s="181">
        <f>'Données projet'!D73</f>
        <v>21</v>
      </c>
      <c r="C65" s="191">
        <f>17.5*'Données projet'!E73+13.8*('Données projet'!F73+'Données projet'!G73)+10*'Données projet'!H73</f>
        <v>13.75</v>
      </c>
      <c r="D65" s="179">
        <f t="shared" si="4"/>
        <v>288.75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80</v>
      </c>
      <c r="B66" s="181">
        <f>'Données projet'!D74</f>
        <v>21</v>
      </c>
      <c r="C66" s="191">
        <f>17.5*'Données projet'!E74+13.8*('Données projet'!F74+'Données projet'!G74)+10*'Données projet'!H74</f>
        <v>14.5</v>
      </c>
      <c r="D66" s="179">
        <f t="shared" si="4"/>
        <v>304.5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85</v>
      </c>
      <c r="B67" s="181">
        <f>'Données projet'!D75</f>
        <v>21</v>
      </c>
      <c r="C67" s="191">
        <f>17.5*'Données projet'!E75+13.8*('Données projet'!F75+'Données projet'!G75)+10*'Données projet'!H75</f>
        <v>14.5</v>
      </c>
      <c r="D67" s="179">
        <f t="shared" si="4"/>
        <v>304.5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90</v>
      </c>
      <c r="B68" s="181">
        <f>'Données projet'!D76</f>
        <v>21</v>
      </c>
      <c r="C68" s="191">
        <f>17.5*'Données projet'!E76+13.8*('Données projet'!F76+'Données projet'!G76)+10*'Données projet'!H76</f>
        <v>15.25</v>
      </c>
      <c r="D68" s="179">
        <f t="shared" si="4"/>
        <v>320.25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100</v>
      </c>
      <c r="B69" s="181">
        <f>'Données projet'!D77</f>
        <v>21</v>
      </c>
      <c r="C69" s="191">
        <f>17.5*'Données projet'!E77+13.8*('Données projet'!F77+'Données projet'!G77)+10*'Données projet'!H77</f>
        <v>15.25</v>
      </c>
      <c r="D69" s="179">
        <f t="shared" si="4"/>
        <v>320.25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110</v>
      </c>
      <c r="B70" s="181">
        <f>'Données projet'!D78</f>
        <v>19</v>
      </c>
      <c r="C70" s="191">
        <f>17.5*'Données projet'!E78+13.8*('Données projet'!F78+'Données projet'!G78)+10*'Données projet'!H78</f>
        <v>16</v>
      </c>
      <c r="D70" s="179">
        <f t="shared" si="4"/>
        <v>304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120</v>
      </c>
      <c r="B71" s="181">
        <f>'Données projet'!D79</f>
        <v>285</v>
      </c>
      <c r="C71" s="191">
        <f>17.5*'Données projet'!E79+13.8*('Données projet'!F79+'Données projet'!G79)+10*'Données projet'!H79</f>
        <v>16</v>
      </c>
      <c r="D71" s="179">
        <f t="shared" si="4"/>
        <v>4560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>
        <f>17.5*'Données projet'!E80+13.8*('Données projet'!F80+'Données projet'!G80)+10*'Données projet'!H80</f>
        <v>0</v>
      </c>
      <c r="D72" s="179">
        <f t="shared" si="4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>
        <f>17.5*'Données projet'!E81+13.8*('Données projet'!F81+'Données projet'!G81)+10*'Données projet'!H81</f>
        <v>0</v>
      </c>
      <c r="D73" s="179">
        <f t="shared" si="4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>Merisier</v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8" t="s">
        <v>132</v>
      </c>
      <c r="C79" s="197" t="s">
        <v>132</v>
      </c>
      <c r="D79" s="196" t="s">
        <v>132</v>
      </c>
      <c r="E79" s="193">
        <v>3003</v>
      </c>
      <c r="F79" s="230"/>
      <c r="G79" s="205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8" t="s">
        <v>132</v>
      </c>
      <c r="C80" s="197" t="s">
        <v>132</v>
      </c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8" t="s">
        <v>132</v>
      </c>
      <c r="C81" s="197" t="s">
        <v>132</v>
      </c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8" t="s">
        <v>132</v>
      </c>
      <c r="C82" s="197" t="s">
        <v>132</v>
      </c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8" t="s">
        <v>132</v>
      </c>
      <c r="C83" s="197" t="s">
        <v>132</v>
      </c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8" t="s">
        <v>132</v>
      </c>
      <c r="C84" s="197" t="s">
        <v>132</v>
      </c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15</v>
      </c>
      <c r="B85" s="181">
        <f>'Données projet'!D88</f>
        <v>3</v>
      </c>
      <c r="C85" s="191">
        <f>50*'Données projet'!E88+13.8*('Données projet'!F88+'Données projet'!G88)+10*'Données projet'!H88</f>
        <v>10</v>
      </c>
      <c r="D85" s="179">
        <f>B85*C85</f>
        <v>30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20</v>
      </c>
      <c r="B86" s="181">
        <f>'Données projet'!D89</f>
        <v>25</v>
      </c>
      <c r="C86" s="191">
        <f>50*'Données projet'!E89+13.8*('Données projet'!F89+'Données projet'!G89)+10*'Données projet'!H89</f>
        <v>10</v>
      </c>
      <c r="D86" s="179">
        <f t="shared" ref="D86:D104" si="6">B86*C86</f>
        <v>250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25</v>
      </c>
      <c r="B87" s="181">
        <f>'Données projet'!D90</f>
        <v>27</v>
      </c>
      <c r="C87" s="191">
        <f>50*'Données projet'!E90+13.8*('Données projet'!F90+'Données projet'!G90)+10*'Données projet'!H90</f>
        <v>18</v>
      </c>
      <c r="D87" s="179">
        <f t="shared" si="6"/>
        <v>486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31</v>
      </c>
      <c r="B88" s="181">
        <f>'Données projet'!D91</f>
        <v>36</v>
      </c>
      <c r="C88" s="191">
        <f>50*'Données projet'!E91+13.8*('Données projet'!F91+'Données projet'!G91)+10*'Données projet'!H91</f>
        <v>22</v>
      </c>
      <c r="D88" s="179">
        <f t="shared" si="6"/>
        <v>792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37</v>
      </c>
      <c r="B89" s="181">
        <f>'Données projet'!D92</f>
        <v>36</v>
      </c>
      <c r="C89" s="191">
        <f>50*'Données projet'!E92+13.8*('Données projet'!F92+'Données projet'!G92)+10*'Données projet'!H92</f>
        <v>22</v>
      </c>
      <c r="D89" s="179">
        <f t="shared" si="6"/>
        <v>792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44</v>
      </c>
      <c r="B90" s="181">
        <f>'Données projet'!D93</f>
        <v>43</v>
      </c>
      <c r="C90" s="191">
        <f>50*'Données projet'!E93+13.8*('Données projet'!F93+'Données projet'!G93)+10*'Données projet'!H93</f>
        <v>26</v>
      </c>
      <c r="D90" s="179">
        <f t="shared" si="6"/>
        <v>1118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52</v>
      </c>
      <c r="B91" s="181">
        <f>'Données projet'!D94</f>
        <v>48</v>
      </c>
      <c r="C91" s="191">
        <f>50*'Données projet'!E94+13.8*('Données projet'!F94+'Données projet'!G94)+10*'Données projet'!H94</f>
        <v>26</v>
      </c>
      <c r="D91" s="179">
        <f t="shared" si="6"/>
        <v>1248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60</v>
      </c>
      <c r="B92" s="181">
        <f>'Données projet'!D95</f>
        <v>47</v>
      </c>
      <c r="C92" s="191">
        <f>50*'Données projet'!E95+13.8*('Données projet'!F95+'Données projet'!G95)+10*'Données projet'!H95</f>
        <v>30</v>
      </c>
      <c r="D92" s="179">
        <f t="shared" si="6"/>
        <v>1410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69</v>
      </c>
      <c r="B93" s="181">
        <f>'Données projet'!D96</f>
        <v>328</v>
      </c>
      <c r="C93" s="191">
        <f>50*'Données projet'!E96+13.8*('Données projet'!F96+'Données projet'!G96)+10*'Données projet'!H96</f>
        <v>34</v>
      </c>
      <c r="D93" s="179">
        <f t="shared" si="6"/>
        <v>11152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0</v>
      </c>
      <c r="B94" s="181">
        <f>'Données projet'!D97</f>
        <v>0</v>
      </c>
      <c r="C94" s="191">
        <f>50*'Données projet'!E97+13.8*('Données projet'!F97+'Données projet'!G97)+10*'Données projet'!H97</f>
        <v>0</v>
      </c>
      <c r="D94" s="179">
        <f t="shared" si="6"/>
        <v>0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0</v>
      </c>
      <c r="B95" s="181">
        <f>'Données projet'!D98</f>
        <v>0</v>
      </c>
      <c r="C95" s="191">
        <f>50*'Données projet'!E98+13.8*('Données projet'!F98+'Données projet'!G98)+10*'Données projet'!H98</f>
        <v>0</v>
      </c>
      <c r="D95" s="179">
        <f t="shared" si="6"/>
        <v>0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0</v>
      </c>
      <c r="B96" s="181">
        <f>'Données projet'!D99</f>
        <v>0</v>
      </c>
      <c r="C96" s="191">
        <f>50*'Données projet'!E99+13.8*('Données projet'!F99+'Données projet'!G99)+10*'Données projet'!H99</f>
        <v>0</v>
      </c>
      <c r="D96" s="179">
        <f t="shared" si="6"/>
        <v>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0</v>
      </c>
      <c r="B97" s="181">
        <f>'Données projet'!D100</f>
        <v>0</v>
      </c>
      <c r="C97" s="191">
        <f>50*'Données projet'!E100+13.8*('Données projet'!F100+'Données projet'!G100)+10*'Données projet'!H100</f>
        <v>0</v>
      </c>
      <c r="D97" s="179">
        <f t="shared" si="6"/>
        <v>0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0</v>
      </c>
      <c r="B98" s="181">
        <f>'Données projet'!D101</f>
        <v>0</v>
      </c>
      <c r="C98" s="191">
        <f>50*'Données projet'!E101+13.8*('Données projet'!F101+'Données projet'!G101)+10*'Données projet'!H101</f>
        <v>0</v>
      </c>
      <c r="D98" s="179">
        <f t="shared" si="6"/>
        <v>0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0</v>
      </c>
      <c r="B99" s="181">
        <f>'Données projet'!D102</f>
        <v>0</v>
      </c>
      <c r="C99" s="191">
        <f>50*'Données projet'!E102+13.8*('Données projet'!F102+'Données projet'!G102)+10*'Données projet'!H102</f>
        <v>0</v>
      </c>
      <c r="D99" s="179">
        <f t="shared" si="6"/>
        <v>0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0</v>
      </c>
      <c r="B100" s="181">
        <f>'Données projet'!D103</f>
        <v>0</v>
      </c>
      <c r="C100" s="191">
        <f>50*'Données projet'!E103+13.8*('Données projet'!F103+'Données projet'!G103)+10*'Données projet'!H103</f>
        <v>0</v>
      </c>
      <c r="D100" s="179">
        <f t="shared" si="6"/>
        <v>0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0</v>
      </c>
      <c r="B101" s="181">
        <f>'Données projet'!D104</f>
        <v>0</v>
      </c>
      <c r="C101" s="191">
        <f>50*'Données projet'!E104+13.8*('Données projet'!F104+'Données projet'!G104)+10*'Données projet'!H104</f>
        <v>0</v>
      </c>
      <c r="D101" s="179">
        <f t="shared" si="6"/>
        <v>0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>
        <f>50*'Données projet'!E105+13.8*('Données projet'!F105+'Données projet'!G105)+10*'Données projet'!H105</f>
        <v>0</v>
      </c>
      <c r="D102" s="179">
        <f t="shared" si="6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>
        <f>50*'Données projet'!E106+13.8*('Données projet'!F106+'Données projet'!G106)+10*'Données projet'!H106</f>
        <v>0</v>
      </c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 t="str">
        <f>IF(O102+1&lt;=MIN('Données projet'!$E$9:$E$18),O102+1,"STOP")</f>
        <v>STOP</v>
      </c>
      <c r="P103" s="185" t="e">
        <f t="shared" si="7"/>
        <v>#VALUE!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>
        <f>50*'Données projet'!E107+13.8*('Données projet'!F107+'Données projet'!G107)+10*'Données projet'!H107</f>
        <v>0</v>
      </c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>Cormier</v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8" t="s">
        <v>132</v>
      </c>
      <c r="C110" s="197" t="s">
        <v>132</v>
      </c>
      <c r="D110" s="196" t="s">
        <v>132</v>
      </c>
      <c r="E110" s="193">
        <v>4147</v>
      </c>
      <c r="F110" s="230"/>
      <c r="G110" s="205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8" t="s">
        <v>132</v>
      </c>
      <c r="C111" s="197" t="s">
        <v>132</v>
      </c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8" t="s">
        <v>132</v>
      </c>
      <c r="C112" s="197" t="s">
        <v>132</v>
      </c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8" t="s">
        <v>132</v>
      </c>
      <c r="C113" s="197" t="s">
        <v>132</v>
      </c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8" t="s">
        <v>132</v>
      </c>
      <c r="C114" s="197" t="s">
        <v>132</v>
      </c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8" t="s">
        <v>132</v>
      </c>
      <c r="C115" s="197" t="s">
        <v>132</v>
      </c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20</v>
      </c>
      <c r="B116" s="181">
        <f>'Données projet'!D114</f>
        <v>0</v>
      </c>
      <c r="C116" s="191">
        <f>50*'Données projet'!E114+13.8*('Données projet'!F114+'Données projet'!G114)+10*'Données projet'!H114</f>
        <v>10</v>
      </c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25</v>
      </c>
      <c r="B117" s="181">
        <f>'Données projet'!D115</f>
        <v>0</v>
      </c>
      <c r="C117" s="191">
        <f>50*'Données projet'!E115+13.8*('Données projet'!F115+'Données projet'!G115)+10*'Données projet'!H115</f>
        <v>10</v>
      </c>
      <c r="D117" s="179">
        <f t="shared" ref="D117:D135" si="8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30</v>
      </c>
      <c r="B118" s="181">
        <f>'Données projet'!D116</f>
        <v>21</v>
      </c>
      <c r="C118" s="191">
        <f>50*'Données projet'!E116+13.8*('Données projet'!F116+'Données projet'!G116)+10*'Données projet'!H116</f>
        <v>10</v>
      </c>
      <c r="D118" s="179">
        <f t="shared" si="8"/>
        <v>210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35</v>
      </c>
      <c r="B119" s="181">
        <f>'Données projet'!D117</f>
        <v>21</v>
      </c>
      <c r="C119" s="191">
        <f>50*'Données projet'!E117+13.8*('Données projet'!F117+'Données projet'!G117)+10*'Données projet'!H117</f>
        <v>10</v>
      </c>
      <c r="D119" s="179">
        <f t="shared" si="8"/>
        <v>210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40</v>
      </c>
      <c r="B120" s="181">
        <f>'Données projet'!D118</f>
        <v>21</v>
      </c>
      <c r="C120" s="191">
        <f>50*'Données projet'!E118+13.8*('Données projet'!F118+'Données projet'!G118)+10*'Données projet'!H118</f>
        <v>18</v>
      </c>
      <c r="D120" s="179">
        <f t="shared" si="8"/>
        <v>378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45</v>
      </c>
      <c r="B121" s="181">
        <f>'Données projet'!D119</f>
        <v>21</v>
      </c>
      <c r="C121" s="191">
        <f>50*'Données projet'!E119+13.8*('Données projet'!F119+'Données projet'!G119)+10*'Données projet'!H119</f>
        <v>18</v>
      </c>
      <c r="D121" s="179">
        <f t="shared" si="8"/>
        <v>378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50</v>
      </c>
      <c r="B122" s="181">
        <f>'Données projet'!D120</f>
        <v>21</v>
      </c>
      <c r="C122" s="191">
        <f>50*'Données projet'!E120+13.8*('Données projet'!F120+'Données projet'!G120)+10*'Données projet'!H120</f>
        <v>22</v>
      </c>
      <c r="D122" s="179">
        <f t="shared" si="8"/>
        <v>462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55</v>
      </c>
      <c r="B123" s="181">
        <f>'Données projet'!D121</f>
        <v>21</v>
      </c>
      <c r="C123" s="191">
        <f>50*'Données projet'!E121+13.8*('Données projet'!F121+'Données projet'!G121)+10*'Données projet'!H121</f>
        <v>22</v>
      </c>
      <c r="D123" s="179">
        <f t="shared" si="8"/>
        <v>462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60</v>
      </c>
      <c r="B124" s="181">
        <f>'Données projet'!D122</f>
        <v>21</v>
      </c>
      <c r="C124" s="191">
        <f>50*'Données projet'!E122+13.8*('Données projet'!F122+'Données projet'!G122)+10*'Données projet'!H122</f>
        <v>26</v>
      </c>
      <c r="D124" s="179">
        <f t="shared" si="8"/>
        <v>546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65</v>
      </c>
      <c r="B125" s="181">
        <f>'Données projet'!D123</f>
        <v>21</v>
      </c>
      <c r="C125" s="191">
        <f>50*'Données projet'!E123+13.8*('Données projet'!F123+'Données projet'!G123)+10*'Données projet'!H123</f>
        <v>26</v>
      </c>
      <c r="D125" s="179">
        <f t="shared" si="8"/>
        <v>546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70</v>
      </c>
      <c r="B126" s="181">
        <f>'Données projet'!D124</f>
        <v>21</v>
      </c>
      <c r="C126" s="191">
        <f>50*'Données projet'!E124+13.8*('Données projet'!F124+'Données projet'!G124)+10*'Données projet'!H124</f>
        <v>30</v>
      </c>
      <c r="D126" s="179">
        <f t="shared" si="8"/>
        <v>630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75</v>
      </c>
      <c r="B127" s="181">
        <f>'Données projet'!D125</f>
        <v>21</v>
      </c>
      <c r="C127" s="191">
        <f>50*'Données projet'!E125+13.8*('Données projet'!F125+'Données projet'!G125)+10*'Données projet'!H125</f>
        <v>30</v>
      </c>
      <c r="D127" s="179">
        <f t="shared" si="8"/>
        <v>630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80</v>
      </c>
      <c r="B128" s="181">
        <f>'Données projet'!D126</f>
        <v>21</v>
      </c>
      <c r="C128" s="191">
        <f>50*'Données projet'!E126+13.8*('Données projet'!F126+'Données projet'!G126)+10*'Données projet'!H126</f>
        <v>34</v>
      </c>
      <c r="D128" s="179">
        <f t="shared" si="8"/>
        <v>714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85</v>
      </c>
      <c r="B129" s="181">
        <f>'Données projet'!D127</f>
        <v>21</v>
      </c>
      <c r="C129" s="191">
        <f>50*'Données projet'!E127+13.8*('Données projet'!F127+'Données projet'!G127)+10*'Données projet'!H127</f>
        <v>34</v>
      </c>
      <c r="D129" s="179">
        <f t="shared" si="8"/>
        <v>714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90</v>
      </c>
      <c r="B130" s="181">
        <f>'Données projet'!D128</f>
        <v>21</v>
      </c>
      <c r="C130" s="191">
        <f>50*'Données projet'!E128+13.8*('Données projet'!F128+'Données projet'!G128)+10*'Données projet'!H128</f>
        <v>38</v>
      </c>
      <c r="D130" s="179">
        <f t="shared" si="8"/>
        <v>798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100</v>
      </c>
      <c r="B131" s="181">
        <f>'Données projet'!D129</f>
        <v>21</v>
      </c>
      <c r="C131" s="191">
        <f>50*'Données projet'!E129+13.8*('Données projet'!F129+'Données projet'!G129)+10*'Données projet'!H129</f>
        <v>38</v>
      </c>
      <c r="D131" s="179">
        <f t="shared" si="8"/>
        <v>798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110</v>
      </c>
      <c r="B132" s="181">
        <f>'Données projet'!D130</f>
        <v>19</v>
      </c>
      <c r="C132" s="191">
        <f>50*'Données projet'!E130+13.8*('Données projet'!F130+'Données projet'!G130)+10*'Données projet'!H130</f>
        <v>42</v>
      </c>
      <c r="D132" s="179">
        <f t="shared" si="8"/>
        <v>798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120</v>
      </c>
      <c r="B133" s="181">
        <f>'Données projet'!D131</f>
        <v>285</v>
      </c>
      <c r="C133" s="191">
        <f>50*'Données projet'!E131+13.8*('Données projet'!F131+'Données projet'!G131)+10*'Données projet'!H131</f>
        <v>42</v>
      </c>
      <c r="D133" s="179">
        <f t="shared" si="8"/>
        <v>11970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>
        <f>50*'Données projet'!E132+13.8*('Données projet'!F132+'Données projet'!G132)+10*'Données projet'!H132</f>
        <v>0</v>
      </c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>
        <f>50*'Données projet'!E133+13.8*('Données projet'!F133+'Données projet'!G133)+10*'Données projet'!H133</f>
        <v>0</v>
      </c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>Cormier</v>
      </c>
      <c r="C138" s="4"/>
      <c r="D138" s="4"/>
      <c r="E138" s="4"/>
      <c r="F138" s="23" t="s">
        <v>324</v>
      </c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8" t="s">
        <v>132</v>
      </c>
      <c r="C141" s="197" t="s">
        <v>132</v>
      </c>
      <c r="D141" s="196" t="s">
        <v>132</v>
      </c>
      <c r="E141" s="193">
        <v>3003</v>
      </c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8" t="s">
        <v>132</v>
      </c>
      <c r="C142" s="197" t="s">
        <v>132</v>
      </c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8" t="s">
        <v>132</v>
      </c>
      <c r="C143" s="197" t="s">
        <v>132</v>
      </c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8" t="s">
        <v>132</v>
      </c>
      <c r="C144" s="197" t="s">
        <v>132</v>
      </c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8" t="s">
        <v>132</v>
      </c>
      <c r="C145" s="197" t="s">
        <v>132</v>
      </c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8" t="s">
        <v>132</v>
      </c>
      <c r="C146" s="197" t="s">
        <v>132</v>
      </c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20</v>
      </c>
      <c r="B147" s="175">
        <f>'Données projet'!D140</f>
        <v>0</v>
      </c>
      <c r="C147" s="191">
        <f>50*'Données projet'!E140+13.8*('Données projet'!F140+'Données projet'!G140)+10*'Données projet'!H140</f>
        <v>10</v>
      </c>
      <c r="D147" s="182">
        <f>B147*C147</f>
        <v>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25</v>
      </c>
      <c r="B148" s="175">
        <f>'Données projet'!D141</f>
        <v>0</v>
      </c>
      <c r="C148" s="191">
        <f>50*'Données projet'!E141+13.8*('Données projet'!F141+'Données projet'!G141)+10*'Données projet'!H141</f>
        <v>10</v>
      </c>
      <c r="D148" s="182">
        <f t="shared" ref="D148:D166" si="10">B148*C148</f>
        <v>0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30</v>
      </c>
      <c r="B149" s="175">
        <f>'Données projet'!D142</f>
        <v>21</v>
      </c>
      <c r="C149" s="191">
        <f>50*'Données projet'!E142+13.8*('Données projet'!F142+'Données projet'!G142)+10*'Données projet'!H142</f>
        <v>10</v>
      </c>
      <c r="D149" s="182">
        <f t="shared" si="10"/>
        <v>210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35</v>
      </c>
      <c r="B150" s="175">
        <f>'Données projet'!D143</f>
        <v>21</v>
      </c>
      <c r="C150" s="191">
        <f>50*'Données projet'!E143+13.8*('Données projet'!F143+'Données projet'!G143)+10*'Données projet'!H143</f>
        <v>10</v>
      </c>
      <c r="D150" s="182">
        <f t="shared" si="10"/>
        <v>210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40</v>
      </c>
      <c r="B151" s="175">
        <f>'Données projet'!D144</f>
        <v>21</v>
      </c>
      <c r="C151" s="191">
        <f>50*'Données projet'!E144+13.8*('Données projet'!F144+'Données projet'!G144)+10*'Données projet'!H144</f>
        <v>18</v>
      </c>
      <c r="D151" s="182">
        <f t="shared" si="10"/>
        <v>378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45</v>
      </c>
      <c r="B152" s="175">
        <f>'Données projet'!D145</f>
        <v>21</v>
      </c>
      <c r="C152" s="191">
        <f>50*'Données projet'!E145+13.8*('Données projet'!F145+'Données projet'!G145)+10*'Données projet'!H145</f>
        <v>18</v>
      </c>
      <c r="D152" s="182">
        <f t="shared" si="10"/>
        <v>378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50</v>
      </c>
      <c r="B153" s="175">
        <f>'Données projet'!D146</f>
        <v>21</v>
      </c>
      <c r="C153" s="191">
        <f>50*'Données projet'!E146+13.8*('Données projet'!F146+'Données projet'!G146)+10*'Données projet'!H146</f>
        <v>22</v>
      </c>
      <c r="D153" s="182">
        <f t="shared" si="10"/>
        <v>462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55</v>
      </c>
      <c r="B154" s="175">
        <f>'Données projet'!D147</f>
        <v>21</v>
      </c>
      <c r="C154" s="191">
        <f>50*'Données projet'!E147+13.8*('Données projet'!F147+'Données projet'!G147)+10*'Données projet'!H147</f>
        <v>22</v>
      </c>
      <c r="D154" s="182">
        <f t="shared" si="10"/>
        <v>462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60</v>
      </c>
      <c r="B155" s="175">
        <f>'Données projet'!D148</f>
        <v>21</v>
      </c>
      <c r="C155" s="191">
        <f>50*'Données projet'!E148+13.8*('Données projet'!F148+'Données projet'!G148)+10*'Données projet'!H148</f>
        <v>26</v>
      </c>
      <c r="D155" s="182">
        <f t="shared" si="10"/>
        <v>546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65</v>
      </c>
      <c r="B156" s="175">
        <f>'Données projet'!D149</f>
        <v>21</v>
      </c>
      <c r="C156" s="191">
        <f>50*'Données projet'!E149+13.8*('Données projet'!F149+'Données projet'!G149)+10*'Données projet'!H149</f>
        <v>26</v>
      </c>
      <c r="D156" s="182">
        <f t="shared" si="10"/>
        <v>546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70</v>
      </c>
      <c r="B157" s="175">
        <f>'Données projet'!D150</f>
        <v>21</v>
      </c>
      <c r="C157" s="191">
        <f>50*'Données projet'!E150+13.8*('Données projet'!F150+'Données projet'!G150)+10*'Données projet'!H150</f>
        <v>30</v>
      </c>
      <c r="D157" s="182">
        <f t="shared" si="10"/>
        <v>630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75</v>
      </c>
      <c r="B158" s="175">
        <f>'Données projet'!D151</f>
        <v>21</v>
      </c>
      <c r="C158" s="191">
        <f>50*'Données projet'!E151+13.8*('Données projet'!F151+'Données projet'!G151)+10*'Données projet'!H151</f>
        <v>30</v>
      </c>
      <c r="D158" s="182">
        <f t="shared" si="10"/>
        <v>630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80</v>
      </c>
      <c r="B159" s="175">
        <f>'Données projet'!D152</f>
        <v>21</v>
      </c>
      <c r="C159" s="191">
        <f>50*'Données projet'!E152+13.8*('Données projet'!F152+'Données projet'!G152)+10*'Données projet'!H152</f>
        <v>34</v>
      </c>
      <c r="D159" s="182">
        <f t="shared" si="10"/>
        <v>714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85</v>
      </c>
      <c r="B160" s="175">
        <f>'Données projet'!D153</f>
        <v>21</v>
      </c>
      <c r="C160" s="191">
        <f>50*'Données projet'!E153+13.8*('Données projet'!F153+'Données projet'!G153)+10*'Données projet'!H153</f>
        <v>34</v>
      </c>
      <c r="D160" s="182">
        <f t="shared" si="10"/>
        <v>714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90</v>
      </c>
      <c r="B161" s="175">
        <f>'Données projet'!D154</f>
        <v>21</v>
      </c>
      <c r="C161" s="191">
        <f>50*'Données projet'!E154+13.8*('Données projet'!F154+'Données projet'!G154)+10*'Données projet'!H154</f>
        <v>38</v>
      </c>
      <c r="D161" s="182">
        <f t="shared" si="10"/>
        <v>798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100</v>
      </c>
      <c r="B162" s="175">
        <f>'Données projet'!D155</f>
        <v>21</v>
      </c>
      <c r="C162" s="191">
        <f>50*'Données projet'!E155+13.8*('Données projet'!F155+'Données projet'!G155)+10*'Données projet'!H155</f>
        <v>38</v>
      </c>
      <c r="D162" s="182">
        <f t="shared" si="10"/>
        <v>798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110</v>
      </c>
      <c r="B163" s="175">
        <f>'Données projet'!D156</f>
        <v>19</v>
      </c>
      <c r="C163" s="191">
        <f>50*'Données projet'!E156+13.8*('Données projet'!F156+'Données projet'!G156)+10*'Données projet'!H156</f>
        <v>42</v>
      </c>
      <c r="D163" s="182">
        <f t="shared" si="10"/>
        <v>798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120</v>
      </c>
      <c r="B164" s="175">
        <f>'Données projet'!D157</f>
        <v>285</v>
      </c>
      <c r="C164" s="191">
        <f>50*'Données projet'!E157+13.8*('Données projet'!F157+'Données projet'!G157)+10*'Données projet'!H157</f>
        <v>42</v>
      </c>
      <c r="D164" s="182">
        <f t="shared" si="10"/>
        <v>11970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>
        <f>50*'Données projet'!E158+13.8*('Données projet'!F158+'Données projet'!G158)+10*'Données projet'!H158</f>
        <v>0</v>
      </c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>
        <f>50*'Données projet'!E159+13.8*('Données projet'!F159+'Données projet'!G159)+10*'Données projet'!H159</f>
        <v>0</v>
      </c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>Alisier torminal</v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8" t="s">
        <v>132</v>
      </c>
      <c r="C172" s="197" t="s">
        <v>132</v>
      </c>
      <c r="D172" s="196" t="s">
        <v>132</v>
      </c>
      <c r="E172" s="193">
        <v>4017</v>
      </c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8" t="s">
        <v>132</v>
      </c>
      <c r="C173" s="197" t="s">
        <v>132</v>
      </c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8" t="s">
        <v>132</v>
      </c>
      <c r="C174" s="197" t="s">
        <v>132</v>
      </c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8" t="s">
        <v>132</v>
      </c>
      <c r="C175" s="197" t="s">
        <v>132</v>
      </c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8" t="s">
        <v>132</v>
      </c>
      <c r="C176" s="197" t="s">
        <v>132</v>
      </c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8" t="s">
        <v>132</v>
      </c>
      <c r="C177" s="197" t="s">
        <v>132</v>
      </c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20</v>
      </c>
      <c r="B178" s="181">
        <f>'Données projet'!D166</f>
        <v>0</v>
      </c>
      <c r="C178" s="193">
        <f>300*'Données projet'!E166+13.8*('Données projet'!F166+'Données projet'!G168)+10*'Données projet'!H166</f>
        <v>10</v>
      </c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25</v>
      </c>
      <c r="B179" s="181">
        <f>'Données projet'!D167</f>
        <v>0</v>
      </c>
      <c r="C179" s="193">
        <f>300*'Données projet'!E167+13.8*('Données projet'!F167+'Données projet'!G169)+10*'Données projet'!H167</f>
        <v>10</v>
      </c>
      <c r="D179" s="179">
        <f t="shared" ref="D179:D197" si="11">B179*C179</f>
        <v>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30</v>
      </c>
      <c r="B180" s="181">
        <f>'Données projet'!D168</f>
        <v>21</v>
      </c>
      <c r="C180" s="193">
        <f>300*'Données projet'!E168+13.8*('Données projet'!F168+'Données projet'!G170)+10*'Données projet'!H168</f>
        <v>10</v>
      </c>
      <c r="D180" s="179">
        <f t="shared" si="11"/>
        <v>210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35</v>
      </c>
      <c r="B181" s="181">
        <f>'Données projet'!D169</f>
        <v>21</v>
      </c>
      <c r="C181" s="193">
        <f>300*'Données projet'!E169+13.8*('Données projet'!F169+'Données projet'!G171)+10*'Données projet'!H169</f>
        <v>10</v>
      </c>
      <c r="D181" s="179">
        <f t="shared" si="11"/>
        <v>210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40</v>
      </c>
      <c r="B182" s="181">
        <f>'Données projet'!D170</f>
        <v>21</v>
      </c>
      <c r="C182" s="193">
        <f>300*'Données projet'!E170+13.8*('Données projet'!F170+'Données projet'!G172)+10*'Données projet'!H170</f>
        <v>68</v>
      </c>
      <c r="D182" s="179">
        <f t="shared" si="11"/>
        <v>1428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45</v>
      </c>
      <c r="B183" s="181">
        <f>'Données projet'!D171</f>
        <v>21</v>
      </c>
      <c r="C183" s="193">
        <f>300*'Données projet'!E171+13.8*('Données projet'!F171+'Données projet'!G173)+10*'Données projet'!H171</f>
        <v>68</v>
      </c>
      <c r="D183" s="179">
        <f t="shared" si="11"/>
        <v>1428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50</v>
      </c>
      <c r="B184" s="181">
        <f>'Données projet'!D172</f>
        <v>21</v>
      </c>
      <c r="C184" s="193">
        <f>300*'Données projet'!E172+13.8*('Données projet'!F172+'Données projet'!G174)+10*'Données projet'!H172</f>
        <v>97</v>
      </c>
      <c r="D184" s="179">
        <f t="shared" si="11"/>
        <v>2037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55</v>
      </c>
      <c r="B185" s="181">
        <f>'Données projet'!D173</f>
        <v>21</v>
      </c>
      <c r="C185" s="193">
        <f>300*'Données projet'!E173+13.8*('Données projet'!F173+'Données projet'!G175)+10*'Données projet'!H173</f>
        <v>97</v>
      </c>
      <c r="D185" s="179">
        <f t="shared" si="11"/>
        <v>2037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60</v>
      </c>
      <c r="B186" s="181">
        <f>'Données projet'!D174</f>
        <v>21</v>
      </c>
      <c r="C186" s="193">
        <f>300*'Données projet'!E174+13.8*('Données projet'!F174+'Données projet'!G176)+10*'Données projet'!H174</f>
        <v>126</v>
      </c>
      <c r="D186" s="179">
        <f t="shared" si="11"/>
        <v>2646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65</v>
      </c>
      <c r="B187" s="181">
        <f>'Données projet'!D175</f>
        <v>21</v>
      </c>
      <c r="C187" s="193">
        <f>300*'Données projet'!E175+13.8*('Données projet'!F175+'Données projet'!G177)+10*'Données projet'!H175</f>
        <v>126</v>
      </c>
      <c r="D187" s="179">
        <f t="shared" si="11"/>
        <v>2646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70</v>
      </c>
      <c r="B188" s="181">
        <f>'Données projet'!D176</f>
        <v>21</v>
      </c>
      <c r="C188" s="193">
        <f>300*'Données projet'!E176+13.8*('Données projet'!F176+'Données projet'!G178)+10*'Données projet'!H176</f>
        <v>155</v>
      </c>
      <c r="D188" s="179">
        <f t="shared" si="11"/>
        <v>3255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75</v>
      </c>
      <c r="B189" s="181">
        <f>'Données projet'!D177</f>
        <v>21</v>
      </c>
      <c r="C189" s="193">
        <f>300*'Données projet'!E177+13.8*('Données projet'!F177+'Données projet'!G179)+10*'Données projet'!H177</f>
        <v>155</v>
      </c>
      <c r="D189" s="179">
        <f t="shared" si="11"/>
        <v>3255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80</v>
      </c>
      <c r="B190" s="181">
        <f>'Données projet'!D178</f>
        <v>21</v>
      </c>
      <c r="C190" s="193">
        <f>300*'Données projet'!E178+13.8*('Données projet'!F178+'Données projet'!G180)+10*'Données projet'!H178</f>
        <v>184</v>
      </c>
      <c r="D190" s="179">
        <f t="shared" si="11"/>
        <v>3864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85</v>
      </c>
      <c r="B191" s="181">
        <f>'Données projet'!D179</f>
        <v>21</v>
      </c>
      <c r="C191" s="193">
        <f>300*'Données projet'!E179+13.8*('Données projet'!F179+'Données projet'!G181)+10*'Données projet'!H179</f>
        <v>184</v>
      </c>
      <c r="D191" s="179">
        <f t="shared" si="11"/>
        <v>3864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90</v>
      </c>
      <c r="B192" s="181">
        <f>'Données projet'!D180</f>
        <v>21</v>
      </c>
      <c r="C192" s="193">
        <f>300*'Données projet'!E180+13.8*('Données projet'!F180+'Données projet'!G182)+10*'Données projet'!H180</f>
        <v>213</v>
      </c>
      <c r="D192" s="179">
        <f t="shared" si="11"/>
        <v>4473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100</v>
      </c>
      <c r="B193" s="181">
        <f>'Données projet'!D181</f>
        <v>21</v>
      </c>
      <c r="C193" s="193">
        <f>300*'Données projet'!E181+13.8*('Données projet'!F181+'Données projet'!G183)+10*'Données projet'!H181</f>
        <v>213</v>
      </c>
      <c r="D193" s="179">
        <f t="shared" si="11"/>
        <v>4473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110</v>
      </c>
      <c r="B194" s="181">
        <f>'Données projet'!D182</f>
        <v>19</v>
      </c>
      <c r="C194" s="193">
        <f>300*'Données projet'!E182+13.8*('Données projet'!F182+'Données projet'!G184)+10*'Données projet'!H182</f>
        <v>242</v>
      </c>
      <c r="D194" s="179">
        <f t="shared" si="11"/>
        <v>4598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120</v>
      </c>
      <c r="B195" s="181">
        <f>'Données projet'!D183</f>
        <v>285</v>
      </c>
      <c r="C195" s="193">
        <f>300*'Données projet'!E183+13.8*('Données projet'!F183+'Données projet'!G185)+10*'Données projet'!H183</f>
        <v>242</v>
      </c>
      <c r="D195" s="179">
        <f t="shared" si="11"/>
        <v>68970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>
        <f>300*'Données projet'!E184+13.8*('Données projet'!F184+'Données projet'!G186)+10*'Données projet'!H184</f>
        <v>0</v>
      </c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>
        <f>300*'Données projet'!E185+13.8*('Données projet'!F185+'Données projet'!G187)+10*'Données projet'!H185</f>
        <v>0</v>
      </c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>Pin laricio</v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8" t="s">
        <v>132</v>
      </c>
      <c r="C203" s="197" t="s">
        <v>132</v>
      </c>
      <c r="D203" s="196" t="s">
        <v>132</v>
      </c>
      <c r="E203" s="193">
        <v>1432</v>
      </c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8" t="s">
        <v>132</v>
      </c>
      <c r="C204" s="197" t="s">
        <v>132</v>
      </c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8" t="s">
        <v>132</v>
      </c>
      <c r="C205" s="197" t="s">
        <v>132</v>
      </c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8" t="s">
        <v>132</v>
      </c>
      <c r="C206" s="197" t="s">
        <v>132</v>
      </c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8" t="s">
        <v>132</v>
      </c>
      <c r="C207" s="197" t="s">
        <v>132</v>
      </c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8" t="s">
        <v>132</v>
      </c>
      <c r="C208" s="197" t="s">
        <v>132</v>
      </c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15</v>
      </c>
      <c r="B209" s="181">
        <f>'Données projet'!D192</f>
        <v>0</v>
      </c>
      <c r="C209" s="193">
        <f>30*'Données projet'!E192+19.4*('Données projet'!F192+'Données projet'!G192)+10*'Données projet'!H192</f>
        <v>0</v>
      </c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19</v>
      </c>
      <c r="B210" s="181">
        <f>'Données projet'!D193</f>
        <v>46.3</v>
      </c>
      <c r="C210" s="193">
        <f>30*'Données projet'!E193+19.4*('Données projet'!F193+'Données projet'!G193)+10*'Données projet'!H193</f>
        <v>21.52</v>
      </c>
      <c r="D210" s="179">
        <f t="shared" ref="D210:D228" si="12">B210*C210</f>
        <v>996.37599999999986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24</v>
      </c>
      <c r="B211" s="181">
        <f>'Données projet'!D194</f>
        <v>45</v>
      </c>
      <c r="C211" s="193">
        <f>30*'Données projet'!E194+19.4*('Données projet'!F194+'Données projet'!G194)+10*'Données projet'!H194</f>
        <v>21.52</v>
      </c>
      <c r="D211" s="179">
        <f t="shared" si="12"/>
        <v>968.4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30</v>
      </c>
      <c r="B212" s="181">
        <f>'Données projet'!D195</f>
        <v>66.989999999999995</v>
      </c>
      <c r="C212" s="193">
        <f>30*'Données projet'!E195+19.4*('Données projet'!F195+'Données projet'!G195)+10*'Données projet'!H195</f>
        <v>21.52</v>
      </c>
      <c r="D212" s="179">
        <f t="shared" si="12"/>
        <v>1441.6247999999998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32</v>
      </c>
      <c r="B213" s="181">
        <f>'Données projet'!D196</f>
        <v>0</v>
      </c>
      <c r="C213" s="193">
        <f>30*'Données projet'!E196+19.4*('Données projet'!F196+'Données projet'!G196)+10*'Données projet'!H196</f>
        <v>0</v>
      </c>
      <c r="D213" s="179">
        <f t="shared" si="12"/>
        <v>0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37</v>
      </c>
      <c r="B214" s="181">
        <f>'Données projet'!D197</f>
        <v>55</v>
      </c>
      <c r="C214" s="193">
        <f>30*'Données projet'!E197+19.4*('Données projet'!F197+'Données projet'!G197)+10*'Données projet'!H197</f>
        <v>21.52</v>
      </c>
      <c r="D214" s="179">
        <f t="shared" si="12"/>
        <v>1183.5999999999999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41</v>
      </c>
      <c r="B215" s="181">
        <f>'Données projet'!D198</f>
        <v>0</v>
      </c>
      <c r="C215" s="193">
        <f>30*'Données projet'!E198+19.4*('Données projet'!F198+'Données projet'!G198)+10*'Données projet'!H198</f>
        <v>0</v>
      </c>
      <c r="D215" s="179">
        <f t="shared" si="12"/>
        <v>0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46</v>
      </c>
      <c r="B216" s="181">
        <f>'Données projet'!D199</f>
        <v>93</v>
      </c>
      <c r="C216" s="193">
        <f>30*'Données projet'!E199+19.4*('Données projet'!F199+'Données projet'!G199)+10*'Données projet'!H199</f>
        <v>23.64</v>
      </c>
      <c r="D216" s="179">
        <f t="shared" si="12"/>
        <v>2198.52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50</v>
      </c>
      <c r="B217" s="181">
        <f>'Données projet'!D200</f>
        <v>0</v>
      </c>
      <c r="C217" s="193">
        <f>30*'Données projet'!E200+19.4*('Données projet'!F200+'Données projet'!G200)+10*'Données projet'!H200</f>
        <v>0</v>
      </c>
      <c r="D217" s="179">
        <f t="shared" si="12"/>
        <v>0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56</v>
      </c>
      <c r="B218" s="181">
        <f>'Données projet'!D201</f>
        <v>77</v>
      </c>
      <c r="C218" s="193">
        <f>30*'Données projet'!E201+19.4*('Données projet'!F201+'Données projet'!G201)+10*'Données projet'!H201</f>
        <v>25.759999999999998</v>
      </c>
      <c r="D218" s="179">
        <f t="shared" si="12"/>
        <v>1983.5199999999998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59</v>
      </c>
      <c r="B219" s="181">
        <f>'Données projet'!D202</f>
        <v>0</v>
      </c>
      <c r="C219" s="193">
        <f>30*'Données projet'!E202+19.4*('Données projet'!F202+'Données projet'!G202)+10*'Données projet'!H202</f>
        <v>0</v>
      </c>
      <c r="D219" s="179">
        <f t="shared" si="12"/>
        <v>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66</v>
      </c>
      <c r="B220" s="181">
        <f>'Données projet'!D203</f>
        <v>87</v>
      </c>
      <c r="C220" s="193">
        <f>30*'Données projet'!E203+19.4*('Données projet'!F203+'Données projet'!G203)+10*'Données projet'!H203</f>
        <v>27.88</v>
      </c>
      <c r="D220" s="179">
        <f t="shared" si="12"/>
        <v>2425.56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68</v>
      </c>
      <c r="B221" s="181">
        <f>'Données projet'!D204</f>
        <v>0</v>
      </c>
      <c r="C221" s="193">
        <f>30*'Données projet'!E204+19.4*('Données projet'!F204+'Données projet'!G204)+10*'Données projet'!H204</f>
        <v>0</v>
      </c>
      <c r="D221" s="179">
        <f t="shared" si="12"/>
        <v>0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76</v>
      </c>
      <c r="B222" s="181">
        <f>'Données projet'!D205</f>
        <v>671.57</v>
      </c>
      <c r="C222" s="193">
        <f>30*'Données projet'!E205+19.4*('Données projet'!F205+'Données projet'!G205)+10*'Données projet'!H205</f>
        <v>27.88</v>
      </c>
      <c r="D222" s="179">
        <f t="shared" si="12"/>
        <v>18723.371600000002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0</v>
      </c>
      <c r="B223" s="181">
        <f>'Données projet'!D206</f>
        <v>0</v>
      </c>
      <c r="C223" s="193">
        <f>30*'Données projet'!E206+19.4*('Données projet'!F206+'Données projet'!G206)+10*'Données projet'!H206</f>
        <v>0</v>
      </c>
      <c r="D223" s="179">
        <f t="shared" si="12"/>
        <v>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>
        <f>30*'Données projet'!E207+19.4*('Données projet'!F207+'Données projet'!G207)+10*'Données projet'!H207</f>
        <v>0</v>
      </c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>
        <f>30*'Données projet'!E208+19.4*('Données projet'!F208+'Données projet'!G208)+10*'Données projet'!H208</f>
        <v>0</v>
      </c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>
        <f>30*'Données projet'!E209+19.4*('Données projet'!F209+'Données projet'!G209)+10*'Données projet'!H209</f>
        <v>0</v>
      </c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>
        <f>30*'Données projet'!E210+19.4*('Données projet'!F210+'Données projet'!G210)+10*'Données projet'!H210</f>
        <v>0</v>
      </c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>
        <f>30*'Données projet'!E211+19.4*('Données projet'!F211+'Données projet'!G211)+10*'Données projet'!H211</f>
        <v>0</v>
      </c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>Séquoia toujours vert</v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8" t="s">
        <v>132</v>
      </c>
      <c r="C234" s="197" t="s">
        <v>132</v>
      </c>
      <c r="D234" s="196" t="s">
        <v>132</v>
      </c>
      <c r="E234" s="193">
        <v>3003</v>
      </c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8" t="s">
        <v>132</v>
      </c>
      <c r="C235" s="197" t="s">
        <v>132</v>
      </c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8" t="s">
        <v>132</v>
      </c>
      <c r="C236" s="197" t="s">
        <v>132</v>
      </c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8" t="s">
        <v>132</v>
      </c>
      <c r="C237" s="197" t="s">
        <v>132</v>
      </c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8" t="s">
        <v>132</v>
      </c>
      <c r="C238" s="197" t="s">
        <v>132</v>
      </c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8" t="s">
        <v>132</v>
      </c>
      <c r="C239" s="197" t="s">
        <v>132</v>
      </c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15</v>
      </c>
      <c r="B240" s="181">
        <f>'Données projet'!D218</f>
        <v>0</v>
      </c>
      <c r="C240" s="193">
        <f>50*'Données projet'!E218+19.4*('Données projet'!F218+'Données projet'!G218)+10*'Données projet'!H218</f>
        <v>19.399999999999999</v>
      </c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20</v>
      </c>
      <c r="B241" s="181">
        <f>'Données projet'!D219</f>
        <v>74</v>
      </c>
      <c r="C241" s="193">
        <f>50*'Données projet'!E219+19.4*('Données projet'!F219+'Données projet'!G219)+10*'Données projet'!H219</f>
        <v>19.399999999999999</v>
      </c>
      <c r="D241" s="179">
        <f t="shared" ref="D241:D259" si="13">B241*C241</f>
        <v>1435.6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25</v>
      </c>
      <c r="B242" s="181">
        <f>'Données projet'!D220</f>
        <v>84</v>
      </c>
      <c r="C242" s="193">
        <f>50*'Données projet'!E220+19.4*('Données projet'!F220+'Données projet'!G220)+10*'Données projet'!H220</f>
        <v>19.399999999999999</v>
      </c>
      <c r="D242" s="179">
        <f t="shared" si="13"/>
        <v>1629.6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30</v>
      </c>
      <c r="B243" s="181">
        <f>'Données projet'!D221</f>
        <v>84</v>
      </c>
      <c r="C243" s="193">
        <f>50*'Données projet'!E221+19.4*('Données projet'!F221+'Données projet'!G221)+10*'Données projet'!H221</f>
        <v>19.399999999999999</v>
      </c>
      <c r="D243" s="179">
        <f t="shared" si="13"/>
        <v>1629.6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35</v>
      </c>
      <c r="B244" s="181">
        <f>'Données projet'!D222</f>
        <v>84</v>
      </c>
      <c r="C244" s="193">
        <f>50*'Données projet'!E222+19.4*('Données projet'!F222+'Données projet'!G222)+10*'Données projet'!H222</f>
        <v>19.399999999999999</v>
      </c>
      <c r="D244" s="179">
        <f t="shared" si="13"/>
        <v>1629.6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40</v>
      </c>
      <c r="B245" s="181">
        <f>'Données projet'!D223</f>
        <v>84</v>
      </c>
      <c r="C245" s="193">
        <f>50*'Données projet'!E223+19.4*('Données projet'!F223+'Données projet'!G223)+10*'Données projet'!H223</f>
        <v>25.52</v>
      </c>
      <c r="D245" s="179">
        <f t="shared" si="13"/>
        <v>2143.6799999999998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45</v>
      </c>
      <c r="B246" s="181">
        <f>'Données projet'!D224</f>
        <v>69</v>
      </c>
      <c r="C246" s="193">
        <f>50*'Données projet'!E224+19.4*('Données projet'!F224+'Données projet'!G224)+10*'Données projet'!H224</f>
        <v>25.52</v>
      </c>
      <c r="D246" s="179">
        <f t="shared" si="13"/>
        <v>1760.8799999999999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50</v>
      </c>
      <c r="B247" s="181">
        <f>'Données projet'!D225</f>
        <v>59</v>
      </c>
      <c r="C247" s="193">
        <f>50*'Données projet'!E225+19.4*('Données projet'!F225+'Données projet'!G225)+10*'Données projet'!H225</f>
        <v>25.52</v>
      </c>
      <c r="D247" s="179">
        <f t="shared" si="13"/>
        <v>1505.68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55</v>
      </c>
      <c r="B248" s="181">
        <f>'Données projet'!D226</f>
        <v>51</v>
      </c>
      <c r="C248" s="193">
        <f>50*'Données projet'!E226+19.4*('Données projet'!F226+'Données projet'!G226)+10*'Données projet'!H226</f>
        <v>31.64</v>
      </c>
      <c r="D248" s="179">
        <f t="shared" si="13"/>
        <v>1613.64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60</v>
      </c>
      <c r="B249" s="181">
        <f>'Données projet'!D227</f>
        <v>45</v>
      </c>
      <c r="C249" s="193">
        <f>50*'Données projet'!E227+19.4*('Données projet'!F227+'Données projet'!G227)+10*'Données projet'!H227</f>
        <v>31.64</v>
      </c>
      <c r="D249" s="179">
        <f t="shared" si="13"/>
        <v>1423.8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65</v>
      </c>
      <c r="B250" s="181">
        <f>'Données projet'!D228</f>
        <v>40</v>
      </c>
      <c r="C250" s="193">
        <f>50*'Données projet'!E228+19.4*('Données projet'!F228+'Données projet'!G228)+10*'Données projet'!H228</f>
        <v>37.76</v>
      </c>
      <c r="D250" s="179">
        <f t="shared" si="13"/>
        <v>1510.3999999999999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70</v>
      </c>
      <c r="B251" s="181">
        <f>'Données projet'!D229</f>
        <v>35</v>
      </c>
      <c r="C251" s="193">
        <f>50*'Données projet'!E229+19.4*('Données projet'!F229+'Données projet'!G229)+10*'Données projet'!H229</f>
        <v>43.88</v>
      </c>
      <c r="D251" s="179">
        <f t="shared" si="13"/>
        <v>1535.8000000000002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75</v>
      </c>
      <c r="B252" s="181">
        <f>'Données projet'!D230</f>
        <v>20</v>
      </c>
      <c r="C252" s="193">
        <f>50*'Données projet'!E230+19.4*('Données projet'!F230+'Données projet'!G230)+10*'Données projet'!H230</f>
        <v>43.88</v>
      </c>
      <c r="D252" s="179">
        <f t="shared" si="13"/>
        <v>877.6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80</v>
      </c>
      <c r="B253" s="181">
        <f>'Données projet'!D231</f>
        <v>951</v>
      </c>
      <c r="C253" s="193">
        <f>50*'Données projet'!E231+19.4*('Données projet'!F231+'Données projet'!G231)+10*'Données projet'!H231</f>
        <v>43.88</v>
      </c>
      <c r="D253" s="179">
        <f t="shared" si="13"/>
        <v>41729.880000000005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>
        <f>50*'Données projet'!E232+19.4*('Données projet'!F232+'Données projet'!G232)+10*'Données projet'!H232</f>
        <v>0</v>
      </c>
      <c r="D254" s="179">
        <f t="shared" si="13"/>
        <v>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>
        <f>50*'Données projet'!E233+19.4*('Données projet'!F233+'Données projet'!G233)+10*'Données projet'!H233</f>
        <v>0</v>
      </c>
      <c r="D255" s="179">
        <f t="shared" si="13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>
        <f>50*'Données projet'!E234+19.4*('Données projet'!F234+'Données projet'!G234)+10*'Données projet'!H234</f>
        <v>0</v>
      </c>
      <c r="D256" s="179">
        <f t="shared" si="13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>
        <f>50*'Données projet'!E235+19.4*('Données projet'!F235+'Données projet'!G235)+10*'Données projet'!H235</f>
        <v>0</v>
      </c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>
        <f>50*'Données projet'!E236+19.4*('Données projet'!F236+'Données projet'!G236)+10*'Données projet'!H236</f>
        <v>0</v>
      </c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>
        <f>50*'Données projet'!E237+19.4*('Données projet'!F237+'Données projet'!G237)+10*'Données projet'!H237</f>
        <v>0</v>
      </c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8" t="s">
        <v>132</v>
      </c>
      <c r="C265" s="197" t="s">
        <v>132</v>
      </c>
      <c r="D265" s="196" t="s">
        <v>132</v>
      </c>
      <c r="E265" s="193"/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0</v>
      </c>
      <c r="B271" s="181">
        <f>'Données projet'!D244</f>
        <v>0</v>
      </c>
      <c r="C271" s="193">
        <f>60*'Données projet'!E244+13.8*('Données projet'!F244+'Données projet'!G244)+10*'Données projet'!H244</f>
        <v>0</v>
      </c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0</v>
      </c>
      <c r="B272" s="181">
        <f>'Données projet'!D245</f>
        <v>0</v>
      </c>
      <c r="C272" s="193">
        <f>60*'Données projet'!E245+13.8*('Données projet'!F245+'Données projet'!G245)+10*'Données projet'!H245</f>
        <v>0</v>
      </c>
      <c r="D272" s="179">
        <f t="shared" ref="D272:D290" si="14">B272*C272</f>
        <v>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0</v>
      </c>
      <c r="B273" s="181">
        <f>'Données projet'!D246</f>
        <v>0</v>
      </c>
      <c r="C273" s="193">
        <f>60*'Données projet'!E246+13.8*('Données projet'!F246+'Données projet'!G246)+10*'Données projet'!H246</f>
        <v>0</v>
      </c>
      <c r="D273" s="179">
        <f t="shared" si="14"/>
        <v>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0</v>
      </c>
      <c r="B274" s="181">
        <f>'Données projet'!D247</f>
        <v>0</v>
      </c>
      <c r="C274" s="193">
        <f>60*'Données projet'!E247+13.8*('Données projet'!F247+'Données projet'!G247)+10*'Données projet'!H247</f>
        <v>0</v>
      </c>
      <c r="D274" s="179">
        <f t="shared" si="14"/>
        <v>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0</v>
      </c>
      <c r="B275" s="181">
        <f>'Données projet'!D248</f>
        <v>0</v>
      </c>
      <c r="C275" s="193">
        <f>60*'Données projet'!E248+13.8*('Données projet'!F248+'Données projet'!G248)+10*'Données projet'!H248</f>
        <v>0</v>
      </c>
      <c r="D275" s="179">
        <f t="shared" si="14"/>
        <v>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0</v>
      </c>
      <c r="B276" s="181">
        <f>'Données projet'!D249</f>
        <v>0</v>
      </c>
      <c r="C276" s="193">
        <f>60*'Données projet'!E249+13.8*('Données projet'!F249+'Données projet'!G249)+10*'Données projet'!H249</f>
        <v>0</v>
      </c>
      <c r="D276" s="179">
        <f t="shared" si="14"/>
        <v>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0</v>
      </c>
      <c r="B277" s="181">
        <f>'Données projet'!D250</f>
        <v>0</v>
      </c>
      <c r="C277" s="193">
        <f>60*'Données projet'!E250+13.8*('Données projet'!F250+'Données projet'!G250)+10*'Données projet'!H250</f>
        <v>0</v>
      </c>
      <c r="D277" s="179">
        <f t="shared" si="14"/>
        <v>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0</v>
      </c>
      <c r="B278" s="181">
        <f>'Données projet'!D251</f>
        <v>0</v>
      </c>
      <c r="C278" s="193">
        <f>60*'Données projet'!E251+13.8*('Données projet'!F251+'Données projet'!G251)+10*'Données projet'!H251</f>
        <v>0</v>
      </c>
      <c r="D278" s="179">
        <f t="shared" si="14"/>
        <v>0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>
        <f>60*'Données projet'!E252+13.8*('Données projet'!F252+'Données projet'!G252)+10*'Données projet'!H252</f>
        <v>0</v>
      </c>
      <c r="D279" s="179">
        <f t="shared" si="14"/>
        <v>0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>
        <f>60*'Données projet'!E253+13.8*('Données projet'!F253+'Données projet'!G253)+10*'Données projet'!H253</f>
        <v>0</v>
      </c>
      <c r="D280" s="179">
        <f t="shared" si="14"/>
        <v>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>
        <f>60*'Données projet'!E254+13.8*('Données projet'!F254+'Données projet'!G254)+10*'Données projet'!H254</f>
        <v>0</v>
      </c>
      <c r="D281" s="179">
        <f t="shared" si="14"/>
        <v>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>
        <f>60*'Données projet'!E255+13.8*('Données projet'!F255+'Données projet'!G255)+10*'Données projet'!H255</f>
        <v>0</v>
      </c>
      <c r="D282" s="179">
        <f t="shared" si="14"/>
        <v>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>
        <f>60*'Données projet'!E256+13.8*('Données projet'!F256+'Données projet'!G256)+10*'Données projet'!H256</f>
        <v>0</v>
      </c>
      <c r="D283" s="179">
        <f t="shared" si="14"/>
        <v>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>
        <f>60*'Données projet'!E257+13.8*('Données projet'!F257+'Données projet'!G257)+10*'Données projet'!H257</f>
        <v>0</v>
      </c>
      <c r="D284" s="179">
        <f t="shared" si="14"/>
        <v>0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>
        <f>60*'Données projet'!E258+13.8*('Données projet'!F258+'Données projet'!G258)+10*'Données projet'!H258</f>
        <v>0</v>
      </c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>
        <f>60*'Données projet'!E259+13.8*('Données projet'!F259+'Données projet'!G259)+10*'Données projet'!H259</f>
        <v>0</v>
      </c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>
        <f>60*'Données projet'!E260+13.8*('Données projet'!F260+'Données projet'!G260)+10*'Données projet'!H260</f>
        <v>0</v>
      </c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>
        <f>60*'Données projet'!E261+13.8*('Données projet'!F261+'Données projet'!G261)+10*'Données projet'!H261</f>
        <v>0</v>
      </c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>
        <f>60*'Données projet'!E262+13.8*('Données projet'!F262+'Données projet'!G262)+10*'Données projet'!H262</f>
        <v>0</v>
      </c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>
        <f>60*'Données projet'!E263+13.8*('Données projet'!F263+'Données projet'!G263)+10*'Données projet'!H263</f>
        <v>0</v>
      </c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8" t="s">
        <v>132</v>
      </c>
      <c r="C296" s="197" t="s">
        <v>132</v>
      </c>
      <c r="D296" s="196" t="s">
        <v>132</v>
      </c>
      <c r="E296" s="193"/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>
        <f>80*'Données projet'!E270+13.8*('Données projet'!F270+'Données projet'!G270)+10*'Données projet'!H270</f>
        <v>0</v>
      </c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>
        <f>80*'Données projet'!E271+13.8*('Données projet'!F271+'Données projet'!G271)+10*'Données projet'!H271</f>
        <v>0</v>
      </c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>
        <f>80*'Données projet'!E272+13.8*('Données projet'!F272+'Données projet'!G272)+10*'Données projet'!H272</f>
        <v>0</v>
      </c>
      <c r="D304" s="182">
        <f t="shared" si="15"/>
        <v>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>
        <f>80*'Données projet'!E273+13.8*('Données projet'!F273+'Données projet'!G273)+10*'Données projet'!H273</f>
        <v>0</v>
      </c>
      <c r="D305" s="182">
        <f t="shared" si="15"/>
        <v>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>
        <f>80*'Données projet'!E274+13.8*('Données projet'!F274+'Données projet'!G274)+10*'Données projet'!H274</f>
        <v>0</v>
      </c>
      <c r="D306" s="182">
        <f t="shared" si="15"/>
        <v>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>
        <f>80*'Données projet'!E275+13.8*('Données projet'!F275+'Données projet'!G275)+10*'Données projet'!H275</f>
        <v>0</v>
      </c>
      <c r="D307" s="182">
        <f t="shared" si="15"/>
        <v>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>
        <f>80*'Données projet'!E276+13.8*('Données projet'!F276+'Données projet'!G276)+10*'Données projet'!H276</f>
        <v>0</v>
      </c>
      <c r="D308" s="182">
        <f t="shared" si="15"/>
        <v>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>
        <f>80*'Données projet'!E277+13.8*('Données projet'!F277+'Données projet'!G277)+10*'Données projet'!H277</f>
        <v>0</v>
      </c>
      <c r="D309" s="182">
        <f t="shared" si="15"/>
        <v>0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>
        <f>80*'Données projet'!E278+13.8*('Données projet'!F278+'Données projet'!G278)+10*'Données projet'!H278</f>
        <v>0</v>
      </c>
      <c r="D310" s="182">
        <f t="shared" si="15"/>
        <v>0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>
        <f>80*'Données projet'!E279+13.8*('Données projet'!F279+'Données projet'!G279)+10*'Données projet'!H279</f>
        <v>0</v>
      </c>
      <c r="D311" s="182">
        <f t="shared" si="15"/>
        <v>0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>
        <f>80*'Données projet'!E280+13.8*('Données projet'!F280+'Données projet'!G280)+10*'Données projet'!H280</f>
        <v>0</v>
      </c>
      <c r="D312" s="182">
        <f t="shared" si="15"/>
        <v>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>
        <f>80*'Données projet'!E281+13.8*('Données projet'!F281+'Données projet'!G281)+10*'Données projet'!H281</f>
        <v>0</v>
      </c>
      <c r="D313" s="182">
        <f t="shared" si="15"/>
        <v>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>
        <f>80*'Données projet'!E282+13.8*('Données projet'!F282+'Données projet'!G282)+10*'Données projet'!H282</f>
        <v>0</v>
      </c>
      <c r="D314" s="182">
        <f t="shared" si="15"/>
        <v>0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>
        <f>80*'Données projet'!E283+13.8*('Données projet'!F283+'Données projet'!G283)+10*'Données projet'!H283</f>
        <v>0</v>
      </c>
      <c r="D315" s="182">
        <f t="shared" si="15"/>
        <v>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>
        <f>80*'Données projet'!E284+13.8*('Données projet'!F284+'Données projet'!G284)+10*'Données projet'!H284</f>
        <v>0</v>
      </c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>
        <f>80*'Données projet'!E285+13.8*('Données projet'!F285+'Données projet'!G285)+10*'Données projet'!H285</f>
        <v>0</v>
      </c>
      <c r="D317" s="182">
        <f>B317*C317</f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>
        <f>80*'Données projet'!E286+13.8*('Données projet'!F286+'Données projet'!G286)+10*'Données projet'!H286</f>
        <v>0</v>
      </c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>
        <f>80*'Données projet'!E287+13.8*('Données projet'!F287+'Données projet'!G287)+10*'Données projet'!H287</f>
        <v>0</v>
      </c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>
        <f>80*'Données projet'!E288+13.8*('Données projet'!F288+'Données projet'!G288)+10*'Données projet'!H288</f>
        <v>0</v>
      </c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1">
        <f>80*'Données projet'!E289+13.8*('Données projet'!F289+'Données projet'!G289)+10*'Données projet'!H289</f>
        <v>0</v>
      </c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2023-12-20T18:05:56Z</dcterms:modified>
</cp:coreProperties>
</file>