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Cazaux Villecomtal (32)-Indivision PARAVIS-LAROSE - SWC-AXA\Dossier déposé le 31 10 2023\"/>
    </mc:Choice>
  </mc:AlternateContent>
  <xr:revisionPtr revIDLastSave="0" documentId="13_ncr:1_{5A51EF9B-3C5E-49F2-9B8A-DFD29520E913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<sst xmlns="http://schemas.openxmlformats.org/spreadsheetml/2006/main" count="1168" uniqueCount="324">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</sst>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1.8710358722555009</c:v>
                </c:pt>
                <c:pt idx="2">
                  <c:v>2.6229045685770287</c:v>
                </c:pt>
                <c:pt idx="3">
                  <c:v>3.6782312942303146</c:v>
                </c:pt>
                <c:pt idx="4">
                  <c:v>5.1599958203490175</c:v>
                </c:pt>
                <c:pt idx="5">
                  <c:v>7.2412070094514016</c:v>
                </c:pt>
                <c:pt idx="6">
                  <c:v>10.165326681929651</c:v>
                </c:pt>
                <c:pt idx="7">
                  <c:v>14.275058217888187</c:v>
                </c:pt>
                <c:pt idx="8">
                  <c:v>20.052935792158241</c:v>
                </c:pt>
                <c:pt idx="9">
                  <c:v>28.178565221535692</c:v>
                </c:pt>
                <c:pt idx="10">
                  <c:v>39.609366683474768</c:v>
                </c:pt>
                <c:pt idx="11">
                  <c:v>55.694494741282881</c:v>
                </c:pt>
                <c:pt idx="12">
                  <c:v>78.335604065821698</c:v>
                </c:pt>
                <c:pt idx="13">
                  <c:v>110.21377364777811</c:v>
                </c:pt>
                <c:pt idx="14">
                  <c:v>155.10988250266612</c:v>
                </c:pt>
                <c:pt idx="15">
                  <c:v>218.35701432361427</c:v>
                </c:pt>
                <c:pt idx="16">
                  <c:v>307.47942787055877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C33" sqref="C33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9" zoomScale="90" zoomScaleNormal="90" workbookViewId="0">
      <selection activeCell="G44" sqref="G4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127</v>
      </c>
      <c r="C9" s="35">
        <v>1</v>
      </c>
      <c r="D9" s="36">
        <f t="shared" ref="D9:D18" si="0">C9*$C$5</f>
        <v>2.7</v>
      </c>
      <c r="E9" s="37">
        <v>16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I-45/51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16</v>
      </c>
      <c r="B36" s="63">
        <v>274</v>
      </c>
      <c r="C36" s="63">
        <v>1</v>
      </c>
      <c r="D36" s="63">
        <v>274</v>
      </c>
      <c r="E36" s="54">
        <v>0.8</v>
      </c>
      <c r="F36" s="54"/>
      <c r="G36" s="54">
        <v>0.2</v>
      </c>
      <c r="H36" s="54"/>
      <c r="I36" s="52">
        <f>IFERROR(B36/A36,"")</f>
        <v>17.125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2" sqref="G1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I-45/51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72.015708619752559</v>
      </c>
      <c r="T3" s="62">
        <f>IF('Données projet'!E9&gt;30,$R$33-$H$33,LOOKUP('Données projet'!$E$9,$A$3:$A$203,R3:R203)-LOOKUP('Données projet'!$E$9,$A$3:$A$203,$H$3:$H$203))</f>
        <v>327.03498342611425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17.125</v>
      </c>
      <c r="N4" s="14">
        <f>IF('Données projet'!$A$36&gt;35,N3+M4-V3,IF(A4&lt;'Données projet'!$A$36,$K$205^A4,IF(A4='Données projet'!$A$36,'Données projet'!$B$36,N3+M4-V3)))</f>
        <v>1.4202323807635395</v>
      </c>
      <c r="O4" s="14">
        <f>N4*VLOOKUP('Données projet'!$B$9,Paramètres!$A$1:$I$89,3,0)*VLOOKUP('Données projet'!$B$9,Paramètres!$A$1:$I$89,5,0)</f>
        <v>0.72670450458908797</v>
      </c>
      <c r="P4" s="14">
        <f>EXP(-1.0587+0.8836*LN(O4)+0.284)</f>
        <v>0.34757446512698931</v>
      </c>
      <c r="Q4" s="22">
        <f t="shared" ref="Q4:Q34" si="2">(O4+P4)*0.475*44/12</f>
        <v>1.8710358722555009</v>
      </c>
      <c r="R4" s="62">
        <f t="shared" si="0"/>
        <v>259.75992476114436</v>
      </c>
      <c r="S4" s="62">
        <f ca="1">AVERAGE(OFFSET($R$3,0,0,'Données projet'!$E$9+1,1))-AVERAGE(OFFSET($H$3,0,0,'Données projet'!$E$9+1,1))</f>
        <v>72.015708619752559</v>
      </c>
      <c r="T4" s="62">
        <f>$T$3</f>
        <v>327.03498342611425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17.125</v>
      </c>
      <c r="N5" s="14">
        <f>IF('Données projet'!$A$36&gt;35,N4+M5-V4,IF(A5&lt;'Données projet'!$A$36,$K$205^A5,IF(A5='Données projet'!$A$36,'Données projet'!$B$36,N4+M5-V4)))</f>
        <v>2.0170600153692715</v>
      </c>
      <c r="O5" s="14">
        <f>N5*VLOOKUP('Données projet'!$B$9,Paramètres!$A$1:$I$89,3,0)*VLOOKUP('Données projet'!$B$9,Paramètres!$A$1:$I$89,5,0)</f>
        <v>1.032089268664149</v>
      </c>
      <c r="P5" s="14">
        <f t="shared" ref="P5:P68" si="33">EXP(-1.0587+0.8836*LN(O5)+0.284)</f>
        <v>0.47388464630830757</v>
      </c>
      <c r="Q5" s="22">
        <f t="shared" si="2"/>
        <v>2.6229045685770287</v>
      </c>
      <c r="R5" s="62">
        <f t="shared" si="0"/>
        <v>261.73401567968818</v>
      </c>
      <c r="S5" s="62">
        <f ca="1">AVERAGE(OFFSET($R$3,0,0,'Données projet'!$E$9+1,1))-AVERAGE(OFFSET($H$3,0,0,'Données projet'!$E$9+1,1))</f>
        <v>72.015708619752559</v>
      </c>
      <c r="T5" s="62">
        <f t="shared" ref="T5:T68" si="34">$T$3</f>
        <v>327.03498342611425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17.125</v>
      </c>
      <c r="N6" s="14">
        <f>IF('Données projet'!$A$36&gt;35,N5+M6-V5,IF(A6&lt;'Données projet'!$A$36,$K$205^A6,IF(A6='Données projet'!$A$36,'Données projet'!$B$36,N5+M6-V5)))</f>
        <v>2.8646939477708422</v>
      </c>
      <c r="O6" s="14">
        <f>N6*VLOOKUP('Données projet'!$B$9,Paramètres!$A$1:$I$89,3,0)*VLOOKUP('Données projet'!$B$9,Paramètres!$A$1:$I$89,5,0)</f>
        <v>1.4658065991953846</v>
      </c>
      <c r="P6" s="14">
        <f t="shared" si="33"/>
        <v>0.64609653624785812</v>
      </c>
      <c r="Q6" s="22">
        <f t="shared" si="2"/>
        <v>3.6782312942303146</v>
      </c>
      <c r="R6" s="62">
        <f t="shared" si="0"/>
        <v>264.01156462756364</v>
      </c>
      <c r="S6" s="62">
        <f ca="1">AVERAGE(OFFSET($R$3,0,0,'Données projet'!$E$9+1,1))-AVERAGE(OFFSET($H$3,0,0,'Données projet'!$E$9+1,1))</f>
        <v>72.015708619752559</v>
      </c>
      <c r="T6" s="62">
        <f t="shared" si="34"/>
        <v>327.03498342611425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17.125</v>
      </c>
      <c r="N7" s="14">
        <f>IF('Données projet'!$A$36&gt;35,N6+M7-V6,IF(A7&lt;'Données projet'!$A$36,$K$205^A7,IF(A7='Données projet'!$A$36,'Données projet'!$B$36,N6+M7-V6)))</f>
        <v>4.0685311056014859</v>
      </c>
      <c r="O7" s="14">
        <f>N7*VLOOKUP('Données projet'!$B$9,Paramètres!$A$1:$I$89,3,0)*VLOOKUP('Données projet'!$B$9,Paramètres!$A$1:$I$89,5,0)</f>
        <v>2.0817859961141685</v>
      </c>
      <c r="P7" s="14">
        <f t="shared" si="33"/>
        <v>0.88089102992354495</v>
      </c>
      <c r="Q7" s="22">
        <f t="shared" si="2"/>
        <v>5.1599958203490175</v>
      </c>
      <c r="R7" s="62">
        <f t="shared" si="0"/>
        <v>266.71555137590457</v>
      </c>
      <c r="S7" s="62">
        <f ca="1">AVERAGE(OFFSET($R$3,0,0,'Données projet'!$E$9+1,1))-AVERAGE(OFFSET($H$3,0,0,'Données projet'!$E$9+1,1))</f>
        <v>72.015708619752559</v>
      </c>
      <c r="T7" s="62">
        <f t="shared" si="34"/>
        <v>327.03498342611425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17.125</v>
      </c>
      <c r="N8" s="14">
        <f>IF('Données projet'!$A$36&gt;35,N7+M8-V7,IF(A8&lt;'Données projet'!$A$36,$K$205^A8,IF(A8='Données projet'!$A$36,'Données projet'!$B$36,N7+M8-V7)))</f>
        <v>5.7782596183189137</v>
      </c>
      <c r="O8" s="14">
        <f>N8*VLOOKUP('Données projet'!$B$9,Paramètres!$A$1:$I$89,3,0)*VLOOKUP('Données projet'!$B$9,Paramètres!$A$1:$I$89,5,0)</f>
        <v>2.956619881501422</v>
      </c>
      <c r="P8" s="14">
        <f t="shared" si="33"/>
        <v>1.2010109373223499</v>
      </c>
      <c r="Q8" s="22">
        <f t="shared" si="2"/>
        <v>7.2412070094514016</v>
      </c>
      <c r="R8" s="62">
        <f t="shared" si="0"/>
        <v>270.01898478722916</v>
      </c>
      <c r="S8" s="62">
        <f ca="1">AVERAGE(OFFSET($R$3,0,0,'Données projet'!$E$9+1,1))-AVERAGE(OFFSET($H$3,0,0,'Données projet'!$E$9+1,1))</f>
        <v>72.015708619752559</v>
      </c>
      <c r="T8" s="62">
        <f t="shared" si="34"/>
        <v>327.03498342611425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17.125</v>
      </c>
      <c r="N9" s="14">
        <f>IF('Données projet'!$A$36&gt;35,N8+M9-V8,IF(A9&lt;'Données projet'!$A$36,$K$205^A9,IF(A9='Données projet'!$A$36,'Données projet'!$B$36,N8+M9-V8)))</f>
        <v>8.2064714143948922</v>
      </c>
      <c r="O9" s="14">
        <f>N9*VLOOKUP('Données projet'!$B$9,Paramètres!$A$1:$I$89,3,0)*VLOOKUP('Données projet'!$B$9,Paramètres!$A$1:$I$89,5,0)</f>
        <v>4.1990872933175787</v>
      </c>
      <c r="P9" s="14">
        <f t="shared" si="33"/>
        <v>1.6374639116181058</v>
      </c>
      <c r="Q9" s="22">
        <f t="shared" si="2"/>
        <v>10.165326681929651</v>
      </c>
      <c r="R9" s="62">
        <f t="shared" si="0"/>
        <v>274.16532668192963</v>
      </c>
      <c r="S9" s="62">
        <f ca="1">AVERAGE(OFFSET($R$3,0,0,'Données projet'!$E$9+1,1))-AVERAGE(OFFSET($H$3,0,0,'Données projet'!$E$9+1,1))</f>
        <v>72.015708619752559</v>
      </c>
      <c r="T9" s="62">
        <f t="shared" si="34"/>
        <v>327.03498342611425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17.125</v>
      </c>
      <c r="N10" s="14">
        <f>IF('Données projet'!$A$36&gt;35,N9+M10-V9,IF(A10&lt;'Données projet'!$A$36,$K$205^A10,IF(A10='Données projet'!$A$36,'Données projet'!$B$36,N9+M10-V9)))</f>
        <v>11.65509643453399</v>
      </c>
      <c r="O10" s="14">
        <f>N10*VLOOKUP('Données projet'!$B$9,Paramètres!$A$1:$I$89,3,0)*VLOOKUP('Données projet'!$B$9,Paramètres!$A$1:$I$89,5,0)</f>
        <v>5.9636797436223521</v>
      </c>
      <c r="P10" s="14">
        <f t="shared" si="33"/>
        <v>2.232525931720148</v>
      </c>
      <c r="Q10" s="22">
        <f t="shared" si="2"/>
        <v>14.275058217888187</v>
      </c>
      <c r="R10" s="62">
        <f t="shared" si="0"/>
        <v>279.49728044011044</v>
      </c>
      <c r="S10" s="62">
        <f ca="1">AVERAGE(OFFSET($R$3,0,0,'Données projet'!$E$9+1,1))-AVERAGE(OFFSET($H$3,0,0,'Données projet'!$E$9+1,1))</f>
        <v>72.015708619752559</v>
      </c>
      <c r="T10" s="62">
        <f t="shared" si="34"/>
        <v>327.03498342611425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17.125</v>
      </c>
      <c r="N11" s="14">
        <f>IF('Données projet'!$A$36&gt;35,N10+M11-V10,IF(A11&lt;'Données projet'!$A$36,$K$205^A11,IF(A11='Données projet'!$A$36,'Données projet'!$B$36,N10+M11-V10)))</f>
        <v>16.552945357246848</v>
      </c>
      <c r="O11" s="14">
        <f>N11*VLOOKUP('Données projet'!$B$9,Paramètres!$A$1:$I$89,3,0)*VLOOKUP('Données projet'!$B$9,Paramètres!$A$1:$I$89,5,0)</f>
        <v>8.4698110803960667</v>
      </c>
      <c r="P11" s="14">
        <f t="shared" si="33"/>
        <v>3.0438362643837844</v>
      </c>
      <c r="Q11" s="22">
        <f t="shared" si="2"/>
        <v>20.052935792158241</v>
      </c>
      <c r="R11" s="62">
        <f t="shared" si="0"/>
        <v>286.49738023660268</v>
      </c>
      <c r="S11" s="62">
        <f ca="1">AVERAGE(OFFSET($R$3,0,0,'Données projet'!$E$9+1,1))-AVERAGE(OFFSET($H$3,0,0,'Données projet'!$E$9+1,1))</f>
        <v>72.015708619752559</v>
      </c>
      <c r="T11" s="62">
        <f t="shared" si="34"/>
        <v>327.03498342611425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17.125</v>
      </c>
      <c r="N12" s="14">
        <f>IF('Données projet'!$A$36&gt;35,N11+M12-V11,IF(A12&lt;'Données projet'!$A$36,$K$205^A12,IF(A12='Données projet'!$A$36,'Données projet'!$B$36,N11+M12-V11)))</f>
        <v>23.509028993371469</v>
      </c>
      <c r="O12" s="14">
        <f>N12*VLOOKUP('Données projet'!$B$9,Paramètres!$A$1:$I$89,3,0)*VLOOKUP('Données projet'!$B$9,Paramètres!$A$1:$I$89,5,0)</f>
        <v>12.029099955328315</v>
      </c>
      <c r="P12" s="14">
        <f t="shared" si="33"/>
        <v>4.1499805546443316</v>
      </c>
      <c r="Q12" s="22">
        <f t="shared" si="2"/>
        <v>28.178565221535692</v>
      </c>
      <c r="R12" s="62">
        <f t="shared" si="0"/>
        <v>295.84523188820236</v>
      </c>
      <c r="S12" s="62">
        <f ca="1">AVERAGE(OFFSET($R$3,0,0,'Données projet'!$E$9+1,1))-AVERAGE(OFFSET($H$3,0,0,'Données projet'!$E$9+1,1))</f>
        <v>72.015708619752559</v>
      </c>
      <c r="T12" s="62">
        <f t="shared" si="34"/>
        <v>327.03498342611425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17.125</v>
      </c>
      <c r="N13" s="14">
        <f>IF('Données projet'!$A$36&gt;35,N12+M13-V12,IF(A13&lt;'Données projet'!$A$36,$K$205^A13,IF(A13='Données projet'!$A$36,'Données projet'!$B$36,N12+M13-V12)))</f>
        <v>33.388284216695041</v>
      </c>
      <c r="O13" s="14">
        <f>N13*VLOOKUP('Données projet'!$B$9,Paramètres!$A$1:$I$89,3,0)*VLOOKUP('Données projet'!$B$9,Paramètres!$A$1:$I$89,5,0)</f>
        <v>17.084117267998518</v>
      </c>
      <c r="P13" s="14">
        <f t="shared" si="33"/>
        <v>5.6581028373458464</v>
      </c>
      <c r="Q13" s="22">
        <f t="shared" si="2"/>
        <v>39.609366683474768</v>
      </c>
      <c r="R13" s="62">
        <f t="shared" si="0"/>
        <v>308.49825557236363</v>
      </c>
      <c r="S13" s="62">
        <f ca="1">AVERAGE(OFFSET($R$3,0,0,'Données projet'!$E$9+1,1))-AVERAGE(OFFSET($H$3,0,0,'Données projet'!$E$9+1,1))</f>
        <v>72.015708619752559</v>
      </c>
      <c r="T13" s="62">
        <f t="shared" si="34"/>
        <v>327.03498342611425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17.125</v>
      </c>
      <c r="N14" s="14">
        <f>IF('Données projet'!$A$36&gt;35,N13+M14-V13,IF(A14&lt;'Données projet'!$A$36,$K$205^A14,IF(A14='Données projet'!$A$36,'Données projet'!$B$36,N13+M14-V13)))</f>
        <v>47.41912238268651</v>
      </c>
      <c r="O14" s="14">
        <f>N14*VLOOKUP('Données projet'!$B$9,Paramètres!$A$1:$I$89,3,0)*VLOOKUP('Données projet'!$B$9,Paramètres!$A$1:$I$89,5,0)</f>
        <v>24.263416540773036</v>
      </c>
      <c r="P14" s="14">
        <f t="shared" si="33"/>
        <v>7.7142837891501497</v>
      </c>
      <c r="Q14" s="22">
        <f t="shared" si="2"/>
        <v>55.694494741282881</v>
      </c>
      <c r="R14" s="62">
        <f t="shared" si="0"/>
        <v>325.80560585239402</v>
      </c>
      <c r="S14" s="62">
        <f ca="1">AVERAGE(OFFSET($R$3,0,0,'Données projet'!$E$9+1,1))-AVERAGE(OFFSET($H$3,0,0,'Données projet'!$E$9+1,1))</f>
        <v>72.015708619752559</v>
      </c>
      <c r="T14" s="62">
        <f t="shared" si="34"/>
        <v>327.03498342611425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17.125</v>
      </c>
      <c r="N15" s="14">
        <f>IF('Données projet'!$A$36&gt;35,N14+M15-V14,IF(A15&lt;'Données projet'!$A$36,$K$205^A15,IF(A15='Données projet'!$A$36,'Données projet'!$B$36,N14+M15-V14)))</f>
        <v>67.346173075280504</v>
      </c>
      <c r="O15" s="14">
        <f>N15*VLOOKUP('Données projet'!$B$9,Paramètres!$A$1:$I$89,3,0)*VLOOKUP('Données projet'!$B$9,Paramètres!$A$1:$I$89,5,0)</f>
        <v>34.45968983915953</v>
      </c>
      <c r="P15" s="14">
        <f t="shared" si="33"/>
        <v>10.517690485714176</v>
      </c>
      <c r="Q15" s="22">
        <f t="shared" si="2"/>
        <v>78.335604065821698</v>
      </c>
      <c r="R15" s="62">
        <f t="shared" si="0"/>
        <v>349.66893739915503</v>
      </c>
      <c r="S15" s="62">
        <f ca="1">AVERAGE(OFFSET($R$3,0,0,'Données projet'!$E$9+1,1))-AVERAGE(OFFSET($H$3,0,0,'Données projet'!$E$9+1,1))</f>
        <v>72.015708619752559</v>
      </c>
      <c r="T15" s="62">
        <f t="shared" si="34"/>
        <v>327.03498342611425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17.125</v>
      </c>
      <c r="N16" s="14">
        <f>IF('Données projet'!$A$36&gt;35,N15+M16-V15,IF(A16&lt;'Données projet'!$A$36,$K$205^A16,IF(A16='Données projet'!$A$36,'Données projet'!$B$36,N15+M16-V15)))</f>
        <v>95.647215722019013</v>
      </c>
      <c r="O16" s="14">
        <f>N16*VLOOKUP('Données projet'!$B$9,Paramètres!$A$1:$I$89,3,0)*VLOOKUP('Données projet'!$B$9,Paramètres!$A$1:$I$89,5,0)</f>
        <v>48.940767340642694</v>
      </c>
      <c r="P16" s="14">
        <f t="shared" si="33"/>
        <v>14.33986824659833</v>
      </c>
      <c r="Q16" s="22">
        <f t="shared" si="2"/>
        <v>110.21377364777811</v>
      </c>
      <c r="R16" s="62">
        <f t="shared" si="0"/>
        <v>382.76932920333365</v>
      </c>
      <c r="S16" s="62">
        <f ca="1">AVERAGE(OFFSET($R$3,0,0,'Données projet'!$E$9+1,1))-AVERAGE(OFFSET($H$3,0,0,'Données projet'!$E$9+1,1))</f>
        <v>72.015708619752559</v>
      </c>
      <c r="T16" s="62">
        <f t="shared" si="34"/>
        <v>327.03498342611425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17.125</v>
      </c>
      <c r="N17" s="14">
        <f>IF('Données projet'!$A$36&gt;35,N16+M17-V16,IF(A17&lt;'Données projet'!$A$36,$K$205^A17,IF(A17='Données projet'!$A$36,'Données projet'!$B$36,N16+M17-V16)))</f>
        <v>135.84127289828692</v>
      </c>
      <c r="O17" s="14">
        <f>N17*VLOOKUP('Données projet'!$B$9,Paramètres!$A$1:$I$89,3,0)*VLOOKUP('Données projet'!$B$9,Paramètres!$A$1:$I$89,5,0)</f>
        <v>69.507262516595461</v>
      </c>
      <c r="P17" s="14">
        <f t="shared" si="33"/>
        <v>19.551043226562133</v>
      </c>
      <c r="Q17" s="22">
        <f t="shared" si="2"/>
        <v>155.10988250266612</v>
      </c>
      <c r="R17" s="62">
        <f t="shared" si="0"/>
        <v>428.88766028044392</v>
      </c>
      <c r="S17" s="62">
        <f ca="1">AVERAGE(OFFSET($R$3,0,0,'Données projet'!$E$9+1,1))-AVERAGE(OFFSET($H$3,0,0,'Données projet'!$E$9+1,1))</f>
        <v>72.015708619752559</v>
      </c>
      <c r="T17" s="62">
        <f t="shared" si="34"/>
        <v>327.03498342611425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17.125</v>
      </c>
      <c r="N18" s="14">
        <f>IF('Données projet'!$A$36&gt;35,N17+M18-V17,IF(A18&lt;'Données projet'!$A$36,$K$205^A18,IF(A18='Données projet'!$A$36,'Données projet'!$B$36,N17+M18-V17)))</f>
        <v>192.92617441428371</v>
      </c>
      <c r="O18" s="14">
        <f>N18*VLOOKUP('Données projet'!$B$9,Paramètres!$A$1:$I$89,3,0)*VLOOKUP('Données projet'!$B$9,Paramètres!$A$1:$I$89,5,0)</f>
        <v>98.716464924300695</v>
      </c>
      <c r="P18" s="14">
        <f t="shared" si="33"/>
        <v>26.655983491171611</v>
      </c>
      <c r="Q18" s="22">
        <f t="shared" si="2"/>
        <v>218.35701432361427</v>
      </c>
      <c r="R18" s="62">
        <f t="shared" si="0"/>
        <v>493.35701432361429</v>
      </c>
      <c r="S18" s="62">
        <f ca="1">AVERAGE(OFFSET($R$3,0,0,'Données projet'!$E$9+1,1))-AVERAGE(OFFSET($H$3,0,0,'Données projet'!$E$9+1,1))</f>
        <v>72.015708619752559</v>
      </c>
      <c r="T18" s="62">
        <f t="shared" si="34"/>
        <v>327.03498342611425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274</v>
      </c>
      <c r="L19" s="13">
        <f>VLOOKUP(A19,'Données projet'!$A$35:$I$55,9,0)</f>
        <v>17.125</v>
      </c>
      <c r="M19" s="13">
        <f t="array" ref="M19">INDEX(L:L,MIN(IF(ISNUMBER(L19:L215),ROW(L19:L215),"")))</f>
        <v>17.125</v>
      </c>
      <c r="N19" s="14">
        <f>IF('Données projet'!$A$36&gt;35,N18+M19-V18,IF(A19&lt;'Données projet'!$A$36,$K$205^A19,IF(A19='Données projet'!$A$36,'Données projet'!$B$36,N18+M19-V18)))</f>
        <v>274</v>
      </c>
      <c r="O19" s="14">
        <f>N19*VLOOKUP('Données projet'!$B$9,Paramètres!$A$1:$I$89,3,0)*VLOOKUP('Données projet'!$B$9,Paramètres!$A$1:$I$89,5,0)</f>
        <v>140.20032</v>
      </c>
      <c r="P19" s="14">
        <f t="shared" si="33"/>
        <v>36.342892174483488</v>
      </c>
      <c r="Q19" s="22">
        <f t="shared" si="2"/>
        <v>307.47942787055877</v>
      </c>
      <c r="R19" s="62">
        <f t="shared" si="0"/>
        <v>583.70165009278094</v>
      </c>
      <c r="S19" s="62">
        <f ca="1">AVERAGE(OFFSET($R$3,0,0,'Données projet'!$E$9+1,1))-AVERAGE(OFFSET($H$3,0,0,'Données projet'!$E$9+1,1))</f>
        <v>72.015708619752559</v>
      </c>
      <c r="T19" s="62">
        <f t="shared" si="34"/>
        <v>327.03498342611425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274</v>
      </c>
      <c r="W19" s="17">
        <f>IF(ISNA(VLOOKUP(A19,'Données projet'!$A$35:$I$55,5,0)),0%,VLOOKUP(A19,'Données projet'!$A$35:$I$55,5,0)*VLOOKUP('Données projet'!$B$9,Paramètres!$A$1:$I$89,7,0))</f>
        <v>0.48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0.2</v>
      </c>
      <c r="Z19" s="23">
        <f>EXP(-LN(2)/35)*Z18+(1-EXP(-LN(2)/35))/(LN(2)/35)*V19*W19*VLOOKUP('Données projet'!$B$9,Paramètres!$A$1:$I$89,3,0)*0.475*44/12</f>
        <v>74.393904461299712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26.456555071257622</v>
      </c>
      <c r="AC19" s="24">
        <f t="shared" si="3"/>
        <v>100.85045953255734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72.015708619752559</v>
      </c>
      <c r="T20" s="62">
        <f t="shared" si="34"/>
        <v>327.03498342611425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72.935085370614857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18.707609497721609</v>
      </c>
      <c r="AC20" s="24">
        <f t="shared" si="3"/>
        <v>91.642694868336463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72.015708619752559</v>
      </c>
      <c r="T21" s="62">
        <f t="shared" si="34"/>
        <v>327.03498342611425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71.50487283250655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13.228277535628813</v>
      </c>
      <c r="AC21" s="24">
        <f t="shared" si="3"/>
        <v>84.733150368135369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72.015708619752559</v>
      </c>
      <c r="T22" s="62">
        <f t="shared" si="34"/>
        <v>327.03498342611425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70.102705889927037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9.3538047488608065</v>
      </c>
      <c r="AC22" s="24">
        <f t="shared" si="3"/>
        <v>79.456510638787847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72.015708619752559</v>
      </c>
      <c r="T23" s="62">
        <f t="shared" si="34"/>
        <v>327.03498342611425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68.728034585854118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6.6141387678144081</v>
      </c>
      <c r="AC23" s="24">
        <f t="shared" si="3"/>
        <v>75.342173353668528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72.015708619752559</v>
      </c>
      <c r="T24" s="62">
        <f t="shared" si="34"/>
        <v>327.03498342611425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67.380319747587365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4.6769023744304041</v>
      </c>
      <c r="AC24" s="24">
        <f t="shared" si="3"/>
        <v>72.057222122017762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72.015708619752559</v>
      </c>
      <c r="T25" s="62">
        <f t="shared" si="34"/>
        <v>327.03498342611425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66.059032775274133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3.3070693839072045</v>
      </c>
      <c r="AC25" s="24">
        <f t="shared" si="3"/>
        <v>69.366102159181338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72.015708619752559</v>
      </c>
      <c r="T26" s="62">
        <f t="shared" si="34"/>
        <v>327.03498342611425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64.763655434582489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2.3384511872152025</v>
      </c>
      <c r="AC26" s="24">
        <f t="shared" si="3"/>
        <v>67.102106621797688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72.015708619752559</v>
      </c>
      <c r="T27" s="62">
        <f t="shared" si="34"/>
        <v>327.03498342611425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63.493679653439649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1.6535346919536027</v>
      </c>
      <c r="AC27" s="24">
        <f t="shared" si="3"/>
        <v>65.147214345393252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72.015708619752559</v>
      </c>
      <c r="T28" s="62">
        <f t="shared" si="34"/>
        <v>327.03498342611425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62.248607322756278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1.1692255936076015</v>
      </c>
      <c r="AC28" s="24">
        <f t="shared" si="3"/>
        <v>63.417832916363878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72.015708619752559</v>
      </c>
      <c r="T29" s="62">
        <f t="shared" si="34"/>
        <v>327.03498342611425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61.027950101058472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0.82676734597680146</v>
      </c>
      <c r="AC29" s="24">
        <f t="shared" si="3"/>
        <v>61.854717447035277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72.015708619752559</v>
      </c>
      <c r="T30" s="62">
        <f t="shared" si="34"/>
        <v>327.03498342611425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59.831229222950775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0.58461279680380085</v>
      </c>
      <c r="AC30" s="24">
        <f t="shared" si="3"/>
        <v>60.415842019754578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72.015708619752559</v>
      </c>
      <c r="T31" s="62">
        <f t="shared" si="34"/>
        <v>327.03498342611425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58.657975311335107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0.41338367298840079</v>
      </c>
      <c r="AC31" s="24">
        <f t="shared" si="3"/>
        <v>59.07135898432351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72.015708619752559</v>
      </c>
      <c r="T32" s="62">
        <f t="shared" si="34"/>
        <v>327.03498342611425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57.507728193311998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0.29230639840190042</v>
      </c>
      <c r="AC32" s="24">
        <f t="shared" si="3"/>
        <v>57.800034591713896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72.015708619752559</v>
      </c>
      <c r="T33" s="62">
        <f t="shared" si="34"/>
        <v>327.03498342611425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56.380036719691859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0.20669183649420039</v>
      </c>
      <c r="AC33" s="24">
        <f t="shared" si="3"/>
        <v>56.58672855618606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72.015708619752559</v>
      </c>
      <c r="T34" s="62">
        <f t="shared" si="34"/>
        <v>327.03498342611425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55.274458588045526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0.14615319920095021</v>
      </c>
      <c r="AC34" s="24">
        <f t="shared" si="3"/>
        <v>55.420611787246479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72.015708619752559</v>
      </c>
      <c r="T35" s="62">
        <f t="shared" si="34"/>
        <v>327.03498342611425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54.190560169224703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0.1033459182471002</v>
      </c>
      <c r="AC35" s="24">
        <f t="shared" si="3"/>
        <v>54.293906087471804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72.015708619752559</v>
      </c>
      <c r="T36" s="62">
        <f t="shared" si="34"/>
        <v>327.03498342611425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53.127916337284198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7.3076599600475106E-2</v>
      </c>
      <c r="AC36" s="24">
        <f t="shared" si="3"/>
        <v>53.200992936884674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72.015708619752559</v>
      </c>
      <c r="T37" s="62">
        <f t="shared" si="34"/>
        <v>327.03498342611425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52.086110302739307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5.1672959123550098E-2</v>
      </c>
      <c r="AC37" s="24">
        <f t="shared" si="3"/>
        <v>52.137783261862857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72.015708619752559</v>
      </c>
      <c r="T38" s="62">
        <f t="shared" si="34"/>
        <v>327.03498342611425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51.064733449092905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3.6538299800237553E-2</v>
      </c>
      <c r="AC38" s="24">
        <f t="shared" si="3"/>
        <v>51.10127174889314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72.015708619752559</v>
      </c>
      <c r="T39" s="62">
        <f t="shared" si="34"/>
        <v>327.03498342611425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50.063385172568147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2.5836479561775049E-2</v>
      </c>
      <c r="AC39" s="24">
        <f t="shared" si="3"/>
        <v>50.089221652129922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72.015708619752559</v>
      </c>
      <c r="T40" s="62">
        <f t="shared" si="34"/>
        <v>327.03498342611425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49.081672724983896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1.8269149900118777E-2</v>
      </c>
      <c r="AC40" s="24">
        <f t="shared" si="3"/>
        <v>49.099941874884017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72.015708619752559</v>
      </c>
      <c r="T41" s="62">
        <f t="shared" si="34"/>
        <v>327.03498342611425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48.119211059711304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1.2918239780887525E-2</v>
      </c>
      <c r="AC41" s="24">
        <f t="shared" si="3"/>
        <v>48.132129299492192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72.015708619752559</v>
      </c>
      <c r="T42" s="62">
        <f t="shared" si="34"/>
        <v>327.03498342611425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47.17562268065106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9.1345749500593883E-3</v>
      </c>
      <c r="AC42" s="24">
        <f t="shared" si="3"/>
        <v>47.18475725560112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72.015708619752559</v>
      </c>
      <c r="T43" s="62">
        <f t="shared" si="34"/>
        <v>327.03498342611425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46.2505374941721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6.4591198904437623E-3</v>
      </c>
      <c r="AC43" s="24">
        <f t="shared" si="3"/>
        <v>46.256996614062544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72.015708619752559</v>
      </c>
      <c r="T44" s="62">
        <f t="shared" si="34"/>
        <v>327.03498342611425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45.34359266395375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4.5672874750296941E-3</v>
      </c>
      <c r="AC44" s="24">
        <f t="shared" si="3"/>
        <v>45.348159951428777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72.015708619752559</v>
      </c>
      <c r="T45" s="62">
        <f t="shared" si="34"/>
        <v>327.03498342611425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44.454432468674256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3.2295599452218811E-3</v>
      </c>
      <c r="AC45" s="24">
        <f t="shared" si="3"/>
        <v>44.457662028619474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72.015708619752559</v>
      </c>
      <c r="T46" s="62">
        <f t="shared" si="34"/>
        <v>327.03498342611425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43.582708162490022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2.2836437375148471E-3</v>
      </c>
      <c r="AC46" s="24">
        <f t="shared" si="3"/>
        <v>43.584991806227535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72.015708619752559</v>
      </c>
      <c r="T47" s="62">
        <f t="shared" si="34"/>
        <v>327.03498342611425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42.728077838250734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1.6147799726109406E-3</v>
      </c>
      <c r="AC47" s="24">
        <f t="shared" si="3"/>
        <v>42.729692618223346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72.015708619752559</v>
      </c>
      <c r="T48" s="62">
        <f t="shared" si="34"/>
        <v>327.03498342611425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41.890206293396751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1.1418218687574235E-3</v>
      </c>
      <c r="AC48" s="24">
        <f t="shared" si="3"/>
        <v>41.891348115265508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72.015708619752559</v>
      </c>
      <c r="T49" s="62">
        <f t="shared" si="34"/>
        <v>327.03498342611425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41.06876489848618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8.0738998630547028E-4</v>
      </c>
      <c r="AC49" s="24">
        <f t="shared" si="3"/>
        <v>41.069572288472486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72.015708619752559</v>
      </c>
      <c r="T50" s="62">
        <f t="shared" si="34"/>
        <v>327.03498342611425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40.263431468300027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5.7091093437871177E-4</v>
      </c>
      <c r="AC50" s="24">
        <f t="shared" si="3"/>
        <v>40.264002379234405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72.015708619752559</v>
      </c>
      <c r="T51" s="62">
        <f t="shared" si="34"/>
        <v>327.03498342611425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39.473890135474932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4.0369499315273514E-4</v>
      </c>
      <c r="AC51" s="24">
        <f t="shared" si="3"/>
        <v>39.474293830468085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72.015708619752559</v>
      </c>
      <c r="T52" s="62">
        <f t="shared" si="34"/>
        <v>327.03498342611425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38.699831226613874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2.8545546718935588E-4</v>
      </c>
      <c r="AC52" s="24">
        <f t="shared" si="3"/>
        <v>38.700116682081067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72.015708619752559</v>
      </c>
      <c r="T53" s="62">
        <f t="shared" si="34"/>
        <v>327.03498342611425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37.940951140826265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2.0184749657636757E-4</v>
      </c>
      <c r="AC53" s="24">
        <f t="shared" si="3"/>
        <v>37.941152988322841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72.015708619752559</v>
      </c>
      <c r="T54" s="62">
        <f t="shared" si="34"/>
        <v>327.03498342611425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37.196952230649806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1.4272773359467794E-4</v>
      </c>
      <c r="AC54" s="24">
        <f t="shared" si="3"/>
        <v>37.197094958383403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72.015708619752559</v>
      </c>
      <c r="T55" s="62">
        <f t="shared" si="34"/>
        <v>327.03498342611425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36.467542685307379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1.0092374828818379E-4</v>
      </c>
      <c r="AC55" s="24">
        <f t="shared" si="3"/>
        <v>36.467643609055663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72.015708619752559</v>
      </c>
      <c r="T56" s="62">
        <f t="shared" si="34"/>
        <v>327.03498342611425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35.752436416253225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7.1363866797338971E-5</v>
      </c>
      <c r="AC56" s="24">
        <f t="shared" si="3"/>
        <v>35.75250778012002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72.015708619752559</v>
      </c>
      <c r="T57" s="62">
        <f t="shared" si="34"/>
        <v>327.03498342611425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35.051352944963469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5.0461874144091893E-5</v>
      </c>
      <c r="AC57" s="24">
        <f t="shared" si="3"/>
        <v>35.051403406837615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72.015708619752559</v>
      </c>
      <c r="T58" s="62">
        <f t="shared" si="34"/>
        <v>327.03498342611425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34.364017292927009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3.5681933398669485E-5</v>
      </c>
      <c r="AC58" s="24">
        <f t="shared" si="3"/>
        <v>34.364052974860407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72.015708619752559</v>
      </c>
      <c r="T59" s="62">
        <f t="shared" si="34"/>
        <v>327.03498342611425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33.690159873793633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2.5230937072045946E-5</v>
      </c>
      <c r="AC59" s="24">
        <f t="shared" si="3"/>
        <v>33.690185104730702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72.015708619752559</v>
      </c>
      <c r="T60" s="62">
        <f t="shared" si="34"/>
        <v>327.03498342611425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33.029516387637017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1.7840966699334743E-5</v>
      </c>
      <c r="AC60" s="24">
        <f t="shared" si="3"/>
        <v>33.029534228603715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72.015708619752559</v>
      </c>
      <c r="T61" s="62">
        <f t="shared" si="34"/>
        <v>327.03498342611425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32.381827717291195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1.2615468536022973E-5</v>
      </c>
      <c r="AC61" s="24">
        <f t="shared" si="3"/>
        <v>32.38184033275973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72.015708619752559</v>
      </c>
      <c r="T62" s="62">
        <f t="shared" si="34"/>
        <v>327.03498342611425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31.746839826719775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8.9204833496673714E-6</v>
      </c>
      <c r="AC62" s="24">
        <f t="shared" si="3"/>
        <v>31.746848747203124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72.015708619752559</v>
      </c>
      <c r="T63" s="62">
        <f t="shared" si="34"/>
        <v>327.03498342611425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31.124303661378093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6.3077342680114866E-6</v>
      </c>
      <c r="AC63" s="24">
        <f t="shared" si="3"/>
        <v>31.12430996911236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72.015708619752559</v>
      </c>
      <c r="T64" s="62">
        <f t="shared" si="34"/>
        <v>327.03498342611425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30.513975050529194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4.4602416748336857E-6</v>
      </c>
      <c r="AC64" s="24">
        <f t="shared" si="3"/>
        <v>30.51397951077087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72.015708619752559</v>
      </c>
      <c r="T65" s="62">
        <f t="shared" si="34"/>
        <v>327.03498342611425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29.915614611475345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3.1538671340057433E-6</v>
      </c>
      <c r="AC65" s="24">
        <f t="shared" si="3"/>
        <v>29.915617765342478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72.015708619752559</v>
      </c>
      <c r="T66" s="62">
        <f t="shared" si="34"/>
        <v>327.03498342611425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29.328987655667511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2.2301208374168428E-6</v>
      </c>
      <c r="AC66" s="24">
        <f t="shared" si="3"/>
        <v>29.328989885788349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72.015708619752559</v>
      </c>
      <c r="T67" s="62">
        <f t="shared" si="34"/>
        <v>327.03498342611425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28.753864096655956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1.5769335670028716E-6</v>
      </c>
      <c r="AC67" s="24">
        <f t="shared" si="3"/>
        <v>28.753865673589523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72.015708619752559</v>
      </c>
      <c r="T68" s="62">
        <f t="shared" si="34"/>
        <v>327.03498342611425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28.190018359845887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1.1150604187084214E-6</v>
      </c>
      <c r="AC68" s="24">
        <f t="shared" ref="AC68:AC131" si="57">SUM(Z68:AB68)</f>
        <v>28.190019474906304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72.015708619752559</v>
      </c>
      <c r="T69" s="62">
        <f t="shared" ref="T69:T132" si="88">$T$3</f>
        <v>327.03498342611425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27.63722929402272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7.8846678350143582E-7</v>
      </c>
      <c r="AC69" s="24">
        <f t="shared" si="57"/>
        <v>27.637230082489506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72.015708619752559</v>
      </c>
      <c r="T70" s="62">
        <f t="shared" si="88"/>
        <v>327.03498342611425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27.095280084612309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5.5753020935421071E-7</v>
      </c>
      <c r="AC70" s="24">
        <f t="shared" si="57"/>
        <v>27.095280642142519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72.015708619752559</v>
      </c>
      <c r="T71" s="62">
        <f t="shared" si="88"/>
        <v>327.03498342611425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26.563958168642056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3.9423339175071791E-7</v>
      </c>
      <c r="AC71" s="24">
        <f t="shared" si="57"/>
        <v>26.563958562875449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72.015708619752559</v>
      </c>
      <c r="T72" s="62">
        <f t="shared" si="88"/>
        <v>327.03498342611425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26.043055151369614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2.7876510467710535E-7</v>
      </c>
      <c r="AC72" s="24">
        <f t="shared" si="57"/>
        <v>26.043055430134718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72.015708619752559</v>
      </c>
      <c r="T73" s="62">
        <f t="shared" si="88"/>
        <v>327.03498342611425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25.532366724546414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1.9711669587535896E-7</v>
      </c>
      <c r="AC73" s="24">
        <f t="shared" si="57"/>
        <v>25.532366921663108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72.015708619752559</v>
      </c>
      <c r="T74" s="62">
        <f t="shared" si="88"/>
        <v>327.03498342611425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25.031692586284034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1.3938255233855268E-7</v>
      </c>
      <c r="AC74" s="24">
        <f t="shared" si="57"/>
        <v>25.031692725666588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72.015708619752559</v>
      </c>
      <c r="T75" s="62">
        <f t="shared" si="88"/>
        <v>327.03498342611425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24.540836362491909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9.8558347937679478E-8</v>
      </c>
      <c r="AC75" s="24">
        <f t="shared" si="57"/>
        <v>24.540836461050258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72.015708619752559</v>
      </c>
      <c r="T76" s="62">
        <f t="shared" si="88"/>
        <v>327.03498342611425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24.059605529855613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6.9691276169276339E-8</v>
      </c>
      <c r="AC76" s="24">
        <f t="shared" si="57"/>
        <v>24.059605599546888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72.015708619752559</v>
      </c>
      <c r="T77" s="62">
        <f t="shared" si="88"/>
        <v>327.03498342611425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23.587811340325491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4.9279173968839739E-8</v>
      </c>
      <c r="AC77" s="24">
        <f t="shared" si="57"/>
        <v>23.587811389604664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72.015708619752559</v>
      </c>
      <c r="T78" s="62">
        <f t="shared" si="88"/>
        <v>327.03498342611425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23.125268747086015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3.4845638084638169E-8</v>
      </c>
      <c r="AC78" s="24">
        <f t="shared" si="57"/>
        <v>23.125268781931652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72.015708619752559</v>
      </c>
      <c r="T79" s="62">
        <f t="shared" si="88"/>
        <v>327.03498342611425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22.671796331976839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2.463958698441987E-8</v>
      </c>
      <c r="AC79" s="24">
        <f t="shared" si="57"/>
        <v>22.671796356616426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72.015708619752559</v>
      </c>
      <c r="T80" s="62">
        <f t="shared" si="88"/>
        <v>327.03498342611425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22.227216234337092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1.7422819042319085E-8</v>
      </c>
      <c r="AC80" s="24">
        <f t="shared" si="57"/>
        <v>22.227216251759913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72.015708619752559</v>
      </c>
      <c r="T81" s="62">
        <f t="shared" si="88"/>
        <v>327.03498342611425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21.791354081244975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1.2319793492209935E-8</v>
      </c>
      <c r="AC81" s="24">
        <f t="shared" si="57"/>
        <v>21.79135409356477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72.015708619752559</v>
      </c>
      <c r="T82" s="62">
        <f t="shared" si="88"/>
        <v>327.03498342611425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21.364038919125331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8.7114095211595423E-9</v>
      </c>
      <c r="AC82" s="24">
        <f t="shared" si="57"/>
        <v>21.364038927836742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72.015708619752559</v>
      </c>
      <c r="T83" s="62">
        <f t="shared" si="88"/>
        <v>327.03498342611425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20.94510314669834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6.1598967461049674E-9</v>
      </c>
      <c r="AC83" s="24">
        <f t="shared" si="57"/>
        <v>20.945103152858238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72.015708619752559</v>
      </c>
      <c r="T84" s="62">
        <f t="shared" si="88"/>
        <v>327.03498342611425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20.534382449243054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4.3557047605797712E-9</v>
      </c>
      <c r="AC84" s="24">
        <f t="shared" si="57"/>
        <v>20.534382453598759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72.015708619752559</v>
      </c>
      <c r="T85" s="62">
        <f t="shared" si="88"/>
        <v>327.03498342611425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20.131715734149978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3.0799483730524837E-9</v>
      </c>
      <c r="AC85" s="24">
        <f t="shared" si="57"/>
        <v>20.131715737229925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72.015708619752559</v>
      </c>
      <c r="T86" s="62">
        <f t="shared" si="88"/>
        <v>327.03498342611425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19.73694506773743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2.1778523802898856E-9</v>
      </c>
      <c r="AC86" s="24">
        <f t="shared" si="57"/>
        <v>19.736945069915283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72.015708619752559</v>
      </c>
      <c r="T87" s="62">
        <f t="shared" si="88"/>
        <v>327.03498342611425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19.349915613306901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1.5399741865262418E-9</v>
      </c>
      <c r="AC87" s="24">
        <f t="shared" si="57"/>
        <v>19.349915614846875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72.015708619752559</v>
      </c>
      <c r="T88" s="62">
        <f t="shared" si="88"/>
        <v>327.03498342611425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18.9704755704131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1.0889261901449428E-9</v>
      </c>
      <c r="AC88" s="24">
        <f t="shared" si="57"/>
        <v>18.970475571502025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72.015708619752559</v>
      </c>
      <c r="T89" s="62">
        <f t="shared" si="88"/>
        <v>327.03498342611425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18.598476115324871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7.6998709326312092E-10</v>
      </c>
      <c r="AC89" s="24">
        <f t="shared" si="57"/>
        <v>18.598476116094858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72.015708619752559</v>
      </c>
      <c r="T90" s="62">
        <f t="shared" si="88"/>
        <v>327.03498342611425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18.233771342653657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5.444630950724714E-10</v>
      </c>
      <c r="AC90" s="24">
        <f t="shared" si="57"/>
        <v>18.233771343198121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72.015708619752559</v>
      </c>
      <c r="T91" s="62">
        <f t="shared" si="88"/>
        <v>327.03498342611425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17.876218208126581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3.8499354663156046E-10</v>
      </c>
      <c r="AC91" s="24">
        <f t="shared" si="57"/>
        <v>17.876218208511574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72.015708619752559</v>
      </c>
      <c r="T92" s="62">
        <f t="shared" si="88"/>
        <v>327.03498342611425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17.525676472481702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2.722315475362357E-10</v>
      </c>
      <c r="AC92" s="24">
        <f t="shared" si="57"/>
        <v>17.525676472753933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72.015708619752559</v>
      </c>
      <c r="T93" s="62">
        <f t="shared" si="88"/>
        <v>327.03498342611425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17.182008646463473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1.9249677331578023E-10</v>
      </c>
      <c r="AC93" s="24">
        <f t="shared" si="57"/>
        <v>17.182008646655969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72.015708619752559</v>
      </c>
      <c r="T94" s="62">
        <f t="shared" si="88"/>
        <v>327.03498342611425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16.845079936896784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1.3611577376811785E-10</v>
      </c>
      <c r="AC94" s="24">
        <f t="shared" si="57"/>
        <v>16.845079937032899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72.015708619752559</v>
      </c>
      <c r="T95" s="62">
        <f t="shared" si="88"/>
        <v>327.03498342611425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16.51475819381848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9.6248386657890115E-11</v>
      </c>
      <c r="AC95" s="24">
        <f t="shared" si="57"/>
        <v>16.51475819391473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72.015708619752559</v>
      </c>
      <c r="T96" s="62">
        <f t="shared" si="88"/>
        <v>327.03498342611425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16.190913858645573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6.8057886884058925E-11</v>
      </c>
      <c r="AC96" s="24">
        <f t="shared" si="57"/>
        <v>16.190913858713632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72.015708619752559</v>
      </c>
      <c r="T97" s="62">
        <f t="shared" si="88"/>
        <v>327.03498342611425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15.873419913359864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4.8124193328945058E-11</v>
      </c>
      <c r="AC97" s="24">
        <f t="shared" si="57"/>
        <v>15.873419913407989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72.015708619752559</v>
      </c>
      <c r="T98" s="62">
        <f t="shared" si="88"/>
        <v>327.03498342611425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15.562151830689023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3.4028943442029462E-11</v>
      </c>
      <c r="AC98" s="24">
        <f t="shared" si="57"/>
        <v>15.562151830723053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72.015708619752559</v>
      </c>
      <c r="T99" s="62">
        <f t="shared" si="88"/>
        <v>327.03498342611425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15.256987525264574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2.4062096664472529E-11</v>
      </c>
      <c r="AC99" s="24">
        <f t="shared" si="57"/>
        <v>15.256987525288636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72.015708619752559</v>
      </c>
      <c r="T100" s="62">
        <f t="shared" si="88"/>
        <v>327.03498342611425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14.957807305737649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1.7014471721014731E-11</v>
      </c>
      <c r="AC100" s="24">
        <f t="shared" si="57"/>
        <v>14.957807305754663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72.015708619752559</v>
      </c>
      <c r="T101" s="62">
        <f t="shared" si="88"/>
        <v>327.03498342611425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14.664493827833732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1.2031048332236264E-11</v>
      </c>
      <c r="AC101" s="24">
        <f t="shared" si="57"/>
        <v>14.664493827845764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72.015708619752559</v>
      </c>
      <c r="T102" s="62">
        <f t="shared" si="88"/>
        <v>327.03498342611425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14.376932048327957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8.5072358605073656E-12</v>
      </c>
      <c r="AC102" s="24">
        <f t="shared" si="57"/>
        <v>14.376932048336464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72.015708619752559</v>
      </c>
      <c r="T103" s="62">
        <f t="shared" si="88"/>
        <v>327.03498342611425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14.095009179922922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6.0155241661181322E-12</v>
      </c>
      <c r="AC103" s="24">
        <f t="shared" si="57"/>
        <v>14.095009179928937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72.015708619752559</v>
      </c>
      <c r="T104" s="62">
        <f t="shared" si="88"/>
        <v>327.03498342611425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13.818614647011339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4.2536179302536828E-12</v>
      </c>
      <c r="AC104" s="24">
        <f t="shared" si="57"/>
        <v>13.818614647015593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72.015708619752559</v>
      </c>
      <c r="T105" s="62">
        <f t="shared" si="88"/>
        <v>327.03498342611425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13.547640042306133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3.0077620830590661E-12</v>
      </c>
      <c r="AC105" s="24">
        <f t="shared" si="57"/>
        <v>13.547640042309141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72.015708619752559</v>
      </c>
      <c r="T106" s="62">
        <f t="shared" si="88"/>
        <v>327.03498342611425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13.281979084321009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2.1268089651268414E-12</v>
      </c>
      <c r="AC106" s="24">
        <f t="shared" si="57"/>
        <v>13.281979084323135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72.015708619752559</v>
      </c>
      <c r="T107" s="62">
        <f t="shared" si="88"/>
        <v>327.03498342611425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13.021527575684788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1.5038810415295331E-12</v>
      </c>
      <c r="AC107" s="24">
        <f t="shared" si="57"/>
        <v>13.021527575686292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72.015708619752559</v>
      </c>
      <c r="T108" s="62">
        <f t="shared" si="88"/>
        <v>327.03498342611425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12.766183362273189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1.0634044825634207E-12</v>
      </c>
      <c r="AC108" s="24">
        <f t="shared" si="57"/>
        <v>12.766183362274253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72.015708619752559</v>
      </c>
      <c r="T109" s="62">
        <f t="shared" si="88"/>
        <v>327.03498342611425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12.515846293141999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7.5194052076476653E-13</v>
      </c>
      <c r="AC109" s="24">
        <f t="shared" si="57"/>
        <v>12.515846293142751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72.015708619752559</v>
      </c>
      <c r="T110" s="62">
        <f t="shared" si="88"/>
        <v>327.03498342611425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12.270418181245937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5.3170224128171035E-13</v>
      </c>
      <c r="AC110" s="24">
        <f t="shared" si="57"/>
        <v>12.270418181246468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72.015708619752559</v>
      </c>
      <c r="T111" s="62">
        <f t="shared" si="88"/>
        <v>327.03498342611425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12.029802764927789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3.7597026038238326E-13</v>
      </c>
      <c r="AC111" s="24">
        <f t="shared" si="57"/>
        <v>12.029802764928165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72.015708619752559</v>
      </c>
      <c r="T112" s="62">
        <f t="shared" si="88"/>
        <v>327.03498342611425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11.793905670162728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2.6585112064085517E-13</v>
      </c>
      <c r="AC112" s="24">
        <f t="shared" si="57"/>
        <v>11.793905670162994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72.015708619752559</v>
      </c>
      <c r="T113" s="62">
        <f t="shared" si="88"/>
        <v>327.03498342611425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11.56263437354299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1.8798513019119163E-13</v>
      </c>
      <c r="AC113" s="24">
        <f t="shared" si="57"/>
        <v>11.562634373543178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72.015708619752559</v>
      </c>
      <c r="T114" s="62">
        <f t="shared" si="88"/>
        <v>327.03498342611425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11.335898165988402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1.3292556032042759E-13</v>
      </c>
      <c r="AC114" s="24">
        <f t="shared" si="57"/>
        <v>11.335898165988535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72.015708619752559</v>
      </c>
      <c r="T115" s="62">
        <f t="shared" si="88"/>
        <v>327.03498342611425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11.113608117168528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9.3992565095595816E-14</v>
      </c>
      <c r="AC115" s="24">
        <f t="shared" si="57"/>
        <v>11.113608117168623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72.015708619752559</v>
      </c>
      <c r="T116" s="62">
        <f t="shared" si="88"/>
        <v>327.03498342611425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10.89567704062247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6.6462780160213794E-14</v>
      </c>
      <c r="AC116" s="24">
        <f t="shared" si="57"/>
        <v>10.895677040622536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72.015708619752559</v>
      </c>
      <c r="T117" s="62">
        <f t="shared" si="88"/>
        <v>327.03498342611425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10.68201945956265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4.6996282547797908E-14</v>
      </c>
      <c r="AC117" s="24">
        <f t="shared" si="57"/>
        <v>10.682019459562696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72.015708619752559</v>
      </c>
      <c r="T118" s="62">
        <f t="shared" si="88"/>
        <v>327.03498342611425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10.472551573349156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3.3231390080106897E-14</v>
      </c>
      <c r="AC118" s="24">
        <f t="shared" si="57"/>
        <v>10.47255157334919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72.015708619752559</v>
      </c>
      <c r="T119" s="62">
        <f t="shared" si="88"/>
        <v>327.03498342611425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10.267191224621513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2.3498141273898954E-14</v>
      </c>
      <c r="AC119" s="24">
        <f t="shared" si="57"/>
        <v>10.267191224621536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72.015708619752559</v>
      </c>
      <c r="T120" s="62">
        <f t="shared" si="88"/>
        <v>327.03498342611425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10.065857867074975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1.6615695040053448E-14</v>
      </c>
      <c r="AC120" s="24">
        <f t="shared" si="57"/>
        <v>10.065857867074991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72.015708619752559</v>
      </c>
      <c r="T121" s="62">
        <f t="shared" si="88"/>
        <v>327.03498342611425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9.8684725338687009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1.1749070636949477E-14</v>
      </c>
      <c r="AC121" s="24">
        <f t="shared" si="57"/>
        <v>9.8684725338687134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72.015708619752559</v>
      </c>
      <c r="T122" s="62">
        <f t="shared" si="88"/>
        <v>327.03498342611425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9.6749578066534365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8.3078475200267242E-15</v>
      </c>
      <c r="AC122" s="24">
        <f t="shared" si="57"/>
        <v>9.6749578066534454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72.015708619752559</v>
      </c>
      <c r="T123" s="62">
        <f t="shared" si="88"/>
        <v>327.03498342611425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9.4852377852065359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5.8745353184747385E-15</v>
      </c>
      <c r="AC123" s="24">
        <f t="shared" si="57"/>
        <v>9.4852377852065413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72.015708619752559</v>
      </c>
      <c r="T124" s="62">
        <f t="shared" si="88"/>
        <v>327.03498342611425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9.2992380576624214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4.1539237600133621E-15</v>
      </c>
      <c r="AC124" s="24">
        <f t="shared" si="57"/>
        <v>9.2992380576624249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72.015708619752559</v>
      </c>
      <c r="T125" s="62">
        <f t="shared" si="88"/>
        <v>327.03498342611425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9.1168856713268163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2.9372676592373692E-15</v>
      </c>
      <c r="AC125" s="24">
        <f t="shared" si="57"/>
        <v>9.1168856713268198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72.015708619752559</v>
      </c>
      <c r="T126" s="62">
        <f t="shared" si="88"/>
        <v>327.03498342611425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8.9381091040632779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2.076961880006681E-15</v>
      </c>
      <c r="AC126" s="24">
        <f t="shared" si="57"/>
        <v>8.9381091040632796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72.015708619752559</v>
      </c>
      <c r="T127" s="62">
        <f t="shared" si="88"/>
        <v>327.03498342611425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8.7628382362408388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1.4686338296186846E-15</v>
      </c>
      <c r="AC127" s="24">
        <f t="shared" si="57"/>
        <v>8.7628382362408406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72.015708619752559</v>
      </c>
      <c r="T128" s="62">
        <f t="shared" si="88"/>
        <v>327.03498342611425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8.5910043232317239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1.0384809400033405E-15</v>
      </c>
      <c r="AC128" s="24">
        <f t="shared" si="57"/>
        <v>8.5910043232317257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72.015708619752559</v>
      </c>
      <c r="T129" s="62">
        <f t="shared" si="88"/>
        <v>327.03498342611425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8.4225399684483797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7.3431691480934231E-16</v>
      </c>
      <c r="AC129" s="24">
        <f t="shared" si="57"/>
        <v>8.4225399684483797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72.015708619752559</v>
      </c>
      <c r="T130" s="62">
        <f t="shared" si="88"/>
        <v>327.03498342611425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8.2573790969092276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5.1924047000167026E-16</v>
      </c>
      <c r="AC130" s="24">
        <f t="shared" si="57"/>
        <v>8.2573790969092276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72.015708619752559</v>
      </c>
      <c r="T131" s="62">
        <f t="shared" si="88"/>
        <v>327.03498342611425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8.0954569293227738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3.6715845740467116E-16</v>
      </c>
      <c r="AC131" s="24">
        <f t="shared" si="57"/>
        <v>8.0954569293227738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72.015708619752559</v>
      </c>
      <c r="T132" s="62">
        <f t="shared" si="88"/>
        <v>327.03498342611425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7.9367099566799197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2.5962023500083513E-16</v>
      </c>
      <c r="AC132" s="24">
        <f t="shared" ref="AC132:AC153" si="111">SUM(Z132:AB132)</f>
        <v>7.9367099566799197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72.015708619752559</v>
      </c>
      <c r="T133" s="62">
        <f t="shared" ref="T133:T196" si="142">$T$3</f>
        <v>327.03498342611425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7.7810759153444993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1.8357922870233558E-16</v>
      </c>
      <c r="AC133" s="24">
        <f t="shared" si="111"/>
        <v>7.7810759153444993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72.015708619752559</v>
      </c>
      <c r="T134" s="62">
        <f t="shared" si="142"/>
        <v>327.03498342611425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7.6284937626322744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1.2981011750041757E-16</v>
      </c>
      <c r="AC134" s="24">
        <f t="shared" si="111"/>
        <v>7.6284937626322744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72.015708619752559</v>
      </c>
      <c r="T135" s="62">
        <f t="shared" si="142"/>
        <v>327.03498342611425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7.4789036528688131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9.1789614351167789E-17</v>
      </c>
      <c r="AC135" s="24">
        <f t="shared" si="111"/>
        <v>7.4789036528688131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72.015708619752559</v>
      </c>
      <c r="T136" s="62">
        <f t="shared" si="142"/>
        <v>327.03498342611425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7.3322469139168556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6.4905058750208783E-17</v>
      </c>
      <c r="AC136" s="24">
        <f t="shared" si="111"/>
        <v>7.3322469139168556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72.015708619752559</v>
      </c>
      <c r="T137" s="62">
        <f t="shared" si="142"/>
        <v>327.03498342611425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7.1884660241639677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4.5894807175583894E-17</v>
      </c>
      <c r="AC137" s="24">
        <f t="shared" si="111"/>
        <v>7.1884660241639677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72.015708619752559</v>
      </c>
      <c r="T138" s="62">
        <f t="shared" si="142"/>
        <v>327.03498342611425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7.0475045899614503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3.2452529375104391E-17</v>
      </c>
      <c r="AC138" s="24">
        <f t="shared" si="111"/>
        <v>7.0475045899614503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72.015708619752559</v>
      </c>
      <c r="T139" s="62">
        <f t="shared" si="142"/>
        <v>327.03498342611425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6.9093073235056597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2.2947403587791947E-17</v>
      </c>
      <c r="AC139" s="24">
        <f t="shared" si="111"/>
        <v>6.9093073235056597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72.015708619752559</v>
      </c>
      <c r="T140" s="62">
        <f t="shared" si="142"/>
        <v>327.03498342611425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6.7738200211530577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1.6226264687552196E-17</v>
      </c>
      <c r="AC140" s="24">
        <f t="shared" si="111"/>
        <v>6.7738200211530577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72.015708619752559</v>
      </c>
      <c r="T141" s="62">
        <f t="shared" si="142"/>
        <v>327.03498342611425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6.6409895421604954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1.1473701793895974E-17</v>
      </c>
      <c r="AC141" s="24">
        <f t="shared" si="111"/>
        <v>6.6409895421604954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72.015708619752559</v>
      </c>
      <c r="T142" s="62">
        <f t="shared" si="142"/>
        <v>327.03498342611425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6.510763787842385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8.1131323437760978E-18</v>
      </c>
      <c r="AC142" s="24">
        <f t="shared" si="111"/>
        <v>6.510763787842385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72.015708619752559</v>
      </c>
      <c r="T143" s="62">
        <f t="shared" si="142"/>
        <v>327.03498342611425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6.3830916811365856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5.7368508969479868E-18</v>
      </c>
      <c r="AC143" s="24">
        <f t="shared" si="111"/>
        <v>6.3830916811365856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72.015708619752559</v>
      </c>
      <c r="T144" s="62">
        <f t="shared" si="142"/>
        <v>327.03498342611425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6.2579231465709908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4.0565661718880489E-18</v>
      </c>
      <c r="AC144" s="24">
        <f t="shared" si="111"/>
        <v>6.2579231465709908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72.015708619752559</v>
      </c>
      <c r="T145" s="62">
        <f t="shared" si="142"/>
        <v>327.03498342611425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6.1352090906229604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2.8684254484739934E-18</v>
      </c>
      <c r="AC145" s="24">
        <f t="shared" si="111"/>
        <v>6.1352090906229604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72.015708619752559</v>
      </c>
      <c r="T146" s="62">
        <f t="shared" si="142"/>
        <v>327.03498342611425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6.0149013824638873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2.0282830859440245E-18</v>
      </c>
      <c r="AC146" s="24">
        <f t="shared" si="111"/>
        <v>6.0149013824638873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72.015708619752559</v>
      </c>
      <c r="T147" s="62">
        <f t="shared" si="142"/>
        <v>327.03498342611425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5.8969528350813567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1.4342127242369967E-18</v>
      </c>
      <c r="AC147" s="24">
        <f t="shared" si="111"/>
        <v>5.8969528350813567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72.015708619752559</v>
      </c>
      <c r="T148" s="62">
        <f t="shared" si="142"/>
        <v>327.03498342611425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5.7813171867714876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1.0141415429720122E-18</v>
      </c>
      <c r="AC148" s="24">
        <f t="shared" si="111"/>
        <v>5.7813171867714876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72.015708619752559</v>
      </c>
      <c r="T149" s="62">
        <f t="shared" si="142"/>
        <v>327.03498342611425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5.6679490829941939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7.1710636211849835E-19</v>
      </c>
      <c r="AC149" s="24">
        <f t="shared" si="111"/>
        <v>5.6679490829941939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72.015708619752559</v>
      </c>
      <c r="T150" s="62">
        <f t="shared" si="142"/>
        <v>327.03498342611425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5.5568040585842571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5.0707077148600611E-19</v>
      </c>
      <c r="AC150" s="24">
        <f t="shared" si="111"/>
        <v>5.5568040585842571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72.015708619752559</v>
      </c>
      <c r="T151" s="62">
        <f t="shared" si="142"/>
        <v>327.03498342611425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5.4478385203112287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3.5855318105924917E-19</v>
      </c>
      <c r="AC151" s="24">
        <f t="shared" si="111"/>
        <v>5.4478385203112287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72.015708619752559</v>
      </c>
      <c r="T152" s="62">
        <f t="shared" si="142"/>
        <v>327.03498342611425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5.3410097297813186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2.5353538574300306E-19</v>
      </c>
      <c r="AC152" s="24">
        <f t="shared" si="111"/>
        <v>5.3410097297813186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72.015708619752559</v>
      </c>
      <c r="T153" s="62">
        <f t="shared" si="142"/>
        <v>327.03498342611425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5.2362757866745717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1.7927659052962459E-19</v>
      </c>
      <c r="AC153" s="24">
        <f t="shared" si="111"/>
        <v>5.2362757866745717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72.015708619752559</v>
      </c>
      <c r="T154" s="62">
        <f t="shared" si="142"/>
        <v>327.03498342611425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5.1335956123107502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1.2676769287150153E-19</v>
      </c>
      <c r="AC154" s="24">
        <f t="shared" ref="AC154:AC203" si="163">SUM(Z154:AB154)</f>
        <v>5.1335956123107502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72.015708619752559</v>
      </c>
      <c r="T155" s="62">
        <f t="shared" si="142"/>
        <v>327.03498342611425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5.0329289335374812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8.9638295264812294E-20</v>
      </c>
      <c r="AC155" s="24">
        <f t="shared" si="163"/>
        <v>5.0329289335374812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72.015708619752559</v>
      </c>
      <c r="T156" s="62">
        <f t="shared" si="142"/>
        <v>327.03498342611425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4.9342362669343443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6.3383846435750764E-20</v>
      </c>
      <c r="AC156" s="24">
        <f t="shared" si="163"/>
        <v>4.9342362669343443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72.015708619752559</v>
      </c>
      <c r="T157" s="62">
        <f t="shared" si="142"/>
        <v>327.03498342611425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4.8374789033267129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4.4819147632406147E-20</v>
      </c>
      <c r="AC157" s="24">
        <f t="shared" si="163"/>
        <v>4.8374789033267129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72.015708619752559</v>
      </c>
      <c r="T158" s="62">
        <f t="shared" si="142"/>
        <v>327.03498342611425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4.7426188926032626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3.1691923217875382E-20</v>
      </c>
      <c r="AC158" s="24">
        <f t="shared" si="163"/>
        <v>4.7426188926032626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72.015708619752559</v>
      </c>
      <c r="T159" s="62">
        <f t="shared" si="142"/>
        <v>327.03498342611425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4.6496190288312054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2.2409573816203073E-20</v>
      </c>
      <c r="AC159" s="24">
        <f t="shared" si="163"/>
        <v>4.6496190288312054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72.015708619752559</v>
      </c>
      <c r="T160" s="62">
        <f t="shared" si="142"/>
        <v>327.03498342611425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4.5584428356634028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1.5845961608937691E-20</v>
      </c>
      <c r="AC160" s="24">
        <f t="shared" si="163"/>
        <v>4.5584428356634028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72.015708619752559</v>
      </c>
      <c r="T161" s="62">
        <f t="shared" si="142"/>
        <v>327.03498342611425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4.4690545520316336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1.1204786908101537E-20</v>
      </c>
      <c r="AC161" s="24">
        <f t="shared" si="163"/>
        <v>4.4690545520316336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72.015708619752559</v>
      </c>
      <c r="T162" s="62">
        <f t="shared" si="142"/>
        <v>327.03498342611425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4.3814191181204141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7.9229808044688455E-21</v>
      </c>
      <c r="AC162" s="24">
        <f t="shared" si="163"/>
        <v>4.3814191181204141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72.015708619752559</v>
      </c>
      <c r="T163" s="62">
        <f t="shared" si="142"/>
        <v>327.03498342611425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4.2955021616158566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5.6023934540507684E-21</v>
      </c>
      <c r="AC163" s="24">
        <f t="shared" si="163"/>
        <v>4.2955021616158566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72.015708619752559</v>
      </c>
      <c r="T164" s="62">
        <f t="shared" si="142"/>
        <v>327.03498342611425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4.2112699842241854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3.9614904022344228E-21</v>
      </c>
      <c r="AC164" s="24">
        <f t="shared" si="163"/>
        <v>4.2112699842241854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72.015708619752559</v>
      </c>
      <c r="T165" s="62">
        <f t="shared" si="142"/>
        <v>327.03498342611425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4.1286895484546093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2.8011967270253842E-21</v>
      </c>
      <c r="AC165" s="24">
        <f t="shared" si="163"/>
        <v>4.1286895484546093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72.015708619752559</v>
      </c>
      <c r="T166" s="62">
        <f t="shared" si="142"/>
        <v>327.03498342611425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4.0477284646613825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1.9807452011172114E-21</v>
      </c>
      <c r="AC166" s="24">
        <f t="shared" si="163"/>
        <v>4.0477284646613825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72.015708619752559</v>
      </c>
      <c r="T167" s="62">
        <f t="shared" si="142"/>
        <v>327.03498342611425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3.9683549783399554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1.4005983635126921E-21</v>
      </c>
      <c r="AC167" s="24">
        <f t="shared" si="163"/>
        <v>3.9683549783399554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72.015708619752559</v>
      </c>
      <c r="T168" s="62">
        <f t="shared" si="142"/>
        <v>327.03498342611425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3.8905379576722452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9.9037260055860569E-22</v>
      </c>
      <c r="AC168" s="24">
        <f t="shared" si="163"/>
        <v>3.8905379576722452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72.015708619752559</v>
      </c>
      <c r="T169" s="62">
        <f t="shared" si="142"/>
        <v>327.03498342611425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3.8142468813161328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7.0029918175634604E-22</v>
      </c>
      <c r="AC169" s="24">
        <f t="shared" si="163"/>
        <v>3.8142468813161328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72.015708619752559</v>
      </c>
      <c r="T170" s="62">
        <f t="shared" si="142"/>
        <v>327.03498342611425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3.7394518264344021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4.9518630027930285E-22</v>
      </c>
      <c r="AC170" s="24">
        <f t="shared" si="163"/>
        <v>3.7394518264344021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72.015708619752559</v>
      </c>
      <c r="T171" s="62">
        <f t="shared" si="142"/>
        <v>327.03498342611425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3.6661234569584233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3.5014959087817302E-22</v>
      </c>
      <c r="AC171" s="24">
        <f t="shared" si="163"/>
        <v>3.6661234569584233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72.015708619752559</v>
      </c>
      <c r="T172" s="62">
        <f t="shared" si="142"/>
        <v>327.03498342611425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3.5942330120819794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2.4759315013965142E-22</v>
      </c>
      <c r="AC172" s="24">
        <f t="shared" si="163"/>
        <v>3.5942330120819794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72.015708619752559</v>
      </c>
      <c r="T173" s="62">
        <f t="shared" si="142"/>
        <v>327.03498342611425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3.5237522949807207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1.7507479543908651E-22</v>
      </c>
      <c r="AC173" s="24">
        <f t="shared" si="163"/>
        <v>3.5237522949807207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72.015708619752559</v>
      </c>
      <c r="T174" s="62">
        <f t="shared" si="142"/>
        <v>327.03498342611425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3.4546536617528254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1.2379657506982571E-22</v>
      </c>
      <c r="AC174" s="24">
        <f t="shared" si="163"/>
        <v>3.4546536617528254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72.015708619752559</v>
      </c>
      <c r="T175" s="62">
        <f t="shared" si="142"/>
        <v>327.03498342611425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3.3869100105765244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8.7537397719543256E-23</v>
      </c>
      <c r="AC175" s="24">
        <f t="shared" si="163"/>
        <v>3.3869100105765244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72.015708619752559</v>
      </c>
      <c r="T176" s="62">
        <f t="shared" si="142"/>
        <v>327.03498342611425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3.3204947710802433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6.1898287534912856E-23</v>
      </c>
      <c r="AC176" s="24">
        <f t="shared" si="163"/>
        <v>3.3204947710802433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72.015708619752559</v>
      </c>
      <c r="T177" s="62">
        <f t="shared" si="142"/>
        <v>327.03498342611425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3.255381893921188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4.3768698859771628E-23</v>
      </c>
      <c r="AC177" s="24">
        <f t="shared" si="163"/>
        <v>3.255381893921188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72.015708619752559</v>
      </c>
      <c r="T178" s="62">
        <f t="shared" si="142"/>
        <v>327.03498342611425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3.1915458405682884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3.0949143767456428E-23</v>
      </c>
      <c r="AC178" s="24">
        <f t="shared" si="163"/>
        <v>3.1915458405682884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72.015708619752559</v>
      </c>
      <c r="T179" s="62">
        <f t="shared" si="142"/>
        <v>327.03498342611425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3.1289615732854914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2.1884349429885814E-23</v>
      </c>
      <c r="AC179" s="24">
        <f t="shared" si="163"/>
        <v>3.1289615732854914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72.015708619752559</v>
      </c>
      <c r="T180" s="62">
        <f t="shared" si="142"/>
        <v>327.03498342611425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3.0676045453114762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1.5474571883728214E-23</v>
      </c>
      <c r="AC180" s="24">
        <f t="shared" si="163"/>
        <v>3.0676045453114762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72.015708619752559</v>
      </c>
      <c r="T181" s="62">
        <f t="shared" si="142"/>
        <v>327.03498342611425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3.0074506912319396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1.0942174714942907E-23</v>
      </c>
      <c r="AC181" s="24">
        <f t="shared" si="163"/>
        <v>3.0074506912319396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72.015708619752559</v>
      </c>
      <c r="T182" s="62">
        <f t="shared" si="142"/>
        <v>327.03498342611425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2.9484764175406748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7.737285941864107E-24</v>
      </c>
      <c r="AC182" s="24">
        <f t="shared" si="163"/>
        <v>2.9484764175406748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72.015708619752559</v>
      </c>
      <c r="T183" s="62">
        <f t="shared" si="142"/>
        <v>327.03498342611425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2.8906585933857403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5.4710873574714535E-24</v>
      </c>
      <c r="AC183" s="24">
        <f t="shared" si="163"/>
        <v>2.8906585933857403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72.015708619752559</v>
      </c>
      <c r="T184" s="62">
        <f t="shared" si="142"/>
        <v>327.03498342611425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2.8339745414970934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3.8686429709320535E-24</v>
      </c>
      <c r="AC184" s="24">
        <f t="shared" si="163"/>
        <v>2.8339745414970934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72.015708619752559</v>
      </c>
      <c r="T185" s="62">
        <f t="shared" si="142"/>
        <v>327.03498342611425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2.778402029292125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2.7355436787357267E-24</v>
      </c>
      <c r="AC185" s="24">
        <f t="shared" si="163"/>
        <v>2.778402029292125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72.015708619752559</v>
      </c>
      <c r="T186" s="62">
        <f t="shared" si="142"/>
        <v>327.03498342611425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2.7239192601556108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1.9343214854660267E-24</v>
      </c>
      <c r="AC186" s="24">
        <f t="shared" si="163"/>
        <v>2.7239192601556108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72.015708619752559</v>
      </c>
      <c r="T187" s="62">
        <f t="shared" si="142"/>
        <v>327.03498342611425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2.6705048648906557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1.3677718393678634E-24</v>
      </c>
      <c r="AC187" s="24">
        <f t="shared" si="163"/>
        <v>2.6705048648906557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72.015708619752559</v>
      </c>
      <c r="T188" s="62">
        <f t="shared" si="142"/>
        <v>327.03498342611425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2.6181378933372823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9.6716074273301337E-25</v>
      </c>
      <c r="AC188" s="24">
        <f t="shared" si="163"/>
        <v>2.6181378933372823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72.015708619752559</v>
      </c>
      <c r="T189" s="62">
        <f t="shared" si="142"/>
        <v>327.03498342611425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2.5667978061553716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6.8388591968393168E-25</v>
      </c>
      <c r="AC189" s="24">
        <f t="shared" si="163"/>
        <v>2.5667978061553716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72.015708619752559</v>
      </c>
      <c r="T190" s="62">
        <f t="shared" si="142"/>
        <v>327.03498342611425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2.516464466768737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4.8358037136650669E-25</v>
      </c>
      <c r="AC190" s="24">
        <f t="shared" si="163"/>
        <v>2.516464466768737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72.015708619752559</v>
      </c>
      <c r="T191" s="62">
        <f t="shared" si="142"/>
        <v>327.03498342611425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2.467118133467169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3.4194295984196584E-25</v>
      </c>
      <c r="AC191" s="24">
        <f t="shared" si="163"/>
        <v>2.467118133467169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72.015708619752559</v>
      </c>
      <c r="T192" s="62">
        <f t="shared" si="142"/>
        <v>327.03498342611425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2.4187394516633534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2.4179018568325334E-25</v>
      </c>
      <c r="AC192" s="24">
        <f t="shared" si="163"/>
        <v>2.4187394516633534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72.015708619752559</v>
      </c>
      <c r="T193" s="62">
        <f t="shared" si="142"/>
        <v>327.03498342611425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2.3713094463016282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1.7097147992098292E-25</v>
      </c>
      <c r="AC193" s="24">
        <f t="shared" si="163"/>
        <v>2.3713094463016282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72.015708619752559</v>
      </c>
      <c r="T194" s="62">
        <f t="shared" si="142"/>
        <v>327.03498342611425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2.3248095144155996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1.2089509284162667E-25</v>
      </c>
      <c r="AC194" s="24">
        <f t="shared" si="163"/>
        <v>2.3248095144155996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72.015708619752559</v>
      </c>
      <c r="T195" s="62">
        <f t="shared" si="142"/>
        <v>327.03498342611425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2.2792214178316983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8.5485739960491461E-26</v>
      </c>
      <c r="AC195" s="24">
        <f t="shared" si="163"/>
        <v>2.2792214178316983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72.015708619752559</v>
      </c>
      <c r="T196" s="62">
        <f t="shared" si="142"/>
        <v>327.03498342611425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2.2345272760158141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6.0447546420813336E-26</v>
      </c>
      <c r="AC196" s="24">
        <f t="shared" si="163"/>
        <v>2.2345272760158141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72.015708619752559</v>
      </c>
      <c r="T197" s="62">
        <f t="shared" ref="T197:T203" si="204">$T$3</f>
        <v>327.03498342611425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2.1907095590602044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4.274286998024573E-26</v>
      </c>
      <c r="AC197" s="24">
        <f t="shared" si="163"/>
        <v>2.1907095590602044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72.015708619752559</v>
      </c>
      <c r="T198" s="62">
        <f t="shared" si="204"/>
        <v>327.03498342611425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2.1477510808079261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3.0223773210406668E-26</v>
      </c>
      <c r="AC198" s="24">
        <f t="shared" si="163"/>
        <v>2.1477510808079261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72.015708619752559</v>
      </c>
      <c r="T199" s="62">
        <f t="shared" si="204"/>
        <v>327.03498342611425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2.1056349921120905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2.1371434990122865E-26</v>
      </c>
      <c r="AC199" s="24">
        <f t="shared" si="163"/>
        <v>2.1056349921120905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72.015708619752559</v>
      </c>
      <c r="T200" s="62">
        <f t="shared" si="204"/>
        <v>327.03498342611425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2.0643447742273024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1.5111886605203334E-26</v>
      </c>
      <c r="AC200" s="24">
        <f t="shared" si="163"/>
        <v>2.0643447742273024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72.015708619752559</v>
      </c>
      <c r="T201" s="62">
        <f t="shared" si="204"/>
        <v>327.03498342611425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2.023864232330689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1.0685717495061433E-26</v>
      </c>
      <c r="AC201" s="24">
        <f t="shared" si="163"/>
        <v>2.023864232330689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72.015708619752559</v>
      </c>
      <c r="T202" s="62">
        <f t="shared" si="204"/>
        <v>327.03498342611425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1.9841774891699755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7.555943302601667E-27</v>
      </c>
      <c r="AC202" s="24">
        <f t="shared" si="163"/>
        <v>1.9841774891699755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72.015708619752559</v>
      </c>
      <c r="T203" s="62">
        <f t="shared" si="204"/>
        <v>327.03498342611425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1.9452689788361206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5.3428587475307163E-27</v>
      </c>
      <c r="AC203" s="24">
        <f t="shared" si="163"/>
        <v>1.9452689788361206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1.4202323807635395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N24" sqref="N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I-45/51</v>
      </c>
      <c r="B6" s="155">
        <f>'Données projet'!D9</f>
        <v>2.7</v>
      </c>
      <c r="C6" s="156">
        <f ca="1">IF(OR('Données projet'!B9="",'Données projet'!C9="",'Données projet'!C9=0%),0,Calculateur!S3)</f>
        <v>72.015708619752559</v>
      </c>
      <c r="D6" s="156">
        <f>IF(OR('Données projet'!B9="",'Données projet'!C9="",'Données projet'!C9=0%),0,Calculateur!T3)</f>
        <v>327.03498342611425</v>
      </c>
      <c r="E6" s="156">
        <f ca="1">MIN(C6,D6)</f>
        <v>72.015708619752559</v>
      </c>
      <c r="F6" s="156">
        <f ca="1">E6*B6</f>
        <v>194.44241327333191</v>
      </c>
      <c r="G6" s="156">
        <f ca="1">F6*(100%-'Données projet'!$C$24)*(100%-'Données projet'!$C$25)*(100%-'Données projet'!$C$26)*(100%-'Données projet'!$C$27)</f>
        <v>132.99861067895904</v>
      </c>
      <c r="H6" s="157">
        <f>IF(OR('Données projet'!B9="",'Données projet'!C9="",'Données projet'!C9=0%),0,AVERAGE(Calculateur!$AC$3:$AC$33)*B6)</f>
        <v>92.744490355425256</v>
      </c>
      <c r="I6" s="158">
        <f>H6*(100%-'Données projet'!$C$24)*(100%-'Données projet'!$C$25)*(100%-'Données projet'!$C$26)*(100%-'Données projet'!$C$27)</f>
        <v>63.437231403110871</v>
      </c>
      <c r="J6" s="159">
        <f>IF(OR('Données projet'!B9="",'Données projet'!C9="",'Données projet'!C9=0%),0,SUM(Calculateur!$V$3:$V$33)*VLOOKUP('Données projet'!$B$9,Paramètres!$A$1:$I$89,9,0)*B6)</f>
        <v>761.99400000000014</v>
      </c>
      <c r="K6" s="160">
        <f>J6*(100%-'Données projet'!$C$24)*(100%-'Données projet'!$C$25)*(100%-'Données projet'!$C$26)*(100%-'Données projet'!$C$27)</f>
        <v>521.2038960000001</v>
      </c>
      <c r="L6" s="161">
        <f ca="1">G6+I6+K6</f>
        <v>717.63973808207004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194.44241327333191</v>
      </c>
      <c r="G16" s="175">
        <f t="shared" ca="1" si="3"/>
        <v>132.99861067895904</v>
      </c>
      <c r="H16" s="176">
        <f t="shared" si="3"/>
        <v>92.744490355425256</v>
      </c>
      <c r="I16" s="176">
        <f t="shared" si="3"/>
        <v>63.437231403110871</v>
      </c>
      <c r="J16" s="177">
        <f t="shared" si="3"/>
        <v>761.99400000000014</v>
      </c>
      <c r="K16" s="177">
        <f t="shared" si="3"/>
        <v>521.2038960000001</v>
      </c>
      <c r="L16" s="178">
        <f t="shared" ca="1" si="3"/>
        <v>717.63973808207004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I-45/51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H32" sqref="H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I-45/51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I-45/51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16</v>
      </c>
      <c r="B23" s="193">
        <f>'Données projet'!D36</f>
        <v>274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2024-06-10T11:34:10Z</dcterms:modified>
</cp:coreProperties>
</file>