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OCCI_OG\Documents\Olivier\C+FOR\JO 2024\Chelers\"/>
    </mc:Choice>
  </mc:AlternateContent>
  <bookViews>
    <workbookView xWindow="0" yWindow="0" windowWidth="20490" windowHeight="7155" tabRatio="866" activeTab="6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37" i="1" l="1"/>
  <c r="B237" i="1"/>
  <c r="D236" i="1"/>
  <c r="B236" i="1"/>
  <c r="B235" i="1"/>
  <c r="D234" i="1"/>
  <c r="B234" i="1"/>
  <c r="B233" i="1"/>
  <c r="D232" i="1"/>
  <c r="B232" i="1"/>
  <c r="B231" i="1"/>
  <c r="D230" i="1"/>
  <c r="B230" i="1"/>
  <c r="B229" i="1"/>
  <c r="D228" i="1"/>
  <c r="B228" i="1"/>
  <c r="B227" i="1"/>
  <c r="B226" i="1"/>
  <c r="D226" i="1"/>
  <c r="D224" i="1"/>
  <c r="B225" i="1"/>
  <c r="B224" i="1"/>
  <c r="B223" i="1"/>
  <c r="D222" i="1"/>
  <c r="B222" i="1"/>
  <c r="B221" i="1"/>
  <c r="D220" i="1"/>
  <c r="B220" i="1"/>
  <c r="B219" i="1"/>
  <c r="B218" i="1"/>
  <c r="D115" i="1" l="1"/>
  <c r="B115" i="1"/>
  <c r="D49" i="1"/>
  <c r="B49" i="1"/>
  <c r="B48" i="1"/>
  <c r="D47" i="1"/>
  <c r="B47" i="1"/>
  <c r="B46" i="1"/>
  <c r="D45" i="1"/>
  <c r="B45" i="1"/>
  <c r="B44" i="1"/>
  <c r="D43" i="1"/>
  <c r="B43" i="1"/>
  <c r="B42" i="1"/>
  <c r="D41" i="1"/>
  <c r="B41" i="1"/>
  <c r="B40" i="1"/>
  <c r="D39" i="1"/>
  <c r="B39" i="1"/>
  <c r="B38" i="1"/>
  <c r="D37" i="1"/>
  <c r="B37" i="1"/>
  <c r="B36" i="1"/>
  <c r="D153" i="1"/>
  <c r="B153" i="1"/>
  <c r="B152" i="1"/>
  <c r="D151" i="1"/>
  <c r="B151" i="1"/>
  <c r="B150" i="1"/>
  <c r="D149" i="1"/>
  <c r="B149" i="1"/>
  <c r="B148" i="1"/>
  <c r="D147" i="1"/>
  <c r="B147" i="1"/>
  <c r="B146" i="1"/>
  <c r="D145" i="1"/>
  <c r="B145" i="1"/>
  <c r="B144" i="1"/>
  <c r="D143" i="1"/>
  <c r="B143" i="1"/>
  <c r="B142" i="1"/>
  <c r="D141" i="1"/>
  <c r="B141" i="1"/>
  <c r="B140" i="1"/>
  <c r="B101" i="1"/>
  <c r="D101" i="1" s="1"/>
  <c r="D99" i="1"/>
  <c r="B99" i="1"/>
  <c r="D97" i="1"/>
  <c r="B97" i="1"/>
  <c r="D95" i="1"/>
  <c r="B95" i="1"/>
  <c r="D93" i="1"/>
  <c r="B93" i="1"/>
  <c r="D91" i="1"/>
  <c r="B91" i="1"/>
  <c r="D89" i="1"/>
  <c r="B89" i="1"/>
  <c r="B75" i="1"/>
  <c r="D75" i="1" s="1"/>
  <c r="D73" i="1"/>
  <c r="B73" i="1"/>
  <c r="D71" i="1"/>
  <c r="B71" i="1"/>
  <c r="D69" i="1"/>
  <c r="B69" i="1"/>
  <c r="D67" i="1"/>
  <c r="B67" i="1"/>
  <c r="D65" i="1"/>
  <c r="B65" i="1"/>
  <c r="D63" i="1"/>
  <c r="B63" i="1"/>
  <c r="D179" i="1" l="1"/>
  <c r="B179" i="1"/>
  <c r="B178" i="1"/>
  <c r="D177" i="1"/>
  <c r="B177" i="1"/>
  <c r="B176" i="1"/>
  <c r="D175" i="1"/>
  <c r="B175" i="1"/>
  <c r="B174" i="1"/>
  <c r="D173" i="1"/>
  <c r="B173" i="1"/>
  <c r="B172" i="1"/>
  <c r="D171" i="1"/>
  <c r="B171" i="1"/>
  <c r="B170" i="1"/>
  <c r="D169" i="1"/>
  <c r="B169" i="1"/>
  <c r="B168" i="1"/>
  <c r="D167" i="1"/>
  <c r="B167" i="1"/>
  <c r="B166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EA4" i="2" s="1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R4" i="2" l="1"/>
  <c r="FQ4" i="2"/>
  <c r="BR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EA5" i="2" s="1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FR5" i="2"/>
  <c r="EX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W7" i="2"/>
  <c r="EV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FS18" i="2"/>
  <c r="EV18" i="2"/>
  <c r="EW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FS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V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W22" i="2"/>
  <c r="EC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V28" i="2"/>
  <c r="EB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HG33" i="2" s="1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FQ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I38" i="2" s="1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X40" i="2" l="1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G42" i="2" s="1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G47" i="2" s="1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G50" i="2" s="1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EV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HH60" i="2" s="1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X61" i="2"/>
  <c r="EV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B62" i="2" l="1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EA64" i="2" s="1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S74" i="2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EB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W78" i="2" l="1"/>
  <c r="EV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G82" i="2" s="1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B87" i="2" l="1"/>
  <c r="EX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W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HH99" i="2" s="1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I106" i="2" l="1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EB108" i="2" s="1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W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Q112" i="2" l="1"/>
  <c r="EX112" i="2"/>
  <c r="EC112" i="2"/>
  <c r="EB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FS113" i="2" l="1"/>
  <c r="EX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EX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V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X117" i="2" l="1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FQ118" i="2"/>
  <c r="FS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G119" i="2" s="1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HH120" i="2" s="1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Q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EA121" i="2" s="1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FS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G126" i="2" s="1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HH130" i="2" s="1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EW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W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EV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EB139" i="2" s="1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G140" i="2" s="1"/>
  <c r="HE140" i="2"/>
  <c r="HH140" i="2" s="1"/>
  <c r="FO140" i="2"/>
  <c r="GI140" i="2"/>
  <c r="ES140" i="2"/>
  <c r="DX140" i="2"/>
  <c r="CI140" i="2"/>
  <c r="BM140" i="2"/>
  <c r="GJ140" i="2"/>
  <c r="FN140" i="2"/>
  <c r="DY140" i="2"/>
  <c r="EB140" i="2" s="1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FS140" i="2"/>
  <c r="FR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EB141" i="2" s="1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EC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G144" i="2" s="1"/>
  <c r="HE144" i="2"/>
  <c r="HH144" i="2" s="1"/>
  <c r="FO144" i="2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FR145" i="2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G146" i="2" s="1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EV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X154" i="2" l="1"/>
  <c r="AA154" i="2"/>
  <c r="EV154" i="2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AC154" i="2" l="1"/>
  <c r="DI154" i="2"/>
  <c r="EY154" i="2"/>
  <c r="EW155" i="2"/>
  <c r="EX155" i="2"/>
  <c r="EA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AX152" i="2"/>
  <c r="EB156" i="2" l="1"/>
  <c r="EY155" i="2"/>
  <c r="FS156" i="2"/>
  <c r="EX156" i="2"/>
  <c r="ED155" i="2"/>
  <c r="D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X157" i="2"/>
  <c r="EC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W158" i="2" l="1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ED158" i="2"/>
  <c r="EA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DG160" i="2" l="1"/>
  <c r="FS160" i="2"/>
  <c r="EY159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FS161" i="2" l="1"/>
  <c r="EX161" i="2"/>
  <c r="EA161" i="2"/>
  <c r="ED161" i="2" s="1"/>
  <c r="E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DI161" i="2" l="1"/>
  <c r="EW162" i="2"/>
  <c r="EY161" i="2"/>
  <c r="EC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Y162" i="2" l="1"/>
  <c r="EV163" i="2"/>
  <c r="EA163" i="2"/>
  <c r="FS163" i="2"/>
  <c r="EC163" i="2"/>
  <c r="ED163" i="2" s="1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 l="1"/>
  <c r="EV164" i="2"/>
  <c r="EX164" i="2"/>
  <c r="FR164" i="2"/>
  <c r="FS164" i="2"/>
  <c r="DI163" i="2"/>
  <c r="D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EC165" i="2"/>
  <c r="ED165" i="2" s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FS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C167" i="2" l="1"/>
  <c r="EY166" i="2"/>
  <c r="FR167" i="2"/>
  <c r="EX167" i="2"/>
  <c r="EA167" i="2"/>
  <c r="EB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 l="1"/>
  <c r="EB168" i="2"/>
  <c r="EV168" i="2"/>
  <c r="EW168" i="2"/>
  <c r="DG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FS169" i="2"/>
  <c r="EX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D171" i="2" s="1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A172" i="2" l="1"/>
  <c r="ED172" i="2" s="1"/>
  <c r="EV172" i="2"/>
  <c r="EY171" i="2"/>
  <c r="EW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EB173" i="2" s="1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X173" i="2" l="1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EC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A175" i="2" l="1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FQ177" i="2"/>
  <c r="FS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W178" i="2" l="1"/>
  <c r="FQ178" i="2"/>
  <c r="FS178" i="2"/>
  <c r="EA178" i="2"/>
  <c r="EB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EV179" i="2" l="1"/>
  <c r="DF179" i="2"/>
  <c r="FS179" i="2"/>
  <c r="EX179" i="2"/>
  <c r="AW179" i="2"/>
  <c r="EC179" i="2"/>
  <c r="ED179" i="2" s="1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EX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EW181" i="2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C182" i="2"/>
  <c r="FS182" i="2"/>
  <c r="EX182" i="2"/>
  <c r="EA182" i="2"/>
  <c r="ED182" i="2" s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B183" i="2" l="1"/>
  <c r="EY182" i="2"/>
  <c r="FS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Y184" i="2" l="1"/>
  <c r="EW185" i="2"/>
  <c r="EV185" i="2"/>
  <c r="ED184" i="2"/>
  <c r="EA185" i="2"/>
  <c r="EB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D185" i="2" l="1"/>
  <c r="EW186" i="2"/>
  <c r="FR186" i="2"/>
  <c r="FS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C187" i="2" l="1"/>
  <c r="EY186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FS188" i="2" l="1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EY188" i="2" l="1"/>
  <c r="EV189" i="2"/>
  <c r="EB189" i="2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EB190" i="2" s="1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Y189" i="2" l="1"/>
  <c r="EV190" i="2"/>
  <c r="EW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EW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A192" i="2" l="1"/>
  <c r="EY191" i="2"/>
  <c r="EV192" i="2"/>
  <c r="EW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AX190" i="2"/>
  <c r="EY192" i="2" l="1"/>
  <c r="FQ193" i="2"/>
  <c r="EX193" i="2"/>
  <c r="DI192" i="2"/>
  <c r="FS193" i="2"/>
  <c r="EC193" i="2"/>
  <c r="ED193" i="2" s="1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FQ194" i="2" l="1"/>
  <c r="AW194" i="2"/>
  <c r="DI193" i="2"/>
  <c r="FS194" i="2"/>
  <c r="DF194" i="2"/>
  <c r="EX194" i="2"/>
  <c r="EC194" i="2"/>
  <c r="ED194" i="2" s="1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EY194" i="2" l="1"/>
  <c r="FQ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Y196" i="2" l="1"/>
  <c r="EW197" i="2"/>
  <c r="FS197" i="2"/>
  <c r="EC197" i="2"/>
  <c r="EA197" i="2"/>
  <c r="ED197" i="2" s="1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W198" i="2" l="1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 l="1"/>
  <c r="EV199" i="2"/>
  <c r="EW199" i="2"/>
  <c r="FS199" i="2"/>
  <c r="EA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 l="1"/>
  <c r="EY200" i="2"/>
  <c r="FS201" i="2"/>
  <c r="ED200" i="2"/>
  <c r="EB201" i="2"/>
  <c r="EA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FS202" i="2" l="1"/>
  <c r="ED201" i="2"/>
  <c r="EY201" i="2"/>
  <c r="EW202" i="2"/>
  <c r="EX202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DN155" i="2" a="1"/>
  <c r="DN155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DN123" i="2" a="1"/>
  <c r="DN123" i="2" s="1"/>
  <c r="DN103" i="2" a="1"/>
  <c r="DN103" i="2" s="1"/>
  <c r="DN114" i="2" a="1"/>
  <c r="DN114" i="2" s="1"/>
  <c r="AH90" i="2" a="1"/>
  <c r="AH90" i="2" s="1"/>
  <c r="AH19" i="2" a="1"/>
  <c r="AH19" i="2" s="1"/>
  <c r="AH166" i="2" a="1"/>
  <c r="AH166" i="2" s="1"/>
  <c r="AH62" i="2" a="1"/>
  <c r="AH62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4" i="2" a="1"/>
  <c r="FD64" i="2" s="1"/>
  <c r="FD167" i="2" a="1"/>
  <c r="FD167" i="2" s="1"/>
  <c r="FD160" i="2" a="1"/>
  <c r="FD160" i="2" s="1"/>
  <c r="FD19" i="2" a="1"/>
  <c r="FD19" i="2" s="1"/>
  <c r="FD187" i="2" a="1"/>
  <c r="FD187" i="2" s="1"/>
  <c r="BC55" i="2" a="1"/>
  <c r="BC55" i="2" s="1"/>
  <c r="BC32" i="2" a="1"/>
  <c r="BC32" i="2" s="1"/>
  <c r="BC31" i="2" a="1"/>
  <c r="BC31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DN168" i="2" a="1"/>
  <c r="DN168" i="2" s="1"/>
  <c r="DN80" i="2" a="1"/>
  <c r="DN80" i="2" s="1"/>
  <c r="CS56" i="2" a="1"/>
  <c r="CS56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BX107" i="2" a="1"/>
  <c r="BX107" i="2" s="1"/>
  <c r="FD82" i="2" a="1"/>
  <c r="FD82" i="2" s="1"/>
  <c r="DN187" i="2" a="1"/>
  <c r="DN187" i="2" s="1"/>
  <c r="HJ202" i="2"/>
  <c r="AX200" i="2"/>
  <c r="FD159" i="2" l="1" a="1"/>
  <c r="FD159" i="2" s="1"/>
  <c r="FD107" i="2" a="1"/>
  <c r="FD107" i="2" s="1"/>
  <c r="FD194" i="2" a="1"/>
  <c r="FD194" i="2" s="1"/>
  <c r="FD14" i="2" a="1"/>
  <c r="FD14" i="2" s="1"/>
  <c r="FD44" i="2" a="1"/>
  <c r="FD44" i="2" s="1"/>
  <c r="FD137" i="2" a="1"/>
  <c r="FD137" i="2" s="1"/>
  <c r="FD131" i="2" a="1"/>
  <c r="FD131" i="2" s="1"/>
  <c r="FD188" i="2" a="1"/>
  <c r="FD188" i="2" s="1"/>
  <c r="FD189" i="2" a="1"/>
  <c r="FD189" i="2" s="1"/>
  <c r="FD60" i="2" a="1"/>
  <c r="FD60" i="2" s="1"/>
  <c r="FD43" i="2" a="1"/>
  <c r="FD43" i="2" s="1"/>
  <c r="FD48" i="2" a="1"/>
  <c r="FD48" i="2" s="1"/>
  <c r="FD59" i="2" a="1"/>
  <c r="FD59" i="2" s="1"/>
  <c r="FD21" i="2" a="1"/>
  <c r="FD21" i="2" s="1"/>
  <c r="FD144" i="2" a="1"/>
  <c r="FD144" i="2" s="1"/>
  <c r="FS203" i="2"/>
  <c r="FR203" i="2"/>
  <c r="BC181" i="2" a="1"/>
  <c r="BC181" i="2" s="1"/>
  <c r="BC185" i="2" a="1"/>
  <c r="BC185" i="2" s="1"/>
  <c r="BC143" i="2" a="1"/>
  <c r="BC143" i="2" s="1"/>
  <c r="BC84" i="2" a="1"/>
  <c r="BC84" i="2" s="1"/>
  <c r="BC114" i="2" a="1"/>
  <c r="BC114" i="2" s="1"/>
  <c r="BC47" i="2" a="1"/>
  <c r="BC47" i="2" s="1"/>
  <c r="BC164" i="2" a="1"/>
  <c r="BC164" i="2" s="1"/>
  <c r="BC192" i="2" a="1"/>
  <c r="BC192" i="2" s="1"/>
  <c r="BC130" i="2" a="1"/>
  <c r="BC130" i="2" s="1"/>
  <c r="CS72" i="2" a="1"/>
  <c r="CS72" i="2" s="1"/>
  <c r="CS161" i="2" a="1"/>
  <c r="CS161" i="2" s="1"/>
  <c r="CS114" i="2" a="1"/>
  <c r="CS114" i="2" s="1"/>
  <c r="CS134" i="2" a="1"/>
  <c r="CS134" i="2" s="1"/>
  <c r="CS105" i="2" a="1"/>
  <c r="CS105" i="2" s="1"/>
  <c r="CS137" i="2" a="1"/>
  <c r="CS137" i="2" s="1"/>
  <c r="CS120" i="2" a="1"/>
  <c r="CS120" i="2" s="1"/>
  <c r="CS24" i="2" a="1"/>
  <c r="CS24" i="2" s="1"/>
  <c r="CS185" i="2" a="1"/>
  <c r="CS185" i="2" s="1"/>
  <c r="CS66" i="2" a="1"/>
  <c r="CS66" i="2" s="1"/>
  <c r="CS116" i="2" a="1"/>
  <c r="CS116" i="2" s="1"/>
  <c r="CS77" i="2" a="1"/>
  <c r="CS77" i="2" s="1"/>
  <c r="CS38" i="2" a="1"/>
  <c r="CS38" i="2" s="1"/>
  <c r="CS52" i="2" a="1"/>
  <c r="CS52" i="2" s="1"/>
  <c r="CS129" i="2" a="1"/>
  <c r="CS129" i="2" s="1"/>
  <c r="BC126" i="2" a="1"/>
  <c r="BC126" i="2" s="1"/>
  <c r="BC68" i="2" a="1"/>
  <c r="BC68" i="2" s="1"/>
  <c r="BC82" i="2" a="1"/>
  <c r="BC82" i="2" s="1"/>
  <c r="BC58" i="2" a="1"/>
  <c r="BC58" i="2" s="1"/>
  <c r="BC34" i="2" a="1"/>
  <c r="BC34" i="2" s="1"/>
  <c r="BC65" i="2" a="1"/>
  <c r="BC65" i="2" s="1"/>
  <c r="EI165" i="2" a="1"/>
  <c r="EI165" i="2" s="1"/>
  <c r="EI34" i="2" a="1"/>
  <c r="EI34" i="2" s="1"/>
  <c r="EI106" i="2" a="1"/>
  <c r="EI106" i="2" s="1"/>
  <c r="EI153" i="2" a="1"/>
  <c r="EI153" i="2" s="1"/>
  <c r="EI35" i="2" a="1"/>
  <c r="EI35" i="2" s="1"/>
  <c r="EI139" i="2" a="1"/>
  <c r="EI139" i="2" s="1"/>
  <c r="EI170" i="2" a="1"/>
  <c r="EI170" i="2" s="1"/>
  <c r="EI37" i="2" a="1"/>
  <c r="EI37" i="2" s="1"/>
  <c r="EI20" i="2" a="1"/>
  <c r="EI20" i="2" s="1"/>
  <c r="EI38" i="2" a="1"/>
  <c r="EI38" i="2" s="1"/>
  <c r="EI195" i="2" a="1"/>
  <c r="EI195" i="2" s="1"/>
  <c r="EI29" i="2" a="1"/>
  <c r="EI29" i="2" s="1"/>
  <c r="EI67" i="2" a="1"/>
  <c r="EI67" i="2" s="1"/>
  <c r="EI71" i="2" a="1"/>
  <c r="EI71" i="2" s="1"/>
  <c r="EI142" i="2" a="1"/>
  <c r="EI142" i="2" s="1"/>
  <c r="EI166" i="2" a="1"/>
  <c r="EI166" i="2" s="1"/>
  <c r="EI178" i="2" a="1"/>
  <c r="EI178" i="2" s="1"/>
  <c r="EI16" i="2" a="1"/>
  <c r="EI16" i="2" s="1"/>
  <c r="EI36" i="2" a="1"/>
  <c r="EI36" i="2" s="1"/>
  <c r="EI145" i="2" a="1"/>
  <c r="EI145" i="2" s="1"/>
  <c r="EI57" i="2" a="1"/>
  <c r="EI57" i="2" s="1"/>
  <c r="EI113" i="2" a="1"/>
  <c r="EI113" i="2" s="1"/>
  <c r="EI87" i="2" a="1"/>
  <c r="EI87" i="2" s="1"/>
  <c r="EI162" i="2" a="1"/>
  <c r="EI162" i="2" s="1"/>
  <c r="EI198" i="2" a="1"/>
  <c r="EI198" i="2" s="1"/>
  <c r="EI128" i="2" a="1"/>
  <c r="EI128" i="2" s="1"/>
  <c r="EI109" i="2" a="1"/>
  <c r="EI109" i="2" s="1"/>
  <c r="EI150" i="2" a="1"/>
  <c r="EI150" i="2" s="1"/>
  <c r="EY202" i="2"/>
  <c r="AH151" i="2" a="1"/>
  <c r="AH151" i="2" s="1"/>
  <c r="AH199" i="2" a="1"/>
  <c r="AH199" i="2" s="1"/>
  <c r="AH92" i="2" a="1"/>
  <c r="AH92" i="2" s="1"/>
  <c r="AH163" i="2" a="1"/>
  <c r="AH163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CN203" i="2" s="1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T203" i="2" l="1"/>
  <c r="DI203" i="2"/>
  <c r="EY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J66" i="2" l="1"/>
  <c r="FJ115" i="2"/>
  <c r="FJ50" i="2"/>
  <c r="FJ7" i="2"/>
  <c r="FJ16" i="2"/>
  <c r="FJ178" i="2"/>
  <c r="FJ133" i="2"/>
  <c r="FJ94" i="2"/>
  <c r="FJ167" i="2"/>
  <c r="FJ51" i="2"/>
  <c r="FJ168" i="2"/>
  <c r="FJ22" i="2"/>
  <c r="FJ54" i="2"/>
  <c r="FJ11" i="2"/>
  <c r="FJ162" i="2"/>
  <c r="FJ68" i="2"/>
  <c r="FJ125" i="2"/>
  <c r="FJ95" i="2"/>
  <c r="FJ63" i="2"/>
  <c r="FJ79" i="2"/>
  <c r="FJ77" i="2"/>
  <c r="FJ32" i="2"/>
  <c r="FJ189" i="2"/>
  <c r="FJ197" i="2"/>
  <c r="FJ155" i="2"/>
  <c r="FJ102" i="2"/>
  <c r="FJ136" i="2"/>
  <c r="FJ141" i="2"/>
  <c r="FJ91" i="2"/>
  <c r="FJ9" i="2"/>
  <c r="FJ58" i="2"/>
  <c r="FJ185" i="2"/>
  <c r="FJ93" i="2"/>
  <c r="FJ52" i="2"/>
  <c r="FJ166" i="2"/>
  <c r="FJ44" i="2"/>
  <c r="FJ176" i="2"/>
  <c r="FJ145" i="2"/>
  <c r="FJ123" i="2"/>
  <c r="FJ72" i="2"/>
  <c r="FJ114" i="2"/>
  <c r="FJ101" i="2"/>
  <c r="FJ202" i="2"/>
  <c r="FJ42" i="2"/>
  <c r="FJ35" i="2"/>
  <c r="FJ111" i="2"/>
  <c r="FJ118" i="2"/>
  <c r="FJ193" i="2"/>
  <c r="FJ139" i="2"/>
  <c r="FJ192" i="2"/>
  <c r="FJ149" i="2"/>
  <c r="FJ172" i="2"/>
  <c r="FJ100" i="2"/>
  <c r="FJ161" i="2"/>
  <c r="FJ55" i="2"/>
  <c r="FJ119" i="2"/>
  <c r="FJ49" i="2"/>
  <c r="FJ199" i="2"/>
  <c r="FJ34" i="2"/>
  <c r="FJ76" i="2"/>
  <c r="FJ156" i="2"/>
  <c r="FJ46" i="2"/>
  <c r="FJ41" i="2"/>
  <c r="FJ144" i="2"/>
  <c r="FJ180" i="2"/>
  <c r="FJ86" i="2"/>
  <c r="FJ110" i="2"/>
  <c r="FJ40" i="2"/>
  <c r="FJ124" i="2"/>
  <c r="FJ61" i="2"/>
  <c r="FJ85" i="2"/>
  <c r="FJ18" i="2"/>
  <c r="FJ122" i="2"/>
  <c r="FJ137" i="2"/>
  <c r="FJ78" i="2"/>
  <c r="FJ92" i="2"/>
  <c r="FJ25" i="2"/>
  <c r="FJ135" i="2"/>
  <c r="FJ83" i="2"/>
  <c r="FJ98" i="2"/>
  <c r="FJ108" i="2"/>
  <c r="FJ200" i="2"/>
  <c r="FJ109" i="2"/>
  <c r="FJ158" i="2"/>
  <c r="FJ116" i="2"/>
  <c r="FJ36" i="2"/>
  <c r="FJ73" i="2"/>
  <c r="FJ164" i="2"/>
  <c r="FJ90" i="2"/>
  <c r="FJ89" i="2"/>
  <c r="FJ151" i="2"/>
  <c r="FJ198" i="2"/>
  <c r="FJ175" i="2"/>
  <c r="FJ59" i="2"/>
  <c r="FJ104" i="2"/>
  <c r="FJ126" i="2"/>
  <c r="FJ4" i="2"/>
  <c r="FJ5" i="2"/>
  <c r="FJ27" i="2"/>
  <c r="FJ30" i="2"/>
  <c r="FJ39" i="2"/>
  <c r="FJ153" i="2"/>
  <c r="FJ177" i="2"/>
  <c r="FJ47" i="2"/>
  <c r="FJ62" i="2"/>
  <c r="FJ184" i="2"/>
  <c r="FJ88" i="2"/>
  <c r="FJ134" i="2"/>
  <c r="FJ82" i="2"/>
  <c r="FJ10" i="2"/>
  <c r="FJ106" i="2"/>
  <c r="FJ179" i="2"/>
  <c r="FJ23" i="2"/>
  <c r="FJ24" i="2"/>
  <c r="FJ154" i="2"/>
  <c r="FJ70" i="2"/>
  <c r="FJ38" i="2"/>
  <c r="FJ21" i="2"/>
  <c r="FJ150" i="2"/>
  <c r="FJ64" i="2"/>
  <c r="FJ190" i="2"/>
  <c r="FJ99" i="2"/>
  <c r="FJ187" i="2"/>
  <c r="FJ31" i="2"/>
  <c r="FJ128" i="2"/>
  <c r="FJ8" i="2"/>
  <c r="FJ147" i="2"/>
  <c r="FJ146" i="2"/>
  <c r="FJ28" i="2"/>
  <c r="FJ152" i="2"/>
  <c r="FJ173" i="2"/>
  <c r="FJ15" i="2"/>
  <c r="FJ131" i="2"/>
  <c r="FJ182" i="2"/>
  <c r="FJ159" i="2"/>
  <c r="FJ105" i="2"/>
  <c r="FJ186" i="2"/>
  <c r="FJ129" i="2"/>
  <c r="FJ6" i="2"/>
  <c r="FJ71" i="2"/>
  <c r="FJ112" i="2"/>
  <c r="FJ20" i="2"/>
  <c r="FJ12" i="2"/>
  <c r="FJ138" i="2"/>
  <c r="FJ188" i="2"/>
  <c r="FJ157" i="2"/>
  <c r="FJ57" i="2"/>
  <c r="FJ142" i="2"/>
  <c r="FJ120" i="2"/>
  <c r="FJ160" i="2"/>
  <c r="FJ148" i="2"/>
  <c r="FJ69" i="2"/>
  <c r="FJ127" i="2"/>
  <c r="FJ33" i="2"/>
  <c r="FJ97" i="2"/>
  <c r="FJ132" i="2"/>
  <c r="FJ48" i="2"/>
  <c r="FJ80" i="2"/>
  <c r="FJ17" i="2"/>
  <c r="FJ194" i="2"/>
  <c r="FJ3" i="2"/>
  <c r="C13" i="4" s="1"/>
  <c r="E13" i="4" s="1"/>
  <c r="F13" i="4" s="1"/>
  <c r="G13" i="4" s="1"/>
  <c r="L13" i="4" s="1"/>
  <c r="FJ107" i="2"/>
  <c r="FJ84" i="2"/>
  <c r="FJ203" i="2"/>
  <c r="FJ96" i="2"/>
  <c r="FJ53" i="2"/>
  <c r="FJ196" i="2"/>
  <c r="FJ174" i="2"/>
  <c r="FJ113" i="2"/>
  <c r="FJ181" i="2"/>
  <c r="FJ191" i="2"/>
  <c r="FJ14" i="2"/>
  <c r="FJ75" i="2"/>
  <c r="FJ130" i="2"/>
  <c r="FJ201" i="2"/>
  <c r="FJ163" i="2"/>
  <c r="FJ81" i="2"/>
  <c r="FJ165" i="2"/>
  <c r="FJ140" i="2"/>
  <c r="FJ45" i="2"/>
  <c r="FJ26" i="2"/>
  <c r="FJ169" i="2"/>
  <c r="FJ67" i="2"/>
  <c r="FJ117" i="2"/>
  <c r="FJ60" i="2"/>
  <c r="FJ43" i="2"/>
  <c r="FJ29" i="2"/>
  <c r="FJ143" i="2"/>
  <c r="FJ37" i="2"/>
  <c r="FJ195" i="2"/>
  <c r="FJ170" i="2"/>
  <c r="FJ103" i="2"/>
  <c r="FJ19" i="2"/>
  <c r="FJ56" i="2"/>
  <c r="FJ74" i="2"/>
  <c r="FJ13" i="2"/>
  <c r="FJ87" i="2"/>
  <c r="FJ121" i="2"/>
  <c r="FJ183" i="2"/>
  <c r="FJ65" i="2"/>
  <c r="FJ171" i="2"/>
  <c r="FE115" i="2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CY24" i="2" l="1"/>
  <c r="CY167" i="2"/>
  <c r="CY49" i="2"/>
  <c r="CY175" i="2"/>
  <c r="CY19" i="2"/>
  <c r="CY117" i="2"/>
  <c r="CY124" i="2"/>
  <c r="CY76" i="2"/>
  <c r="CY178" i="2"/>
  <c r="CY142" i="2"/>
  <c r="CY73" i="2"/>
  <c r="CY111" i="2"/>
  <c r="CY182" i="2"/>
  <c r="CY20" i="2"/>
  <c r="CY150" i="2"/>
  <c r="CY56" i="2"/>
  <c r="CY187" i="2"/>
  <c r="CY64" i="2"/>
  <c r="CY183" i="2"/>
  <c r="CY157" i="2"/>
  <c r="CY138" i="2"/>
  <c r="CY171" i="2"/>
  <c r="CY193" i="2"/>
  <c r="CY180" i="2"/>
  <c r="CY130" i="2"/>
  <c r="CY52" i="2"/>
  <c r="CY85" i="2"/>
  <c r="CY172" i="2"/>
  <c r="CY113" i="2"/>
  <c r="CY145" i="2"/>
  <c r="CY63" i="2"/>
  <c r="CY55" i="2"/>
  <c r="CY129" i="2"/>
  <c r="CY59" i="2"/>
  <c r="CY38" i="2"/>
  <c r="CY10" i="2"/>
  <c r="CY156" i="2"/>
  <c r="CY108" i="2"/>
  <c r="CY23" i="2"/>
  <c r="CY15" i="2"/>
  <c r="CY134" i="2"/>
  <c r="CY82" i="2"/>
  <c r="CY149" i="2"/>
  <c r="CY66" i="2"/>
  <c r="CY98" i="2"/>
  <c r="CY45" i="2"/>
  <c r="CY135" i="2"/>
  <c r="CY92" i="2"/>
  <c r="CY139" i="2"/>
  <c r="CY41" i="2"/>
  <c r="CY143" i="2"/>
  <c r="CY203" i="2"/>
  <c r="CY202" i="2"/>
  <c r="CY81" i="2"/>
  <c r="CY13" i="2"/>
  <c r="CY114" i="2"/>
  <c r="CY140" i="2"/>
  <c r="CY122" i="2"/>
  <c r="CY34" i="2"/>
  <c r="CY191" i="2"/>
  <c r="CY190" i="2"/>
  <c r="CY51" i="2"/>
  <c r="CY199" i="2"/>
  <c r="CY9" i="2"/>
  <c r="CY75" i="2"/>
  <c r="CY158" i="2"/>
  <c r="CY7" i="2"/>
  <c r="CY30" i="2"/>
  <c r="CY176" i="2"/>
  <c r="CY14" i="2"/>
  <c r="CY86" i="2"/>
  <c r="CY54" i="2"/>
  <c r="CY169" i="2"/>
  <c r="CY155" i="2"/>
  <c r="CY95" i="2"/>
  <c r="CY89" i="2"/>
  <c r="CY25" i="2"/>
  <c r="CY36" i="2"/>
  <c r="CY26" i="2"/>
  <c r="CY118" i="2"/>
  <c r="CY125" i="2"/>
  <c r="CY97" i="2"/>
  <c r="CY62" i="2"/>
  <c r="CY29" i="2"/>
  <c r="CY17" i="2"/>
  <c r="CY165" i="2"/>
  <c r="CY18" i="2"/>
  <c r="CY177" i="2"/>
  <c r="CY39" i="2"/>
  <c r="CY53" i="2"/>
  <c r="CY61" i="2"/>
  <c r="CY40" i="2"/>
  <c r="CY22" i="2"/>
  <c r="CY184" i="2"/>
  <c r="CY196" i="2"/>
  <c r="CY96" i="2"/>
  <c r="CY6" i="2"/>
  <c r="CY5" i="2"/>
  <c r="CY87" i="2"/>
  <c r="CY141" i="2"/>
  <c r="CY28" i="2"/>
  <c r="CY161" i="2"/>
  <c r="CY164" i="2"/>
  <c r="CY43" i="2"/>
  <c r="CY144" i="2"/>
  <c r="CY173" i="2"/>
  <c r="CY137" i="2"/>
  <c r="CY31" i="2"/>
  <c r="CY65" i="2"/>
  <c r="CY120" i="2"/>
  <c r="CY119" i="2"/>
  <c r="CY88" i="2"/>
  <c r="CY8" i="2"/>
  <c r="CY179" i="2"/>
  <c r="CY181" i="2"/>
  <c r="CY197" i="2"/>
  <c r="CY110" i="2"/>
  <c r="CY170" i="2"/>
  <c r="CY189" i="2"/>
  <c r="CY148" i="2"/>
  <c r="CY131" i="2"/>
  <c r="CY166" i="2"/>
  <c r="CY106" i="2"/>
  <c r="CY105" i="2"/>
  <c r="CY16" i="2"/>
  <c r="CY112" i="2"/>
  <c r="CY101" i="2"/>
  <c r="CY12" i="2"/>
  <c r="CY21" i="2"/>
  <c r="CY70" i="2"/>
  <c r="CY83" i="2"/>
  <c r="CY44" i="2"/>
  <c r="CY79" i="2"/>
  <c r="CY72" i="2"/>
  <c r="CY84" i="2"/>
  <c r="CY103" i="2"/>
  <c r="CY160" i="2"/>
  <c r="CY185" i="2"/>
  <c r="CY80" i="2"/>
  <c r="CY107" i="2"/>
  <c r="CY4" i="2"/>
  <c r="CY74" i="2"/>
  <c r="CY152" i="2"/>
  <c r="CY93" i="2"/>
  <c r="CY162" i="2"/>
  <c r="CY33" i="2"/>
  <c r="CY146" i="2"/>
  <c r="CY3" i="2"/>
  <c r="C10" i="4" s="1"/>
  <c r="E10" i="4" s="1"/>
  <c r="F10" i="4" s="1"/>
  <c r="G10" i="4" s="1"/>
  <c r="L10" i="4" s="1"/>
  <c r="CY163" i="2"/>
  <c r="CY94" i="2"/>
  <c r="CY77" i="2"/>
  <c r="CY47" i="2"/>
  <c r="CY71" i="2"/>
  <c r="CY151" i="2"/>
  <c r="CY58" i="2"/>
  <c r="CY195" i="2"/>
  <c r="CY48" i="2"/>
  <c r="CY32" i="2"/>
  <c r="CY188" i="2"/>
  <c r="CY90" i="2"/>
  <c r="CY67" i="2"/>
  <c r="CY42" i="2"/>
  <c r="CY68" i="2"/>
  <c r="CY168" i="2"/>
  <c r="CY136" i="2"/>
  <c r="CY200" i="2"/>
  <c r="CY186" i="2"/>
  <c r="CY133" i="2"/>
  <c r="CY198" i="2"/>
  <c r="CY50" i="2"/>
  <c r="CY194" i="2"/>
  <c r="CY201" i="2"/>
  <c r="CY46" i="2"/>
  <c r="CY153" i="2"/>
  <c r="CY35" i="2"/>
  <c r="CY78" i="2"/>
  <c r="CY57" i="2"/>
  <c r="CY123" i="2"/>
  <c r="CY37" i="2"/>
  <c r="CY121" i="2"/>
  <c r="CY126" i="2"/>
  <c r="CY99" i="2"/>
  <c r="CY128" i="2"/>
  <c r="CY91" i="2"/>
  <c r="CY69" i="2"/>
  <c r="CY27" i="2"/>
  <c r="CY104" i="2"/>
  <c r="CY109" i="2"/>
  <c r="CY60" i="2"/>
  <c r="CY100" i="2"/>
  <c r="CY154" i="2"/>
  <c r="CY116" i="2"/>
  <c r="CY132" i="2"/>
  <c r="CY192" i="2"/>
  <c r="CY115" i="2"/>
  <c r="CY127" i="2"/>
  <c r="CY102" i="2"/>
  <c r="CY11" i="2"/>
  <c r="CY159" i="2"/>
  <c r="CY174" i="2"/>
  <c r="CY147" i="2"/>
  <c r="FE125" i="2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DT186" i="2" l="1"/>
  <c r="DT158" i="2"/>
  <c r="DT30" i="2"/>
  <c r="DT157" i="2"/>
  <c r="DT57" i="2"/>
  <c r="DT168" i="2"/>
  <c r="DT179" i="2"/>
  <c r="DT185" i="2"/>
  <c r="DT99" i="2"/>
  <c r="DT118" i="2"/>
  <c r="DT15" i="2"/>
  <c r="DT91" i="2"/>
  <c r="DT42" i="2"/>
  <c r="DT34" i="2"/>
  <c r="DT41" i="2"/>
  <c r="DT3" i="2"/>
  <c r="C11" i="4" s="1"/>
  <c r="E11" i="4" s="1"/>
  <c r="F11" i="4" s="1"/>
  <c r="G11" i="4" s="1"/>
  <c r="L11" i="4" s="1"/>
  <c r="DT169" i="2"/>
  <c r="DT101" i="2"/>
  <c r="DT161" i="2"/>
  <c r="DT27" i="2"/>
  <c r="DT167" i="2"/>
  <c r="DT43" i="2"/>
  <c r="DT160" i="2"/>
  <c r="DT184" i="2"/>
  <c r="DT31" i="2"/>
  <c r="DT142" i="2"/>
  <c r="DT199" i="2"/>
  <c r="DT166" i="2"/>
  <c r="DT61" i="2"/>
  <c r="DT150" i="2"/>
  <c r="DT96" i="2"/>
  <c r="DT32" i="2"/>
  <c r="DT60" i="2"/>
  <c r="DT94" i="2"/>
  <c r="DT180" i="2"/>
  <c r="DT74" i="2"/>
  <c r="DT125" i="2"/>
  <c r="DT49" i="2"/>
  <c r="DT7" i="2"/>
  <c r="DT159" i="2"/>
  <c r="DT192" i="2"/>
  <c r="DT59" i="2"/>
  <c r="DT162" i="2"/>
  <c r="DT177" i="2"/>
  <c r="DT147" i="2"/>
  <c r="DT163" i="2"/>
  <c r="DT146" i="2"/>
  <c r="DT120" i="2"/>
  <c r="DT65" i="2"/>
  <c r="DT106" i="2"/>
  <c r="DT10" i="2"/>
  <c r="DT8" i="2"/>
  <c r="DT113" i="2"/>
  <c r="DT55" i="2"/>
  <c r="DT89" i="2"/>
  <c r="DT97" i="2"/>
  <c r="DT68" i="2"/>
  <c r="DT11" i="2"/>
  <c r="DT71" i="2"/>
  <c r="DT174" i="2"/>
  <c r="DT33" i="2"/>
  <c r="DT47" i="2"/>
  <c r="DT54" i="2"/>
  <c r="DT128" i="2"/>
  <c r="DT5" i="2"/>
  <c r="DT79" i="2"/>
  <c r="DT116" i="2"/>
  <c r="DT36" i="2"/>
  <c r="DT88" i="2"/>
  <c r="DT181" i="2"/>
  <c r="DT20" i="2"/>
  <c r="DT77" i="2"/>
  <c r="DT130" i="2"/>
  <c r="DT140" i="2"/>
  <c r="DT122" i="2"/>
  <c r="DT173" i="2"/>
  <c r="DT107" i="2"/>
  <c r="DT87" i="2"/>
  <c r="DT12" i="2"/>
  <c r="DT84" i="2"/>
  <c r="DT134" i="2"/>
  <c r="DT93" i="2"/>
  <c r="DT170" i="2"/>
  <c r="DT17" i="2"/>
  <c r="DT75" i="2"/>
  <c r="DT133" i="2"/>
  <c r="DT135" i="2"/>
  <c r="DT123" i="2"/>
  <c r="DT69" i="2"/>
  <c r="DT196" i="2"/>
  <c r="DT138" i="2"/>
  <c r="DT18" i="2"/>
  <c r="DT136" i="2"/>
  <c r="DT9" i="2"/>
  <c r="DT46" i="2"/>
  <c r="DT115" i="2"/>
  <c r="DT45" i="2"/>
  <c r="DT37" i="2"/>
  <c r="DT104" i="2"/>
  <c r="DT72" i="2"/>
  <c r="DT183" i="2"/>
  <c r="DT98" i="2"/>
  <c r="DT44" i="2"/>
  <c r="DT126" i="2"/>
  <c r="DT117" i="2"/>
  <c r="DT81" i="2"/>
  <c r="DT21" i="2"/>
  <c r="DT16" i="2"/>
  <c r="DT24" i="2"/>
  <c r="DT13" i="2"/>
  <c r="DT58" i="2"/>
  <c r="DT193" i="2"/>
  <c r="DT119" i="2"/>
  <c r="DT164" i="2"/>
  <c r="DT90" i="2"/>
  <c r="DT26" i="2"/>
  <c r="DT25" i="2"/>
  <c r="DT4" i="2"/>
  <c r="DT198" i="2"/>
  <c r="DT83" i="2"/>
  <c r="DT6" i="2"/>
  <c r="DT155" i="2"/>
  <c r="DT35" i="2"/>
  <c r="DT80" i="2"/>
  <c r="DT203" i="2"/>
  <c r="DT85" i="2"/>
  <c r="DT66" i="2"/>
  <c r="DT112" i="2"/>
  <c r="DT188" i="2"/>
  <c r="DT149" i="2"/>
  <c r="DT182" i="2"/>
  <c r="DT154" i="2"/>
  <c r="DT103" i="2"/>
  <c r="DT67" i="2"/>
  <c r="DT23" i="2"/>
  <c r="DT202" i="2"/>
  <c r="DT50" i="2"/>
  <c r="DT48" i="2"/>
  <c r="DT105" i="2"/>
  <c r="DT137" i="2"/>
  <c r="DT176" i="2"/>
  <c r="DT129" i="2"/>
  <c r="DT38" i="2"/>
  <c r="DT63" i="2"/>
  <c r="DT194" i="2"/>
  <c r="DT76" i="2"/>
  <c r="DT78" i="2"/>
  <c r="DT171" i="2"/>
  <c r="DT62" i="2"/>
  <c r="DT187" i="2"/>
  <c r="DT19" i="2"/>
  <c r="DT144" i="2"/>
  <c r="DT51" i="2"/>
  <c r="DT108" i="2"/>
  <c r="DT14" i="2"/>
  <c r="DT195" i="2"/>
  <c r="DT64" i="2"/>
  <c r="DT40" i="2"/>
  <c r="DT114" i="2"/>
  <c r="DT124" i="2"/>
  <c r="DT73" i="2"/>
  <c r="DT56" i="2"/>
  <c r="DT100" i="2"/>
  <c r="DT139" i="2"/>
  <c r="DT200" i="2"/>
  <c r="DT153" i="2"/>
  <c r="DT92" i="2"/>
  <c r="DT95" i="2"/>
  <c r="DT156" i="2"/>
  <c r="DT189" i="2"/>
  <c r="DT28" i="2"/>
  <c r="DT53" i="2"/>
  <c r="DT39" i="2"/>
  <c r="DT178" i="2"/>
  <c r="DT70" i="2"/>
  <c r="DT190" i="2"/>
  <c r="DT197" i="2"/>
  <c r="DT201" i="2"/>
  <c r="DT145" i="2"/>
  <c r="DT172" i="2"/>
  <c r="DT52" i="2"/>
  <c r="DT143" i="2"/>
  <c r="DT131" i="2"/>
  <c r="DT102" i="2"/>
  <c r="DT175" i="2"/>
  <c r="DT111" i="2"/>
  <c r="DT151" i="2"/>
  <c r="DT132" i="2"/>
  <c r="DT110" i="2"/>
  <c r="DT191" i="2"/>
  <c r="DT148" i="2"/>
  <c r="DT86" i="2"/>
  <c r="DT127" i="2"/>
  <c r="DT141" i="2"/>
  <c r="DT82" i="2"/>
  <c r="DT152" i="2"/>
  <c r="DT109" i="2"/>
  <c r="DT121" i="2"/>
  <c r="DT165" i="2"/>
  <c r="DT29" i="2"/>
  <c r="DT22" i="2"/>
  <c r="FE155" i="2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<sst xmlns="http://schemas.openxmlformats.org/spreadsheetml/2006/main" count="1177" uniqueCount="324">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</sst>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2.8409897721730037</c:v>
                </c:pt>
                <c:pt idx="2">
                  <c:v>3.4936137767656628</c:v>
                </c:pt>
                <c:pt idx="3">
                  <c:v>4.2967268910058536</c:v>
                </c:pt>
                <c:pt idx="4">
                  <c:v>5.2851544779514645</c:v>
                </c:pt>
                <c:pt idx="5">
                  <c:v>6.5018078390654601</c:v>
                </c:pt>
                <c:pt idx="6">
                  <c:v>7.9995674433027766</c:v>
                </c:pt>
                <c:pt idx="7">
                  <c:v>9.8436060094228282</c:v>
                </c:pt>
                <c:pt idx="8">
                  <c:v>12.11425444224588</c:v>
                </c:pt>
                <c:pt idx="9">
                  <c:v>14.910537800434229</c:v>
                </c:pt>
                <c:pt idx="10">
                  <c:v>18.354538337341264</c:v>
                </c:pt>
                <c:pt idx="11">
                  <c:v>22.596779547894098</c:v>
                </c:pt>
                <c:pt idx="12">
                  <c:v>27.822870730174767</c:v>
                </c:pt>
                <c:pt idx="13">
                  <c:v>34.261707878436859</c:v>
                </c:pt>
                <c:pt idx="14">
                  <c:v>42.195596296668306</c:v>
                </c:pt>
                <c:pt idx="15">
                  <c:v>51.972746288714539</c:v>
                </c:pt>
                <c:pt idx="16">
                  <c:v>64.022699512524582</c:v>
                </c:pt>
                <c:pt idx="17">
                  <c:v>78.875374867413711</c:v>
                </c:pt>
                <c:pt idx="18">
                  <c:v>97.184585031159045</c:v>
                </c:pt>
                <c:pt idx="19">
                  <c:v>119.75707529474329</c:v>
                </c:pt>
                <c:pt idx="20">
                  <c:v>147.58838420434714</c:v>
                </c:pt>
                <c:pt idx="21">
                  <c:v>161.75563241829539</c:v>
                </c:pt>
                <c:pt idx="22">
                  <c:v>175.89351283227515</c:v>
                </c:pt>
                <c:pt idx="23">
                  <c:v>190.00471981377623</c:v>
                </c:pt>
                <c:pt idx="24">
                  <c:v>204.09151430529414</c:v>
                </c:pt>
                <c:pt idx="25">
                  <c:v>218.15581931274576</c:v>
                </c:pt>
                <c:pt idx="26">
                  <c:v>169.613452288893</c:v>
                </c:pt>
                <c:pt idx="27">
                  <c:v>187.65460373716556</c:v>
                </c:pt>
                <c:pt idx="28">
                  <c:v>205.65529308794461</c:v>
                </c:pt>
                <c:pt idx="29">
                  <c:v>223.61956111075639</c:v>
                </c:pt>
                <c:pt idx="30">
                  <c:v>241.55074565033269</c:v>
                </c:pt>
                <c:pt idx="31">
                  <c:v>262.56193918616879</c:v>
                </c:pt>
                <c:pt idx="32">
                  <c:v>283.53519379457339</c:v>
                </c:pt>
                <c:pt idx="33">
                  <c:v>304.47370954373434</c:v>
                </c:pt>
                <c:pt idx="34">
                  <c:v>325.38021038250321</c:v>
                </c:pt>
                <c:pt idx="35">
                  <c:v>346.25704166537042</c:v>
                </c:pt>
                <c:pt idx="36">
                  <c:v>259.45164815796994</c:v>
                </c:pt>
                <c:pt idx="37">
                  <c:v>281.20660167429202</c:v>
                </c:pt>
                <c:pt idx="38">
                  <c:v>302.92383728372175</c:v>
                </c:pt>
                <c:pt idx="39">
                  <c:v>324.60643807826506</c:v>
                </c:pt>
                <c:pt idx="40">
                  <c:v>346.25704166537042</c:v>
                </c:pt>
                <c:pt idx="41">
                  <c:v>368.2637587173711</c:v>
                </c:pt>
                <c:pt idx="42">
                  <c:v>390.24178515868516</c:v>
                </c:pt>
                <c:pt idx="43">
                  <c:v>412.19296293548695</c:v>
                </c:pt>
                <c:pt idx="44">
                  <c:v>434.11892190865478</c:v>
                </c:pt>
                <c:pt idx="45">
                  <c:v>456.02111397099458</c:v>
                </c:pt>
                <c:pt idx="46">
                  <c:v>369.42119511414563</c:v>
                </c:pt>
                <c:pt idx="47">
                  <c:v>390.62711987432004</c:v>
                </c:pt>
                <c:pt idx="48">
                  <c:v>411.8080763786877</c:v>
                </c:pt>
                <c:pt idx="49">
                  <c:v>432.96552861089231</c:v>
                </c:pt>
                <c:pt idx="50">
                  <c:v>454.10078588624395</c:v>
                </c:pt>
                <c:pt idx="51">
                  <c:v>473.68012971962668</c:v>
                </c:pt>
                <c:pt idx="52">
                  <c:v>493.24225474849794</c:v>
                </c:pt>
                <c:pt idx="53">
                  <c:v>512.78793950323291</c:v>
                </c:pt>
                <c:pt idx="54">
                  <c:v>532.31789836558266</c:v>
                </c:pt>
                <c:pt idx="55">
                  <c:v>551.83278906179726</c:v>
                </c:pt>
                <c:pt idx="56">
                  <c:v>462.54894196327677</c:v>
                </c:pt>
                <c:pt idx="57">
                  <c:v>480.58633375842032</c:v>
                </c:pt>
                <c:pt idx="58">
                  <c:v>498.60934258765002</c:v>
                </c:pt>
                <c:pt idx="59">
                  <c:v>516.61856122298457</c:v>
                </c:pt>
                <c:pt idx="60">
                  <c:v>534.61453776319524</c:v>
                </c:pt>
                <c:pt idx="61">
                  <c:v>551.45028504666311</c:v>
                </c:pt>
                <c:pt idx="62">
                  <c:v>568.27526097606199</c:v>
                </c:pt>
                <c:pt idx="63">
                  <c:v>585.08982917045773</c:v>
                </c:pt>
                <c:pt idx="64">
                  <c:v>601.89433065861692</c:v>
                </c:pt>
                <c:pt idx="65">
                  <c:v>618.68908588691215</c:v>
                </c:pt>
                <c:pt idx="66">
                  <c:v>527.34112969241028</c:v>
                </c:pt>
                <c:pt idx="67">
                  <c:v>543.03378149300659</c:v>
                </c:pt>
                <c:pt idx="68">
                  <c:v>558.71691511038489</c:v>
                </c:pt>
                <c:pt idx="69">
                  <c:v>574.39083521123348</c:v>
                </c:pt>
                <c:pt idx="70">
                  <c:v>590.05582848802067</c:v>
                </c:pt>
                <c:pt idx="71">
                  <c:v>604.56686745724687</c:v>
                </c:pt>
                <c:pt idx="72">
                  <c:v>619.07067399707296</c:v>
                </c:pt>
                <c:pt idx="73">
                  <c:v>633.56744133236327</c:v>
                </c:pt>
                <c:pt idx="74">
                  <c:v>648.05735312955619</c:v>
                </c:pt>
                <c:pt idx="75">
                  <c:v>662.54058417706926</c:v>
                </c:pt>
                <c:pt idx="76">
                  <c:v>569.42203544921165</c:v>
                </c:pt>
                <c:pt idx="77">
                  <c:v>583.17959594683214</c:v>
                </c:pt>
                <c:pt idx="78">
                  <c:v>596.93039273337797</c:v>
                </c:pt>
                <c:pt idx="79">
                  <c:v>610.67460350167164</c:v>
                </c:pt>
                <c:pt idx="80">
                  <c:v>624.41239729750225</c:v>
                </c:pt>
                <c:pt idx="81">
                  <c:v>636.99987545603415</c:v>
                </c:pt>
                <c:pt idx="82">
                  <c:v>649.58221541705063</c:v>
                </c:pt>
                <c:pt idx="83">
                  <c:v>662.15953068851047</c:v>
                </c:pt>
                <c:pt idx="84">
                  <c:v>674.73193011676551</c:v>
                </c:pt>
                <c:pt idx="85">
                  <c:v>687.29951816311348</c:v>
                </c:pt>
                <c:pt idx="86">
                  <c:v>699.86239515908403</c:v>
                </c:pt>
                <c:pt idx="87">
                  <c:v>712.42065754245129</c:v>
                </c:pt>
                <c:pt idx="88">
                  <c:v>724.97439807575211</c:v>
                </c:pt>
                <c:pt idx="89">
                  <c:v>737.52370604888972</c:v>
                </c:pt>
                <c:pt idx="90">
                  <c:v>750.06866746724211</c:v>
                </c:pt>
                <c:pt idx="91">
                  <c:v>601.32161215624615</c:v>
                </c:pt>
                <c:pt idx="92">
                  <c:v>612.58301041135394</c:v>
                </c:pt>
                <c:pt idx="93">
                  <c:v>623.84011521480943</c:v>
                </c:pt>
                <c:pt idx="94">
                  <c:v>635.09301493951614</c:v>
                </c:pt>
                <c:pt idx="95">
                  <c:v>646.34179457229266</c:v>
                </c:pt>
                <c:pt idx="96">
                  <c:v>657.58653590152971</c:v>
                </c:pt>
                <c:pt idx="97">
                  <c:v>668.82731769134739</c:v>
                </c:pt>
                <c:pt idx="98">
                  <c:v>680.06421584344105</c:v>
                </c:pt>
                <c:pt idx="99">
                  <c:v>691.29730354768026</c:v>
                </c:pt>
                <c:pt idx="100">
                  <c:v>702.52665142241483</c:v>
                </c:pt>
                <c:pt idx="101">
                  <c:v>712.42065754245107</c:v>
                </c:pt>
                <c:pt idx="102">
                  <c:v>722.31185677865858</c:v>
                </c:pt>
                <c:pt idx="103">
                  <c:v>732.20029297203462</c:v>
                </c:pt>
                <c:pt idx="104">
                  <c:v>742.08600868333099</c:v>
                </c:pt>
                <c:pt idx="105">
                  <c:v>751.96904524735601</c:v>
                </c:pt>
                <c:pt idx="106">
                  <c:v>761.84944282427648</c:v>
                </c:pt>
                <c:pt idx="107">
                  <c:v>771.72724044812094</c:v>
                </c:pt>
                <c:pt idx="108">
                  <c:v>781.60247607267092</c:v>
                </c:pt>
                <c:pt idx="109">
                  <c:v>791.47518661491574</c:v>
                </c:pt>
                <c:pt idx="110">
                  <c:v>801.34540799622619</c:v>
                </c:pt>
                <c:pt idx="111">
                  <c:v>608.19348941446765</c:v>
                </c:pt>
                <c:pt idx="112">
                  <c:v>616.78107210210862</c:v>
                </c:pt>
                <c:pt idx="113">
                  <c:v>625.36617664098856</c:v>
                </c:pt>
                <c:pt idx="114">
                  <c:v>633.94884184663999</c:v>
                </c:pt>
                <c:pt idx="115">
                  <c:v>642.52910539795459</c:v>
                </c:pt>
                <c:pt idx="116">
                  <c:v>651.10700388552493</c:v>
                </c:pt>
                <c:pt idx="117">
                  <c:v>659.68257285730954</c:v>
                </c:pt>
                <c:pt idx="118">
                  <c:v>668.25584686179957</c:v>
                </c:pt>
                <c:pt idx="119">
                  <c:v>676.82685948885762</c:v>
                </c:pt>
                <c:pt idx="120">
                  <c:v>685.39564340837808</c:v>
                </c:pt>
                <c:pt idx="121">
                  <c:v>693.39119233094789</c:v>
                </c:pt>
                <c:pt idx="122">
                  <c:v>701.38485267499789</c:v>
                </c:pt>
                <c:pt idx="123">
                  <c:v>709.37664899579306</c:v>
                </c:pt>
                <c:pt idx="124">
                  <c:v>717.36660525030732</c:v>
                </c:pt>
                <c:pt idx="125">
                  <c:v>725.35474481844449</c:v>
                </c:pt>
                <c:pt idx="126">
                  <c:v>733.34109052327722</c:v>
                </c:pt>
                <c:pt idx="127">
                  <c:v>741.32566465035904</c:v>
                </c:pt>
                <c:pt idx="128">
                  <c:v>749.30848896615805</c:v>
                </c:pt>
                <c:pt idx="129">
                  <c:v>757.28958473566934</c:v>
                </c:pt>
                <c:pt idx="130">
                  <c:v>765.2689727392434</c:v>
                </c:pt>
                <c:pt idx="131">
                  <c:v>599.22154722155733</c:v>
                </c:pt>
                <c:pt idx="132">
                  <c:v>606.47567200029607</c:v>
                </c:pt>
                <c:pt idx="133">
                  <c:v>613.72799533010129</c:v>
                </c:pt>
                <c:pt idx="134">
                  <c:v>620.97854150271451</c:v>
                </c:pt>
                <c:pt idx="135">
                  <c:v>628.22733419629969</c:v>
                </c:pt>
                <c:pt idx="136">
                  <c:v>635.47439649799799</c:v>
                </c:pt>
                <c:pt idx="137">
                  <c:v>642.71975092539503</c:v>
                </c:pt>
                <c:pt idx="138">
                  <c:v>649.96341944697554</c:v>
                </c:pt>
                <c:pt idx="139">
                  <c:v>657.20542350161361</c:v>
                </c:pt>
                <c:pt idx="140">
                  <c:v>664.44578401716376</c:v>
                </c:pt>
                <c:pt idx="141">
                  <c:v>671.1131007030807</c:v>
                </c:pt>
                <c:pt idx="142">
                  <c:v>677.77905606178604</c:v>
                </c:pt>
                <c:pt idx="143">
                  <c:v>684.44366537005408</c:v>
                </c:pt>
                <c:pt idx="144">
                  <c:v>691.10694358289311</c:v>
                </c:pt>
                <c:pt idx="145">
                  <c:v>697.76890534342408</c:v>
                </c:pt>
                <c:pt idx="146">
                  <c:v>704.42956499236743</c:v>
                </c:pt>
                <c:pt idx="147">
                  <c:v>711.08893657714862</c:v>
                </c:pt>
                <c:pt idx="148">
                  <c:v>717.74703386064687</c:v>
                </c:pt>
                <c:pt idx="149">
                  <c:v>724.40387032960223</c:v>
                </c:pt>
                <c:pt idx="150">
                  <c:v>731.05945920269721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64881104"/>
        <c:axId val="-164884368"/>
      </c:scatterChart>
      <c:valAx>
        <c:axId val="-1648811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64884368"/>
        <c:crosses val="autoZero"/>
        <c:crossBetween val="midCat"/>
      </c:valAx>
      <c:valAx>
        <c:axId val="-164884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648811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61227680"/>
        <c:axId val="-161228224"/>
      </c:scatterChart>
      <c:valAx>
        <c:axId val="-1612276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61228224"/>
        <c:crosses val="autoZero"/>
        <c:crossBetween val="midCat"/>
      </c:valAx>
      <c:valAx>
        <c:axId val="-16122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612276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2.6689104183509347</c:v>
                </c:pt>
                <c:pt idx="2">
                  <c:v>3.4899830590683352</c:v>
                </c:pt>
                <c:pt idx="3">
                  <c:v>4.5646726825905164</c:v>
                </c:pt>
                <c:pt idx="4">
                  <c:v>5.9716141615574472</c:v>
                </c:pt>
                <c:pt idx="5">
                  <c:v>7.8139092335961218</c:v>
                </c:pt>
                <c:pt idx="6">
                  <c:v>10.226764012784757</c:v>
                </c:pt>
                <c:pt idx="7">
                  <c:v>13.387517725469587</c:v>
                </c:pt>
                <c:pt idx="8">
                  <c:v>17.528813377583827</c:v>
                </c:pt>
                <c:pt idx="9">
                  <c:v>22.955897322390214</c:v>
                </c:pt>
                <c:pt idx="10">
                  <c:v>30.069345481461834</c:v>
                </c:pt>
                <c:pt idx="11">
                  <c:v>39.394922830832961</c:v>
                </c:pt>
                <c:pt idx="12">
                  <c:v>51.622820709160315</c:v>
                </c:pt>
                <c:pt idx="13">
                  <c:v>67.659224368464649</c:v>
                </c:pt>
                <c:pt idx="14">
                  <c:v>88.69409474214649</c:v>
                </c:pt>
                <c:pt idx="15">
                  <c:v>116.29027446560372</c:v>
                </c:pt>
                <c:pt idx="16">
                  <c:v>140.27513047395146</c:v>
                </c:pt>
                <c:pt idx="17">
                  <c:v>164.16133458057877</c:v>
                </c:pt>
                <c:pt idx="18">
                  <c:v>187.96529046020362</c:v>
                </c:pt>
                <c:pt idx="19">
                  <c:v>211.698889435729</c:v>
                </c:pt>
                <c:pt idx="20">
                  <c:v>235.3711313482562</c:v>
                </c:pt>
                <c:pt idx="21">
                  <c:v>145.47552012532867</c:v>
                </c:pt>
                <c:pt idx="22">
                  <c:v>171.06890310603498</c:v>
                </c:pt>
                <c:pt idx="23">
                  <c:v>196.57202562416433</c:v>
                </c:pt>
                <c:pt idx="24">
                  <c:v>221.99825658782564</c:v>
                </c:pt>
                <c:pt idx="25">
                  <c:v>247.35764363735257</c:v>
                </c:pt>
                <c:pt idx="26">
                  <c:v>271.63337657752703</c:v>
                </c:pt>
                <c:pt idx="27">
                  <c:v>295.86031593712704</c:v>
                </c:pt>
                <c:pt idx="28">
                  <c:v>320.04301686645277</c:v>
                </c:pt>
                <c:pt idx="29">
                  <c:v>344.18528987135363</c:v>
                </c:pt>
                <c:pt idx="30">
                  <c:v>368.29036734139117</c:v>
                </c:pt>
                <c:pt idx="31">
                  <c:v>270.95024442791083</c:v>
                </c:pt>
                <c:pt idx="32">
                  <c:v>292.79183050888702</c:v>
                </c:pt>
                <c:pt idx="33">
                  <c:v>314.59704855401981</c:v>
                </c:pt>
                <c:pt idx="34">
                  <c:v>336.3687724940782</c:v>
                </c:pt>
                <c:pt idx="35">
                  <c:v>358.10947390735419</c:v>
                </c:pt>
                <c:pt idx="36">
                  <c:v>377.44791553782278</c:v>
                </c:pt>
                <c:pt idx="37">
                  <c:v>396.76479421746438</c:v>
                </c:pt>
                <c:pt idx="38">
                  <c:v>416.06130692450483</c:v>
                </c:pt>
                <c:pt idx="39">
                  <c:v>435.33853059869926</c:v>
                </c:pt>
                <c:pt idx="40">
                  <c:v>454.59743907080428</c:v>
                </c:pt>
                <c:pt idx="41">
                  <c:v>352.6770845621848</c:v>
                </c:pt>
                <c:pt idx="42">
                  <c:v>369.30811574035596</c:v>
                </c:pt>
                <c:pt idx="43">
                  <c:v>385.92281180916171</c:v>
                </c:pt>
                <c:pt idx="44">
                  <c:v>402.52197482878046</c:v>
                </c:pt>
                <c:pt idx="45">
                  <c:v>419.10633532774779</c:v>
                </c:pt>
                <c:pt idx="46">
                  <c:v>433.64829237195022</c:v>
                </c:pt>
                <c:pt idx="47">
                  <c:v>448.17978162908202</c:v>
                </c:pt>
                <c:pt idx="48">
                  <c:v>462.70119023345586</c:v>
                </c:pt>
                <c:pt idx="49">
                  <c:v>477.212879043182</c:v>
                </c:pt>
                <c:pt idx="50">
                  <c:v>491.71518518509515</c:v>
                </c:pt>
                <c:pt idx="51">
                  <c:v>431.61981966331092</c:v>
                </c:pt>
                <c:pt idx="52">
                  <c:v>444.12551245998566</c:v>
                </c:pt>
                <c:pt idx="53">
                  <c:v>456.62366402503358</c:v>
                </c:pt>
                <c:pt idx="54">
                  <c:v>469.11450984619825</c:v>
                </c:pt>
                <c:pt idx="55">
                  <c:v>481.59827184865549</c:v>
                </c:pt>
                <c:pt idx="56">
                  <c:v>492.05233905304067</c:v>
                </c:pt>
                <c:pt idx="57">
                  <c:v>502.50169784424844</c:v>
                </c:pt>
                <c:pt idx="58">
                  <c:v>512.94645994076382</c:v>
                </c:pt>
                <c:pt idx="59">
                  <c:v>523.38673214011703</c:v>
                </c:pt>
                <c:pt idx="60">
                  <c:v>533.82261663157112</c:v>
                </c:pt>
                <c:pt idx="61">
                  <c:v>492.05233905304044</c:v>
                </c:pt>
                <c:pt idx="62">
                  <c:v>500.81663116885539</c:v>
                </c:pt>
                <c:pt idx="63">
                  <c:v>509.57767746501708</c:v>
                </c:pt>
                <c:pt idx="64">
                  <c:v>518.33554162748931</c:v>
                </c:pt>
                <c:pt idx="65">
                  <c:v>527.09028501417185</c:v>
                </c:pt>
                <c:pt idx="66">
                  <c:v>534.49575116718881</c:v>
                </c:pt>
                <c:pt idx="67">
                  <c:v>541.89905996909988</c:v>
                </c:pt>
                <c:pt idx="68">
                  <c:v>549.30024505818949</c:v>
                </c:pt>
                <c:pt idx="69">
                  <c:v>556.69933909209135</c:v>
                </c:pt>
                <c:pt idx="70">
                  <c:v>564.09637378931632</c:v>
                </c:pt>
                <c:pt idx="71">
                  <c:v>527.7635992605982</c:v>
                </c:pt>
                <c:pt idx="72">
                  <c:v>535.16886787415808</c:v>
                </c:pt>
                <c:pt idx="73">
                  <c:v>542.57198223629882</c:v>
                </c:pt>
                <c:pt idx="74">
                  <c:v>549.97297589437528</c:v>
                </c:pt>
                <c:pt idx="75">
                  <c:v>557.37188141896661</c:v>
                </c:pt>
                <c:pt idx="76">
                  <c:v>563.4240003694224</c:v>
                </c:pt>
                <c:pt idx="77">
                  <c:v>569.47475955098753</c:v>
                </c:pt>
                <c:pt idx="78">
                  <c:v>575.52417545438061</c:v>
                </c:pt>
                <c:pt idx="79">
                  <c:v>581.57226419525409</c:v>
                </c:pt>
                <c:pt idx="80">
                  <c:v>587.61904152662294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64877296"/>
        <c:axId val="-164878928"/>
      </c:scatterChart>
      <c:valAx>
        <c:axId val="-1648772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64878928"/>
        <c:crosses val="autoZero"/>
        <c:crossBetween val="midCat"/>
      </c:valAx>
      <c:valAx>
        <c:axId val="-164878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648772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2.4669668198003851</c:v>
                </c:pt>
                <c:pt idx="2">
                  <c:v>3.2256996893643675</c:v>
                </c:pt>
                <c:pt idx="3">
                  <c:v>4.2187317469501098</c:v>
                </c:pt>
                <c:pt idx="4">
                  <c:v>5.5186903642443035</c:v>
                </c:pt>
                <c:pt idx="5">
                  <c:v>7.2207953947169168</c:v>
                </c:pt>
                <c:pt idx="6">
                  <c:v>9.4499100940166461</c:v>
                </c:pt>
                <c:pt idx="7">
                  <c:v>12.369799182674292</c:v>
                </c:pt>
                <c:pt idx="8">
                  <c:v>16.195286845201924</c:v>
                </c:pt>
                <c:pt idx="9">
                  <c:v>21.208225460385457</c:v>
                </c:pt>
                <c:pt idx="10">
                  <c:v>27.778472610592804</c:v>
                </c:pt>
                <c:pt idx="11">
                  <c:v>36.391451149985244</c:v>
                </c:pt>
                <c:pt idx="12">
                  <c:v>47.684363427751713</c:v>
                </c:pt>
                <c:pt idx="13">
                  <c:v>62.493783827543389</c:v>
                </c:pt>
                <c:pt idx="14">
                  <c:v>81.918213196121869</c:v>
                </c:pt>
                <c:pt idx="15">
                  <c:v>107.40030981071855</c:v>
                </c:pt>
                <c:pt idx="16">
                  <c:v>129.54680830169983</c:v>
                </c:pt>
                <c:pt idx="17">
                  <c:v>151.60152381964372</c:v>
                </c:pt>
                <c:pt idx="18">
                  <c:v>173.57971788519089</c:v>
                </c:pt>
                <c:pt idx="19">
                  <c:v>195.49245385292795</c:v>
                </c:pt>
                <c:pt idx="20">
                  <c:v>217.34810492356107</c:v>
                </c:pt>
                <c:pt idx="21">
                  <c:v>134.34850957742927</c:v>
                </c:pt>
                <c:pt idx="22">
                  <c:v>157.97933796889393</c:v>
                </c:pt>
                <c:pt idx="23">
                  <c:v>181.52619054784418</c:v>
                </c:pt>
                <c:pt idx="24">
                  <c:v>205.00150537285901</c:v>
                </c:pt>
                <c:pt idx="25">
                  <c:v>228.41463048777476</c:v>
                </c:pt>
                <c:pt idx="26">
                  <c:v>250.82687328804494</c:v>
                </c:pt>
                <c:pt idx="27">
                  <c:v>273.19371990423588</c:v>
                </c:pt>
                <c:pt idx="28">
                  <c:v>295.51940832091657</c:v>
                </c:pt>
                <c:pt idx="29">
                  <c:v>317.80748372626402</c:v>
                </c:pt>
                <c:pt idx="30">
                  <c:v>340.06095344521378</c:v>
                </c:pt>
                <c:pt idx="31">
                  <c:v>250.19618568369205</c:v>
                </c:pt>
                <c:pt idx="32">
                  <c:v>270.36084436950495</c:v>
                </c:pt>
                <c:pt idx="33">
                  <c:v>290.49166725088827</c:v>
                </c:pt>
                <c:pt idx="34">
                  <c:v>310.59132815273171</c:v>
                </c:pt>
                <c:pt idx="35">
                  <c:v>330.66212656242288</c:v>
                </c:pt>
                <c:pt idx="36">
                  <c:v>348.51500770260941</c:v>
                </c:pt>
                <c:pt idx="37">
                  <c:v>366.34782727581296</c:v>
                </c:pt>
                <c:pt idx="38">
                  <c:v>384.16169891713145</c:v>
                </c:pt>
                <c:pt idx="39">
                  <c:v>401.95762458122357</c:v>
                </c:pt>
                <c:pt idx="40">
                  <c:v>419.73651029301635</c:v>
                </c:pt>
                <c:pt idx="41">
                  <c:v>325.64701898414177</c:v>
                </c:pt>
                <c:pt idx="42">
                  <c:v>341.00051892831283</c:v>
                </c:pt>
                <c:pt idx="43">
                  <c:v>356.33882114313155</c:v>
                </c:pt>
                <c:pt idx="44">
                  <c:v>371.6626718429784</c:v>
                </c:pt>
                <c:pt idx="45">
                  <c:v>386.97275069119183</c:v>
                </c:pt>
                <c:pt idx="46">
                  <c:v>400.39727281265874</c:v>
                </c:pt>
                <c:pt idx="47">
                  <c:v>413.81205599750405</c:v>
                </c:pt>
                <c:pt idx="48">
                  <c:v>427.21746042467572</c:v>
                </c:pt>
                <c:pt idx="49">
                  <c:v>440.61382182647702</c:v>
                </c:pt>
                <c:pt idx="50">
                  <c:v>454.00145385629588</c:v>
                </c:pt>
                <c:pt idx="51">
                  <c:v>398.52467686288418</c:v>
                </c:pt>
                <c:pt idx="52">
                  <c:v>410.06935400448907</c:v>
                </c:pt>
                <c:pt idx="53">
                  <c:v>421.60701499489011</c:v>
                </c:pt>
                <c:pt idx="54">
                  <c:v>433.1378789253036</c:v>
                </c:pt>
                <c:pt idx="55">
                  <c:v>444.66215226871265</c:v>
                </c:pt>
                <c:pt idx="56">
                  <c:v>454.3126926644839</c:v>
                </c:pt>
                <c:pt idx="57">
                  <c:v>463.95885248418728</c:v>
                </c:pt>
                <c:pt idx="58">
                  <c:v>473.6007356675803</c:v>
                </c:pt>
                <c:pt idx="59">
                  <c:v>483.23844157610074</c:v>
                </c:pt>
                <c:pt idx="60">
                  <c:v>492.87206528378402</c:v>
                </c:pt>
                <c:pt idx="61">
                  <c:v>454.31269266448368</c:v>
                </c:pt>
                <c:pt idx="62">
                  <c:v>462.4033121825118</c:v>
                </c:pt>
                <c:pt idx="63">
                  <c:v>470.49091188062226</c:v>
                </c:pt>
                <c:pt idx="64">
                  <c:v>478.57555101045642</c:v>
                </c:pt>
                <c:pt idx="65">
                  <c:v>486.65728665769001</c:v>
                </c:pt>
                <c:pt idx="66">
                  <c:v>493.49345138740472</c:v>
                </c:pt>
                <c:pt idx="67">
                  <c:v>500.32760897792667</c:v>
                </c:pt>
                <c:pt idx="68">
                  <c:v>507.15979072537567</c:v>
                </c:pt>
                <c:pt idx="69">
                  <c:v>513.99002701350196</c:v>
                </c:pt>
                <c:pt idx="70">
                  <c:v>520.81834735232155</c:v>
                </c:pt>
                <c:pt idx="71">
                  <c:v>487.27883995922622</c:v>
                </c:pt>
                <c:pt idx="72">
                  <c:v>494.11482090374903</c:v>
                </c:pt>
                <c:pt idx="73">
                  <c:v>500.94879759294128</c:v>
                </c:pt>
                <c:pt idx="74">
                  <c:v>507.78080123832439</c:v>
                </c:pt>
                <c:pt idx="75">
                  <c:v>514.61086214265504</c:v>
                </c:pt>
                <c:pt idx="76">
                  <c:v>520.19766936950464</c:v>
                </c:pt>
                <c:pt idx="77">
                  <c:v>525.78321150537022</c:v>
                </c:pt>
                <c:pt idx="78">
                  <c:v>531.36750389275528</c:v>
                </c:pt>
                <c:pt idx="79">
                  <c:v>536.95056152521329</c:v>
                </c:pt>
                <c:pt idx="80">
                  <c:v>542.53239905890871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64877840"/>
        <c:axId val="-164878384"/>
      </c:scatterChart>
      <c:valAx>
        <c:axId val="-16487784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64878384"/>
        <c:crosses val="autoZero"/>
        <c:crossBetween val="midCat"/>
      </c:valAx>
      <c:valAx>
        <c:axId val="-164878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648778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2.5380918812887914</c:v>
                </c:pt>
                <c:pt idx="2">
                  <c:v>3.2168218116837237</c:v>
                </c:pt>
                <c:pt idx="3">
                  <c:v>4.0777698035291934</c:v>
                </c:pt>
                <c:pt idx="4">
                  <c:v>5.1700364339554419</c:v>
                </c:pt>
                <c:pt idx="5">
                  <c:v>6.5559984815227494</c:v>
                </c:pt>
                <c:pt idx="6">
                  <c:v>8.3149100852329703</c:v>
                </c:pt>
                <c:pt idx="7">
                  <c:v>10.54748357687275</c:v>
                </c:pt>
                <c:pt idx="8">
                  <c:v>13.381717214799407</c:v>
                </c:pt>
                <c:pt idx="9">
                  <c:v>16.980310117401761</c:v>
                </c:pt>
                <c:pt idx="10">
                  <c:v>21.550097788741649</c:v>
                </c:pt>
                <c:pt idx="11">
                  <c:v>27.354060245633761</c:v>
                </c:pt>
                <c:pt idx="12">
                  <c:v>34.726605905427995</c:v>
                </c:pt>
                <c:pt idx="13">
                  <c:v>44.093027016943331</c:v>
                </c:pt>
                <c:pt idx="14">
                  <c:v>55.994267914108548</c:v>
                </c:pt>
                <c:pt idx="15">
                  <c:v>71.118460282851473</c:v>
                </c:pt>
                <c:pt idx="16">
                  <c:v>87.672415653160499</c:v>
                </c:pt>
                <c:pt idx="17">
                  <c:v>104.14760645595801</c:v>
                </c:pt>
                <c:pt idx="18">
                  <c:v>120.55829551377816</c:v>
                </c:pt>
                <c:pt idx="19">
                  <c:v>136.9145198877824</c:v>
                </c:pt>
                <c:pt idx="20">
                  <c:v>153.22371186614834</c:v>
                </c:pt>
                <c:pt idx="21">
                  <c:v>123.62898327972762</c:v>
                </c:pt>
                <c:pt idx="22">
                  <c:v>141.67594470663133</c:v>
                </c:pt>
                <c:pt idx="23">
                  <c:v>159.66774547880371</c:v>
                </c:pt>
                <c:pt idx="24">
                  <c:v>177.61148225294485</c:v>
                </c:pt>
                <c:pt idx="25">
                  <c:v>195.51269709583855</c:v>
                </c:pt>
                <c:pt idx="26">
                  <c:v>169.32232688472158</c:v>
                </c:pt>
                <c:pt idx="27">
                  <c:v>188.76221470729038</c:v>
                </c:pt>
                <c:pt idx="28">
                  <c:v>208.15542061438944</c:v>
                </c:pt>
                <c:pt idx="29">
                  <c:v>227.50690659831903</c:v>
                </c:pt>
                <c:pt idx="30">
                  <c:v>246.82072062447358</c:v>
                </c:pt>
                <c:pt idx="31">
                  <c:v>266.10022493300397</c:v>
                </c:pt>
                <c:pt idx="32">
                  <c:v>224.98501498915437</c:v>
                </c:pt>
                <c:pt idx="33">
                  <c:v>244.30353923844871</c:v>
                </c:pt>
                <c:pt idx="34">
                  <c:v>263.58734797276003</c:v>
                </c:pt>
                <c:pt idx="35">
                  <c:v>282.83933776674911</c:v>
                </c:pt>
                <c:pt idx="36">
                  <c:v>302.06197856553007</c:v>
                </c:pt>
                <c:pt idx="37">
                  <c:v>321.25740024962437</c:v>
                </c:pt>
                <c:pt idx="38">
                  <c:v>279.73236813579501</c:v>
                </c:pt>
                <c:pt idx="39">
                  <c:v>298.36290228402567</c:v>
                </c:pt>
                <c:pt idx="40">
                  <c:v>316.96751977104657</c:v>
                </c:pt>
                <c:pt idx="41">
                  <c:v>335.5479553564636</c:v>
                </c:pt>
                <c:pt idx="42">
                  <c:v>354.10573601815037</c:v>
                </c:pt>
                <c:pt idx="43">
                  <c:v>372.64221565134466</c:v>
                </c:pt>
                <c:pt idx="44">
                  <c:v>391.15860250001066</c:v>
                </c:pt>
                <c:pt idx="45">
                  <c:v>336.88699770814992</c:v>
                </c:pt>
                <c:pt idx="46">
                  <c:v>354.16518115704025</c:v>
                </c:pt>
                <c:pt idx="47">
                  <c:v>371.42490308727588</c:v>
                </c:pt>
                <c:pt idx="48">
                  <c:v>388.66714186934951</c:v>
                </c:pt>
                <c:pt idx="49">
                  <c:v>405.8927820061424</c:v>
                </c:pt>
                <c:pt idx="50">
                  <c:v>423.10262682279273</c:v>
                </c:pt>
                <c:pt idx="51">
                  <c:v>440.29740898417253</c:v>
                </c:pt>
                <c:pt idx="52">
                  <c:v>457.47779928386586</c:v>
                </c:pt>
                <c:pt idx="53">
                  <c:v>393.44213889474241</c:v>
                </c:pt>
                <c:pt idx="54">
                  <c:v>409.0041420403515</c:v>
                </c:pt>
                <c:pt idx="55">
                  <c:v>424.55336102424553</c:v>
                </c:pt>
                <c:pt idx="56">
                  <c:v>440.09032987714414</c:v>
                </c:pt>
                <c:pt idx="57">
                  <c:v>455.61554185670792</c:v>
                </c:pt>
                <c:pt idx="58">
                  <c:v>471.12945387267996</c:v>
                </c:pt>
                <c:pt idx="59">
                  <c:v>486.63249029889329</c:v>
                </c:pt>
                <c:pt idx="60">
                  <c:v>502.125046274314</c:v>
                </c:pt>
                <c:pt idx="61">
                  <c:v>438.70974904240529</c:v>
                </c:pt>
                <c:pt idx="62">
                  <c:v>453.06329508642119</c:v>
                </c:pt>
                <c:pt idx="63">
                  <c:v>467.40712233198587</c:v>
                </c:pt>
                <c:pt idx="64">
                  <c:v>481.74157097323285</c:v>
                </c:pt>
                <c:pt idx="65">
                  <c:v>496.06695931286293</c:v>
                </c:pt>
                <c:pt idx="66">
                  <c:v>510.38358577553481</c:v>
                </c:pt>
                <c:pt idx="67">
                  <c:v>524.69173068364398</c:v>
                </c:pt>
                <c:pt idx="68">
                  <c:v>538.99165782937473</c:v>
                </c:pt>
                <c:pt idx="69">
                  <c:v>553.28361587129041</c:v>
                </c:pt>
                <c:pt idx="70">
                  <c:v>1.3525069634579169E-12</c:v>
                </c:pt>
                <c:pt idx="71">
                  <c:v>1.3525069634579169E-12</c:v>
                </c:pt>
                <c:pt idx="72">
                  <c:v>1.3525069634579169E-12</c:v>
                </c:pt>
                <c:pt idx="73">
                  <c:v>1.3525069634579169E-12</c:v>
                </c:pt>
                <c:pt idx="74">
                  <c:v>1.3525069634579169E-12</c:v>
                </c:pt>
                <c:pt idx="75">
                  <c:v>1.3525069634579169E-12</c:v>
                </c:pt>
                <c:pt idx="76">
                  <c:v>1.3525069634579169E-12</c:v>
                </c:pt>
                <c:pt idx="77">
                  <c:v>1.3525069634579169E-12</c:v>
                </c:pt>
                <c:pt idx="78">
                  <c:v>1.3525069634579169E-12</c:v>
                </c:pt>
                <c:pt idx="79">
                  <c:v>1.3525069634579169E-12</c:v>
                </c:pt>
                <c:pt idx="80">
                  <c:v>1.3525069634579169E-12</c:v>
                </c:pt>
                <c:pt idx="81">
                  <c:v>1.3525069634579169E-12</c:v>
                </c:pt>
                <c:pt idx="82">
                  <c:v>1.3525069634579169E-12</c:v>
                </c:pt>
                <c:pt idx="83">
                  <c:v>1.3525069634579169E-12</c:v>
                </c:pt>
                <c:pt idx="84">
                  <c:v>1.3525069634579169E-12</c:v>
                </c:pt>
                <c:pt idx="85">
                  <c:v>1.3525069634579169E-12</c:v>
                </c:pt>
                <c:pt idx="86">
                  <c:v>1.3525069634579169E-12</c:v>
                </c:pt>
                <c:pt idx="87">
                  <c:v>1.3525069634579169E-12</c:v>
                </c:pt>
                <c:pt idx="88">
                  <c:v>1.3525069634579169E-12</c:v>
                </c:pt>
                <c:pt idx="89">
                  <c:v>1.3525069634579169E-12</c:v>
                </c:pt>
                <c:pt idx="90">
                  <c:v>1.3525069634579169E-12</c:v>
                </c:pt>
                <c:pt idx="91">
                  <c:v>1.3525069634579169E-12</c:v>
                </c:pt>
                <c:pt idx="92">
                  <c:v>1.3525069634579169E-12</c:v>
                </c:pt>
                <c:pt idx="93">
                  <c:v>1.3525069634579169E-12</c:v>
                </c:pt>
                <c:pt idx="94">
                  <c:v>1.3525069634579169E-12</c:v>
                </c:pt>
                <c:pt idx="95">
                  <c:v>1.3525069634579169E-12</c:v>
                </c:pt>
                <c:pt idx="96">
                  <c:v>1.3525069634579169E-12</c:v>
                </c:pt>
                <c:pt idx="97">
                  <c:v>1.3525069634579169E-12</c:v>
                </c:pt>
                <c:pt idx="98">
                  <c:v>1.3525069634579169E-12</c:v>
                </c:pt>
                <c:pt idx="99">
                  <c:v>1.3525069634579169E-12</c:v>
                </c:pt>
                <c:pt idx="100">
                  <c:v>1.3525069634579169E-12</c:v>
                </c:pt>
                <c:pt idx="101">
                  <c:v>1.3525069634579169E-12</c:v>
                </c:pt>
                <c:pt idx="102">
                  <c:v>1.3525069634579169E-12</c:v>
                </c:pt>
                <c:pt idx="103">
                  <c:v>1.3525069634579169E-12</c:v>
                </c:pt>
                <c:pt idx="104">
                  <c:v>1.3525069634579169E-12</c:v>
                </c:pt>
                <c:pt idx="105">
                  <c:v>1.3525069634579169E-12</c:v>
                </c:pt>
                <c:pt idx="106">
                  <c:v>1.3525069634579169E-12</c:v>
                </c:pt>
                <c:pt idx="107">
                  <c:v>1.3525069634579169E-12</c:v>
                </c:pt>
                <c:pt idx="108">
                  <c:v>1.3525069634579169E-12</c:v>
                </c:pt>
                <c:pt idx="109">
                  <c:v>1.3525069634579169E-12</c:v>
                </c:pt>
                <c:pt idx="110">
                  <c:v>1.3525069634579169E-12</c:v>
                </c:pt>
                <c:pt idx="111">
                  <c:v>1.3525069634579169E-12</c:v>
                </c:pt>
                <c:pt idx="112">
                  <c:v>1.3525069634579169E-12</c:v>
                </c:pt>
                <c:pt idx="113">
                  <c:v>1.3525069634579169E-12</c:v>
                </c:pt>
                <c:pt idx="114">
                  <c:v>1.3525069634579169E-12</c:v>
                </c:pt>
                <c:pt idx="115">
                  <c:v>1.3525069634579169E-12</c:v>
                </c:pt>
                <c:pt idx="116">
                  <c:v>1.3525069634579169E-12</c:v>
                </c:pt>
                <c:pt idx="117">
                  <c:v>1.3525069634579169E-12</c:v>
                </c:pt>
                <c:pt idx="118">
                  <c:v>1.3525069634579169E-12</c:v>
                </c:pt>
                <c:pt idx="119">
                  <c:v>1.3525069634579169E-12</c:v>
                </c:pt>
                <c:pt idx="120">
                  <c:v>1.3525069634579169E-12</c:v>
                </c:pt>
                <c:pt idx="121">
                  <c:v>1.3525069634579169E-12</c:v>
                </c:pt>
                <c:pt idx="122">
                  <c:v>1.3525069634579169E-12</c:v>
                </c:pt>
                <c:pt idx="123">
                  <c:v>1.3525069634579169E-12</c:v>
                </c:pt>
                <c:pt idx="124">
                  <c:v>1.3525069634579169E-12</c:v>
                </c:pt>
                <c:pt idx="125">
                  <c:v>1.3525069634579169E-12</c:v>
                </c:pt>
                <c:pt idx="126">
                  <c:v>1.3525069634579169E-12</c:v>
                </c:pt>
                <c:pt idx="127">
                  <c:v>1.3525069634579169E-12</c:v>
                </c:pt>
                <c:pt idx="128">
                  <c:v>1.3525069634579169E-12</c:v>
                </c:pt>
                <c:pt idx="129">
                  <c:v>1.3525069634579169E-12</c:v>
                </c:pt>
                <c:pt idx="130">
                  <c:v>1.3525069634579169E-12</c:v>
                </c:pt>
                <c:pt idx="131">
                  <c:v>1.3525069634579169E-12</c:v>
                </c:pt>
                <c:pt idx="132">
                  <c:v>1.3525069634579169E-12</c:v>
                </c:pt>
                <c:pt idx="133">
                  <c:v>1.3525069634579169E-12</c:v>
                </c:pt>
                <c:pt idx="134">
                  <c:v>1.3525069634579169E-12</c:v>
                </c:pt>
                <c:pt idx="135">
                  <c:v>1.3525069634579169E-12</c:v>
                </c:pt>
                <c:pt idx="136">
                  <c:v>1.3525069634579169E-12</c:v>
                </c:pt>
                <c:pt idx="137">
                  <c:v>1.3525069634579169E-12</c:v>
                </c:pt>
                <c:pt idx="138">
                  <c:v>1.3525069634579169E-12</c:v>
                </c:pt>
                <c:pt idx="139">
                  <c:v>1.3525069634579169E-12</c:v>
                </c:pt>
                <c:pt idx="140">
                  <c:v>1.3525069634579169E-12</c:v>
                </c:pt>
                <c:pt idx="141">
                  <c:v>1.3525069634579169E-12</c:v>
                </c:pt>
                <c:pt idx="142">
                  <c:v>1.3525069634579169E-12</c:v>
                </c:pt>
                <c:pt idx="143">
                  <c:v>1.3525069634579169E-12</c:v>
                </c:pt>
                <c:pt idx="144">
                  <c:v>1.3525069634579169E-12</c:v>
                </c:pt>
                <c:pt idx="145">
                  <c:v>1.3525069634579169E-12</c:v>
                </c:pt>
                <c:pt idx="146">
                  <c:v>1.3525069634579169E-12</c:v>
                </c:pt>
                <c:pt idx="147">
                  <c:v>1.3525069634579169E-12</c:v>
                </c:pt>
                <c:pt idx="148">
                  <c:v>1.3525069634579169E-12</c:v>
                </c:pt>
                <c:pt idx="149">
                  <c:v>1.3525069634579169E-12</c:v>
                </c:pt>
                <c:pt idx="150">
                  <c:v>1.3525069634579169E-12</c:v>
                </c:pt>
                <c:pt idx="151">
                  <c:v>1.3525069634579169E-12</c:v>
                </c:pt>
                <c:pt idx="152">
                  <c:v>1.3525069634579169E-12</c:v>
                </c:pt>
                <c:pt idx="153">
                  <c:v>1.3525069634579169E-12</c:v>
                </c:pt>
                <c:pt idx="154">
                  <c:v>1.3525069634579169E-12</c:v>
                </c:pt>
                <c:pt idx="155">
                  <c:v>1.3525069634579169E-12</c:v>
                </c:pt>
                <c:pt idx="156">
                  <c:v>1.3525069634579169E-12</c:v>
                </c:pt>
                <c:pt idx="157">
                  <c:v>1.3525069634579169E-12</c:v>
                </c:pt>
                <c:pt idx="158">
                  <c:v>1.3525069634579169E-12</c:v>
                </c:pt>
                <c:pt idx="159">
                  <c:v>1.3525069634579169E-12</c:v>
                </c:pt>
                <c:pt idx="160">
                  <c:v>1.3525069634579169E-12</c:v>
                </c:pt>
                <c:pt idx="161">
                  <c:v>1.3525069634579169E-12</c:v>
                </c:pt>
                <c:pt idx="162">
                  <c:v>1.3525069634579169E-12</c:v>
                </c:pt>
                <c:pt idx="163">
                  <c:v>1.3525069634579169E-12</c:v>
                </c:pt>
                <c:pt idx="164">
                  <c:v>1.3525069634579169E-12</c:v>
                </c:pt>
                <c:pt idx="165">
                  <c:v>1.3525069634579169E-12</c:v>
                </c:pt>
                <c:pt idx="166">
                  <c:v>1.3525069634579169E-12</c:v>
                </c:pt>
                <c:pt idx="167">
                  <c:v>1.3525069634579169E-12</c:v>
                </c:pt>
                <c:pt idx="168">
                  <c:v>1.3525069634579169E-12</c:v>
                </c:pt>
                <c:pt idx="169">
                  <c:v>1.3525069634579169E-12</c:v>
                </c:pt>
                <c:pt idx="170">
                  <c:v>1.3525069634579169E-12</c:v>
                </c:pt>
                <c:pt idx="171">
                  <c:v>1.3525069634579169E-12</c:v>
                </c:pt>
                <c:pt idx="172">
                  <c:v>1.3525069634579169E-12</c:v>
                </c:pt>
                <c:pt idx="173">
                  <c:v>1.3525069634579169E-12</c:v>
                </c:pt>
                <c:pt idx="174">
                  <c:v>1.3525069634579169E-12</c:v>
                </c:pt>
                <c:pt idx="175">
                  <c:v>1.3525069634579169E-12</c:v>
                </c:pt>
                <c:pt idx="176">
                  <c:v>1.3525069634579169E-12</c:v>
                </c:pt>
                <c:pt idx="177">
                  <c:v>1.3525069634579169E-12</c:v>
                </c:pt>
                <c:pt idx="178">
                  <c:v>1.3525069634579169E-12</c:v>
                </c:pt>
                <c:pt idx="179">
                  <c:v>1.3525069634579169E-12</c:v>
                </c:pt>
                <c:pt idx="180">
                  <c:v>1.3525069634579169E-12</c:v>
                </c:pt>
                <c:pt idx="181">
                  <c:v>1.3525069634579169E-12</c:v>
                </c:pt>
                <c:pt idx="182">
                  <c:v>1.3525069634579169E-12</c:v>
                </c:pt>
                <c:pt idx="183">
                  <c:v>1.3525069634579169E-12</c:v>
                </c:pt>
                <c:pt idx="184">
                  <c:v>1.3525069634579169E-12</c:v>
                </c:pt>
                <c:pt idx="185">
                  <c:v>1.3525069634579169E-12</c:v>
                </c:pt>
                <c:pt idx="186">
                  <c:v>1.3525069634579169E-12</c:v>
                </c:pt>
                <c:pt idx="187">
                  <c:v>1.3525069634579169E-12</c:v>
                </c:pt>
                <c:pt idx="188">
                  <c:v>1.3525069634579169E-12</c:v>
                </c:pt>
                <c:pt idx="189">
                  <c:v>1.3525069634579169E-12</c:v>
                </c:pt>
                <c:pt idx="190">
                  <c:v>1.3525069634579169E-12</c:v>
                </c:pt>
                <c:pt idx="191">
                  <c:v>1.3525069634579169E-12</c:v>
                </c:pt>
                <c:pt idx="192">
                  <c:v>1.3525069634579169E-12</c:v>
                </c:pt>
                <c:pt idx="193">
                  <c:v>1.3525069634579169E-12</c:v>
                </c:pt>
                <c:pt idx="194">
                  <c:v>1.3525069634579169E-12</c:v>
                </c:pt>
                <c:pt idx="195">
                  <c:v>1.3525069634579169E-12</c:v>
                </c:pt>
                <c:pt idx="196">
                  <c:v>1.3525069634579169E-12</c:v>
                </c:pt>
                <c:pt idx="197">
                  <c:v>1.3525069634579169E-12</c:v>
                </c:pt>
                <c:pt idx="198">
                  <c:v>1.3525069634579169E-12</c:v>
                </c:pt>
                <c:pt idx="199">
                  <c:v>1.3525069634579169E-12</c:v>
                </c:pt>
                <c:pt idx="200">
                  <c:v>1.3525069634579169E-12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64883824"/>
        <c:axId val="-471385856"/>
      </c:scatterChart>
      <c:valAx>
        <c:axId val="-1648838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471385856"/>
        <c:crosses val="autoZero"/>
        <c:crossBetween val="midCat"/>
      </c:valAx>
      <c:valAx>
        <c:axId val="-4713858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648838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3.184415911661862</c:v>
                </c:pt>
                <c:pt idx="2">
                  <c:v>4.1816194579596262</c:v>
                </c:pt>
                <c:pt idx="3">
                  <c:v>5.4923516676826791</c:v>
                </c:pt>
                <c:pt idx="4">
                  <c:v>7.2155588245112128</c:v>
                </c:pt>
                <c:pt idx="5">
                  <c:v>9.4815226348374324</c:v>
                </c:pt>
                <c:pt idx="6">
                  <c:v>12.461815859881268</c:v>
                </c:pt>
                <c:pt idx="7">
                  <c:v>16.382430314809849</c:v>
                </c:pt>
                <c:pt idx="8">
                  <c:v>21.541090833686795</c:v>
                </c:pt>
                <c:pt idx="9">
                  <c:v>28.330093443494203</c:v>
                </c:pt>
                <c:pt idx="10">
                  <c:v>37.266434843950456</c:v>
                </c:pt>
                <c:pt idx="11">
                  <c:v>49.03156686912093</c:v>
                </c:pt>
                <c:pt idx="12">
                  <c:v>64.523858227675973</c:v>
                </c:pt>
                <c:pt idx="13">
                  <c:v>84.927835080885686</c:v>
                </c:pt>
                <c:pt idx="14">
                  <c:v>111.80557941598965</c:v>
                </c:pt>
                <c:pt idx="15">
                  <c:v>147.21739219923637</c:v>
                </c:pt>
                <c:pt idx="16">
                  <c:v>166.04916974626317</c:v>
                </c:pt>
                <c:pt idx="17">
                  <c:v>184.83050748130609</c:v>
                </c:pt>
                <c:pt idx="18">
                  <c:v>203.56725462336894</c:v>
                </c:pt>
                <c:pt idx="19">
                  <c:v>222.26409389128818</c:v>
                </c:pt>
                <c:pt idx="20">
                  <c:v>240.92485492099092</c:v>
                </c:pt>
                <c:pt idx="21">
                  <c:v>188.2643627362979</c:v>
                </c:pt>
                <c:pt idx="22">
                  <c:v>206.7299721631174</c:v>
                </c:pt>
                <c:pt idx="23">
                  <c:v>225.15747257326962</c:v>
                </c:pt>
                <c:pt idx="24">
                  <c:v>243.55042195408143</c:v>
                </c:pt>
                <c:pt idx="25">
                  <c:v>261.91179661237214</c:v>
                </c:pt>
                <c:pt idx="26">
                  <c:v>279.72072320950451</c:v>
                </c:pt>
                <c:pt idx="27">
                  <c:v>297.50422822641758</c:v>
                </c:pt>
                <c:pt idx="28">
                  <c:v>315.26404478899815</c:v>
                </c:pt>
                <c:pt idx="29">
                  <c:v>333.00169481114176</c:v>
                </c:pt>
                <c:pt idx="30">
                  <c:v>350.718524849787</c:v>
                </c:pt>
                <c:pt idx="31">
                  <c:v>288.87705808665174</c:v>
                </c:pt>
                <c:pt idx="32">
                  <c:v>305.34226693659991</c:v>
                </c:pt>
                <c:pt idx="33">
                  <c:v>321.78774148773266</c:v>
                </c:pt>
                <c:pt idx="34">
                  <c:v>338.21463211726842</c:v>
                </c:pt>
                <c:pt idx="35">
                  <c:v>354.62396833757816</c:v>
                </c:pt>
                <c:pt idx="36">
                  <c:v>369.97634760308438</c:v>
                </c:pt>
                <c:pt idx="37">
                  <c:v>385.31483441513495</c:v>
                </c:pt>
                <c:pt idx="38">
                  <c:v>400.6400595826064</c:v>
                </c:pt>
                <c:pt idx="39">
                  <c:v>415.95260172468784</c:v>
                </c:pt>
                <c:pt idx="40">
                  <c:v>431.25299339113485</c:v>
                </c:pt>
                <c:pt idx="41">
                  <c:v>362.69224558225005</c:v>
                </c:pt>
                <c:pt idx="42">
                  <c:v>377.25732159062289</c:v>
                </c:pt>
                <c:pt idx="43">
                  <c:v>391.8101583797432</c:v>
                </c:pt>
                <c:pt idx="44">
                  <c:v>406.35127452426019</c:v>
                </c:pt>
                <c:pt idx="45">
                  <c:v>420.88114846037774</c:v>
                </c:pt>
                <c:pt idx="46">
                  <c:v>434.36349537251823</c:v>
                </c:pt>
                <c:pt idx="47">
                  <c:v>447.8368605050768</c:v>
                </c:pt>
                <c:pt idx="48">
                  <c:v>461.3015521180514</c:v>
                </c:pt>
                <c:pt idx="49">
                  <c:v>474.75785901065007</c:v>
                </c:pt>
                <c:pt idx="50">
                  <c:v>488.20605227820738</c:v>
                </c:pt>
                <c:pt idx="51">
                  <c:v>418.02793185917511</c:v>
                </c:pt>
                <c:pt idx="52">
                  <c:v>430.73452962363268</c:v>
                </c:pt>
                <c:pt idx="53">
                  <c:v>443.43307538617501</c:v>
                </c:pt>
                <c:pt idx="54">
                  <c:v>456.12383221540227</c:v>
                </c:pt>
                <c:pt idx="55">
                  <c:v>468.80704734775742</c:v>
                </c:pt>
                <c:pt idx="56">
                  <c:v>480.7070835671272</c:v>
                </c:pt>
                <c:pt idx="57">
                  <c:v>492.60086046942826</c:v>
                </c:pt>
                <c:pt idx="58">
                  <c:v>504.48855047560437</c:v>
                </c:pt>
                <c:pt idx="59">
                  <c:v>516.37031721870653</c:v>
                </c:pt>
                <c:pt idx="60">
                  <c:v>528.24631618797059</c:v>
                </c:pt>
                <c:pt idx="61">
                  <c:v>463.11346028434042</c:v>
                </c:pt>
                <c:pt idx="62">
                  <c:v>474.24046045825457</c:v>
                </c:pt>
                <c:pt idx="63">
                  <c:v>485.36190589341732</c:v>
                </c:pt>
                <c:pt idx="64">
                  <c:v>496.47794181454901</c:v>
                </c:pt>
                <c:pt idx="65">
                  <c:v>507.58870641276627</c:v>
                </c:pt>
                <c:pt idx="66">
                  <c:v>518.43611841200243</c:v>
                </c:pt>
                <c:pt idx="67">
                  <c:v>529.27874408889409</c:v>
                </c:pt>
                <c:pt idx="68">
                  <c:v>540.11669531196856</c:v>
                </c:pt>
                <c:pt idx="69">
                  <c:v>550.9500790943838</c:v>
                </c:pt>
                <c:pt idx="70">
                  <c:v>561.77899789802211</c:v>
                </c:pt>
                <c:pt idx="71">
                  <c:v>498.54545590936385</c:v>
                </c:pt>
                <c:pt idx="72">
                  <c:v>508.88031976649114</c:v>
                </c:pt>
                <c:pt idx="73">
                  <c:v>519.21074905094019</c:v>
                </c:pt>
                <c:pt idx="74">
                  <c:v>529.53684443621103</c:v>
                </c:pt>
                <c:pt idx="75">
                  <c:v>539.85870234920981</c:v>
                </c:pt>
                <c:pt idx="76">
                  <c:v>549.40272854807779</c:v>
                </c:pt>
                <c:pt idx="77">
                  <c:v>558.94327848964201</c:v>
                </c:pt>
                <c:pt idx="78">
                  <c:v>568.480419876562</c:v>
                </c:pt>
                <c:pt idx="79">
                  <c:v>578.01421795460294</c:v>
                </c:pt>
                <c:pt idx="80">
                  <c:v>587.54473564171451</c:v>
                </c:pt>
                <c:pt idx="81">
                  <c:v>528.50442714290682</c:v>
                </c:pt>
                <c:pt idx="82">
                  <c:v>537.79466527187378</c:v>
                </c:pt>
                <c:pt idx="83">
                  <c:v>547.08153124632327</c:v>
                </c:pt>
                <c:pt idx="84">
                  <c:v>556.36509038466863</c:v>
                </c:pt>
                <c:pt idx="85">
                  <c:v>565.64540564760989</c:v>
                </c:pt>
                <c:pt idx="86">
                  <c:v>574.40722403559391</c:v>
                </c:pt>
                <c:pt idx="87">
                  <c:v>583.16625256864188</c:v>
                </c:pt>
                <c:pt idx="88">
                  <c:v>591.92253905965333</c:v>
                </c:pt>
                <c:pt idx="89">
                  <c:v>600.67612979154853</c:v>
                </c:pt>
                <c:pt idx="90">
                  <c:v>609.42706958828774</c:v>
                </c:pt>
                <c:pt idx="91">
                  <c:v>553.27093416453454</c:v>
                </c:pt>
                <c:pt idx="92">
                  <c:v>561.52121762712397</c:v>
                </c:pt>
                <c:pt idx="93">
                  <c:v>569.76896492586991</c:v>
                </c:pt>
                <c:pt idx="94">
                  <c:v>578.01421795460294</c:v>
                </c:pt>
                <c:pt idx="95">
                  <c:v>586.25701731433821</c:v>
                </c:pt>
                <c:pt idx="96">
                  <c:v>594.49740237118067</c:v>
                </c:pt>
                <c:pt idx="97">
                  <c:v>602.7354113108488</c:v>
                </c:pt>
                <c:pt idx="98">
                  <c:v>610.97108119006737</c:v>
                </c:pt>
                <c:pt idx="99">
                  <c:v>619.20444798504298</c:v>
                </c:pt>
                <c:pt idx="100">
                  <c:v>627.43554663722682</c:v>
                </c:pt>
                <c:pt idx="101">
                  <c:v>574.40722403559391</c:v>
                </c:pt>
                <c:pt idx="102">
                  <c:v>581.8783332371363</c:v>
                </c:pt>
                <c:pt idx="103">
                  <c:v>589.347442560574</c:v>
                </c:pt>
                <c:pt idx="104">
                  <c:v>596.81458092949754</c:v>
                </c:pt>
                <c:pt idx="105">
                  <c:v>604.27977648460922</c:v>
                </c:pt>
                <c:pt idx="106">
                  <c:v>611.74305661453297</c:v>
                </c:pt>
                <c:pt idx="107">
                  <c:v>619.2044479850432</c:v>
                </c:pt>
                <c:pt idx="108">
                  <c:v>626.66397656681079</c:v>
                </c:pt>
                <c:pt idx="109">
                  <c:v>634.1216676617604</c:v>
                </c:pt>
                <c:pt idx="110">
                  <c:v>641.5775459281233</c:v>
                </c:pt>
                <c:pt idx="111">
                  <c:v>592.05128775380444</c:v>
                </c:pt>
                <c:pt idx="112">
                  <c:v>599.13157237326925</c:v>
                </c:pt>
                <c:pt idx="113">
                  <c:v>606.21011768196638</c:v>
                </c:pt>
                <c:pt idx="114">
                  <c:v>613.28694685645553</c:v>
                </c:pt>
                <c:pt idx="115">
                  <c:v>620.36208249472838</c:v>
                </c:pt>
                <c:pt idx="116">
                  <c:v>627.43554663722682</c:v>
                </c:pt>
                <c:pt idx="117">
                  <c:v>634.50736078686714</c:v>
                </c:pt>
                <c:pt idx="118">
                  <c:v>641.57754592812273</c:v>
                </c:pt>
                <c:pt idx="119">
                  <c:v>648.64612254522467</c:v>
                </c:pt>
                <c:pt idx="120">
                  <c:v>655.71311063952442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471385312"/>
        <c:axId val="-320471776"/>
      </c:scatterChart>
      <c:valAx>
        <c:axId val="-4713853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20471776"/>
        <c:crosses val="autoZero"/>
        <c:crossBetween val="midCat"/>
      </c:valAx>
      <c:valAx>
        <c:axId val="-320471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4713853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3.0295791840646493</c:v>
                </c:pt>
                <c:pt idx="2">
                  <c:v>3.725679628308781</c:v>
                </c:pt>
                <c:pt idx="3">
                  <c:v>4.5823279764895188</c:v>
                </c:pt>
                <c:pt idx="4">
                  <c:v>5.6366846031435918</c:v>
                </c:pt>
                <c:pt idx="5">
                  <c:v>6.9345395434073795</c:v>
                </c:pt>
                <c:pt idx="6">
                  <c:v>8.5323226929264795</c:v>
                </c:pt>
                <c:pt idx="7">
                  <c:v>10.499583588970779</c:v>
                </c:pt>
                <c:pt idx="8">
                  <c:v>12.922050750342303</c:v>
                </c:pt>
                <c:pt idx="9">
                  <c:v>15.905406371467258</c:v>
                </c:pt>
                <c:pt idx="10">
                  <c:v>19.579944057664719</c:v>
                </c:pt>
                <c:pt idx="11">
                  <c:v>24.106316685632123</c:v>
                </c:pt>
                <c:pt idx="12">
                  <c:v>29.682630145368211</c:v>
                </c:pt>
                <c:pt idx="13">
                  <c:v>36.553198854731285</c:v>
                </c:pt>
                <c:pt idx="14">
                  <c:v>45.01935324011523</c:v>
                </c:pt>
                <c:pt idx="15">
                  <c:v>55.452781189967119</c:v>
                </c:pt>
                <c:pt idx="16">
                  <c:v>68.311998946117441</c:v>
                </c:pt>
                <c:pt idx="17">
                  <c:v>84.162687112704418</c:v>
                </c:pt>
                <c:pt idx="18">
                  <c:v>103.70280075437397</c:v>
                </c:pt>
                <c:pt idx="19">
                  <c:v>127.7935767402505</c:v>
                </c:pt>
                <c:pt idx="20">
                  <c:v>157.49782623325171</c:v>
                </c:pt>
                <c:pt idx="21">
                  <c:v>172.61880685670505</c:v>
                </c:pt>
                <c:pt idx="22">
                  <c:v>187.70863707245701</c:v>
                </c:pt>
                <c:pt idx="23">
                  <c:v>202.77017479447795</c:v>
                </c:pt>
                <c:pt idx="24">
                  <c:v>217.80581820310817</c:v>
                </c:pt>
                <c:pt idx="25">
                  <c:v>232.81760702956308</c:v>
                </c:pt>
                <c:pt idx="26">
                  <c:v>181.00569664728371</c:v>
                </c:pt>
                <c:pt idx="27">
                  <c:v>200.26177659150264</c:v>
                </c:pt>
                <c:pt idx="28">
                  <c:v>219.47493841333153</c:v>
                </c:pt>
                <c:pt idx="29">
                  <c:v>238.64946815456821</c:v>
                </c:pt>
                <c:pt idx="30">
                  <c:v>257.78890626510474</c:v>
                </c:pt>
                <c:pt idx="31">
                  <c:v>280.21615005760458</c:v>
                </c:pt>
                <c:pt idx="32">
                  <c:v>302.60315205267642</c:v>
                </c:pt>
                <c:pt idx="33">
                  <c:v>324.95330656071559</c:v>
                </c:pt>
                <c:pt idx="34">
                  <c:v>347.26950287262474</c:v>
                </c:pt>
                <c:pt idx="35">
                  <c:v>369.55422870449644</c:v>
                </c:pt>
                <c:pt idx="36">
                  <c:v>276.89622424264081</c:v>
                </c:pt>
                <c:pt idx="37">
                  <c:v>300.11758429718867</c:v>
                </c:pt>
                <c:pt idx="38">
                  <c:v>323.29893699066071</c:v>
                </c:pt>
                <c:pt idx="39">
                  <c:v>346.44355255688725</c:v>
                </c:pt>
                <c:pt idx="40">
                  <c:v>369.55422870449632</c:v>
                </c:pt>
                <c:pt idx="41">
                  <c:v>393.04523943920964</c:v>
                </c:pt>
                <c:pt idx="42">
                  <c:v>416.50581806048382</c:v>
                </c:pt>
                <c:pt idx="43">
                  <c:v>439.93791831951495</c:v>
                </c:pt>
                <c:pt idx="44">
                  <c:v>463.34326900875232</c:v>
                </c:pt>
                <c:pt idx="45">
                  <c:v>486.72341015001939</c:v>
                </c:pt>
                <c:pt idx="46">
                  <c:v>394.28074727616132</c:v>
                </c:pt>
                <c:pt idx="47">
                  <c:v>416.9171476106103</c:v>
                </c:pt>
                <c:pt idx="48">
                  <c:v>439.52706413119489</c:v>
                </c:pt>
                <c:pt idx="49">
                  <c:v>462.11204968448243</c:v>
                </c:pt>
                <c:pt idx="50">
                  <c:v>484.67349306043207</c:v>
                </c:pt>
                <c:pt idx="51">
                  <c:v>505.5741589882723</c:v>
                </c:pt>
                <c:pt idx="52">
                  <c:v>526.45656094055948</c:v>
                </c:pt>
                <c:pt idx="53">
                  <c:v>547.32152470399308</c:v>
                </c:pt>
                <c:pt idx="54">
                  <c:v>568.16980802286537</c:v>
                </c:pt>
                <c:pt idx="55">
                  <c:v>589.00210854701277</c:v>
                </c:pt>
                <c:pt idx="56">
                  <c:v>493.69176260852379</c:v>
                </c:pt>
                <c:pt idx="57">
                  <c:v>512.94645994076382</c:v>
                </c:pt>
                <c:pt idx="58">
                  <c:v>532.18590126973982</c:v>
                </c:pt>
                <c:pt idx="59">
                  <c:v>551.41071534837477</c:v>
                </c:pt>
                <c:pt idx="60">
                  <c:v>570.62148354470401</c:v>
                </c:pt>
                <c:pt idx="61">
                  <c:v>588.59378151919873</c:v>
                </c:pt>
                <c:pt idx="62">
                  <c:v>606.55465432493395</c:v>
                </c:pt>
                <c:pt idx="63">
                  <c:v>624.504487652433</c:v>
                </c:pt>
                <c:pt idx="64">
                  <c:v>642.44364323070261</c:v>
                </c:pt>
                <c:pt idx="65">
                  <c:v>660.3724609570171</c:v>
                </c:pt>
                <c:pt idx="66">
                  <c:v>562.85708424728386</c:v>
                </c:pt>
                <c:pt idx="67">
                  <c:v>579.60908578354815</c:v>
                </c:pt>
                <c:pt idx="68">
                  <c:v>596.35099138861813</c:v>
                </c:pt>
                <c:pt idx="69">
                  <c:v>613.08312422226595</c:v>
                </c:pt>
                <c:pt idx="70">
                  <c:v>629.80578837901965</c:v>
                </c:pt>
                <c:pt idx="71">
                  <c:v>645.2966381487488</c:v>
                </c:pt>
                <c:pt idx="72">
                  <c:v>660.77981648497882</c:v>
                </c:pt>
                <c:pt idx="73">
                  <c:v>676.25552834120583</c:v>
                </c:pt>
                <c:pt idx="74">
                  <c:v>691.72396853231078</c:v>
                </c:pt>
                <c:pt idx="75">
                  <c:v>707.18532245626284</c:v>
                </c:pt>
                <c:pt idx="76">
                  <c:v>607.77885306593191</c:v>
                </c:pt>
                <c:pt idx="77">
                  <c:v>622.4652781759479</c:v>
                </c:pt>
                <c:pt idx="78">
                  <c:v>637.1445290217099</c:v>
                </c:pt>
                <c:pt idx="79">
                  <c:v>651.81679408188654</c:v>
                </c:pt>
                <c:pt idx="80">
                  <c:v>666.48225266324471</c:v>
                </c:pt>
                <c:pt idx="81">
                  <c:v>679.91975639292957</c:v>
                </c:pt>
                <c:pt idx="82">
                  <c:v>693.35181003961088</c:v>
                </c:pt>
                <c:pt idx="83">
                  <c:v>706.77853400111223</c:v>
                </c:pt>
                <c:pt idx="84">
                  <c:v>720.20004373069298</c:v>
                </c:pt>
                <c:pt idx="85">
                  <c:v>733.61645003038905</c:v>
                </c:pt>
                <c:pt idx="86">
                  <c:v>747.02785932179313</c:v>
                </c:pt>
                <c:pt idx="87">
                  <c:v>760.4343738963945</c:v>
                </c:pt>
                <c:pt idx="88">
                  <c:v>773.83609214735907</c:v>
                </c:pt>
                <c:pt idx="89">
                  <c:v>787.23310878443408</c:v>
                </c:pt>
                <c:pt idx="90">
                  <c:v>800.62551503347186</c:v>
                </c:pt>
                <c:pt idx="91">
                  <c:v>641.83225318617042</c:v>
                </c:pt>
                <c:pt idx="92">
                  <c:v>653.85406638827408</c:v>
                </c:pt>
                <c:pt idx="93">
                  <c:v>665.87132552880155</c:v>
                </c:pt>
                <c:pt idx="94">
                  <c:v>677.88412434483791</c:v>
                </c:pt>
                <c:pt idx="95">
                  <c:v>689.89255298185105</c:v>
                </c:pt>
                <c:pt idx="96">
                  <c:v>701.89669819273695</c:v>
                </c:pt>
                <c:pt idx="97">
                  <c:v>713.89664352255079</c:v>
                </c:pt>
                <c:pt idx="98">
                  <c:v>725.89246948017455</c:v>
                </c:pt>
                <c:pt idx="99">
                  <c:v>737.88425369805907</c:v>
                </c:pt>
                <c:pt idx="100">
                  <c:v>749.87207108104519</c:v>
                </c:pt>
                <c:pt idx="101">
                  <c:v>760.43437389639394</c:v>
                </c:pt>
                <c:pt idx="102">
                  <c:v>770.99369945175965</c:v>
                </c:pt>
                <c:pt idx="103">
                  <c:v>781.55009424926186</c:v>
                </c:pt>
                <c:pt idx="104">
                  <c:v>792.10360343306365</c:v>
                </c:pt>
                <c:pt idx="105">
                  <c:v>802.65427084697183</c:v>
                </c:pt>
                <c:pt idx="106">
                  <c:v>813.2021390888516</c:v>
                </c:pt>
                <c:pt idx="107">
                  <c:v>823.74724956207217</c:v>
                </c:pt>
                <c:pt idx="108">
                  <c:v>834.28964252418791</c:v>
                </c:pt>
                <c:pt idx="109">
                  <c:v>844.82935713302641</c:v>
                </c:pt>
                <c:pt idx="110">
                  <c:v>855.36643149036433</c:v>
                </c:pt>
                <c:pt idx="111">
                  <c:v>649.16814374322746</c:v>
                </c:pt>
                <c:pt idx="112">
                  <c:v>658.33560563795163</c:v>
                </c:pt>
                <c:pt idx="113">
                  <c:v>667.50043896178022</c:v>
                </c:pt>
                <c:pt idx="114">
                  <c:v>676.66268488632613</c:v>
                </c:pt>
                <c:pt idx="115">
                  <c:v>685.82238337756644</c:v>
                </c:pt>
                <c:pt idx="116">
                  <c:v>694.97957324712058</c:v>
                </c:pt>
                <c:pt idx="117">
                  <c:v>704.13429220068656</c:v>
                </c:pt>
                <c:pt idx="118">
                  <c:v>713.28657688382884</c:v>
                </c:pt>
                <c:pt idx="119">
                  <c:v>722.43646292529365</c:v>
                </c:pt>
                <c:pt idx="120">
                  <c:v>731.58398497801829</c:v>
                </c:pt>
                <c:pt idx="121">
                  <c:v>740.11956914072152</c:v>
                </c:pt>
                <c:pt idx="122">
                  <c:v>748.65315008932919</c:v>
                </c:pt>
                <c:pt idx="123">
                  <c:v>757.18475386959517</c:v>
                </c:pt>
                <c:pt idx="124">
                  <c:v>765.71440589266729</c:v>
                </c:pt>
                <c:pt idx="125">
                  <c:v>774.24213095759603</c:v>
                </c:pt>
                <c:pt idx="126">
                  <c:v>782.76795327280058</c:v>
                </c:pt>
                <c:pt idx="127">
                  <c:v>791.29189647655346</c:v>
                </c:pt>
                <c:pt idx="128">
                  <c:v>799.81398365653479</c:v>
                </c:pt>
                <c:pt idx="129">
                  <c:v>808.33423736851239</c:v>
                </c:pt>
                <c:pt idx="130">
                  <c:v>816.85267965419155</c:v>
                </c:pt>
                <c:pt idx="131">
                  <c:v>639.59038670342318</c:v>
                </c:pt>
                <c:pt idx="132">
                  <c:v>647.33433222460849</c:v>
                </c:pt>
                <c:pt idx="133">
                  <c:v>655.07636694999781</c:v>
                </c:pt>
                <c:pt idx="134">
                  <c:v>662.81651664582557</c:v>
                </c:pt>
                <c:pt idx="135">
                  <c:v>670.55480642750706</c:v>
                </c:pt>
                <c:pt idx="136">
                  <c:v>678.29126078355807</c:v>
                </c:pt>
                <c:pt idx="137">
                  <c:v>686.02590359836915</c:v>
                </c:pt>
                <c:pt idx="138">
                  <c:v>693.7587581738976</c:v>
                </c:pt>
                <c:pt idx="139">
                  <c:v>701.48984725034506</c:v>
                </c:pt>
                <c:pt idx="140">
                  <c:v>709.21919302587401</c:v>
                </c:pt>
                <c:pt idx="141">
                  <c:v>716.33680368243961</c:v>
                </c:pt>
                <c:pt idx="142">
                  <c:v>723.45297038005356</c:v>
                </c:pt>
                <c:pt idx="143">
                  <c:v>730.5677093227813</c:v>
                </c:pt>
                <c:pt idx="144">
                  <c:v>737.68103637339038</c:v>
                </c:pt>
                <c:pt idx="145">
                  <c:v>744.79296706383138</c:v>
                </c:pt>
                <c:pt idx="146">
                  <c:v>751.90351660529711</c:v>
                </c:pt>
                <c:pt idx="147">
                  <c:v>759.01269989788318</c:v>
                </c:pt>
                <c:pt idx="148">
                  <c:v>766.12053153986801</c:v>
                </c:pt>
                <c:pt idx="149">
                  <c:v>773.22702583662794</c:v>
                </c:pt>
                <c:pt idx="150">
                  <c:v>780.33219680921172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320472320"/>
        <c:axId val="-320475040"/>
      </c:scatterChart>
      <c:valAx>
        <c:axId val="-32047232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20475040"/>
        <c:crosses val="autoZero"/>
        <c:crossBetween val="midCat"/>
      </c:valAx>
      <c:valAx>
        <c:axId val="-320475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204723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2.5701199751485899</c:v>
                </c:pt>
                <c:pt idx="2">
                  <c:v>3.1761950482551646</c:v>
                </c:pt>
                <c:pt idx="3">
                  <c:v>3.9257411783807914</c:v>
                </c:pt>
                <c:pt idx="4">
                  <c:v>4.8528436316164436</c:v>
                </c:pt>
                <c:pt idx="5">
                  <c:v>5.9997127748970547</c:v>
                </c:pt>
                <c:pt idx="6">
                  <c:v>7.4186269452783291</c:v>
                </c:pt>
                <c:pt idx="7">
                  <c:v>9.1743412316125035</c:v>
                </c:pt>
                <c:pt idx="8">
                  <c:v>11.347074191266621</c:v>
                </c:pt>
                <c:pt idx="9">
                  <c:v>14.036211523459508</c:v>
                </c:pt>
                <c:pt idx="10">
                  <c:v>17.364899240955943</c:v>
                </c:pt>
                <c:pt idx="11">
                  <c:v>32.173716703656488</c:v>
                </c:pt>
                <c:pt idx="12">
                  <c:v>46.787802861560664</c:v>
                </c:pt>
                <c:pt idx="13">
                  <c:v>61.278573178119878</c:v>
                </c:pt>
                <c:pt idx="14">
                  <c:v>75.679710498558791</c:v>
                </c:pt>
                <c:pt idx="15">
                  <c:v>90.010799689565431</c:v>
                </c:pt>
                <c:pt idx="16">
                  <c:v>107.84522593798255</c:v>
                </c:pt>
                <c:pt idx="17">
                  <c:v>125.60688557852342</c:v>
                </c:pt>
                <c:pt idx="18">
                  <c:v>143.30754256422119</c:v>
                </c:pt>
                <c:pt idx="19">
                  <c:v>160.95580359158967</c:v>
                </c:pt>
                <c:pt idx="20">
                  <c:v>178.55822760704453</c:v>
                </c:pt>
                <c:pt idx="21">
                  <c:v>123.12415447878497</c:v>
                </c:pt>
                <c:pt idx="22">
                  <c:v>138.35696538228595</c:v>
                </c:pt>
                <c:pt idx="23">
                  <c:v>153.54945750312899</c:v>
                </c:pt>
                <c:pt idx="24">
                  <c:v>168.70618534384241</c:v>
                </c:pt>
                <c:pt idx="25">
                  <c:v>183.83081652024464</c:v>
                </c:pt>
                <c:pt idx="26">
                  <c:v>199.27709915885649</c:v>
                </c:pt>
                <c:pt idx="27">
                  <c:v>214.69562221588228</c:v>
                </c:pt>
                <c:pt idx="28">
                  <c:v>230.08866047092724</c:v>
                </c:pt>
                <c:pt idx="29">
                  <c:v>245.45815924548194</c:v>
                </c:pt>
                <c:pt idx="30">
                  <c:v>260.80580020638394</c:v>
                </c:pt>
                <c:pt idx="31">
                  <c:v>276.13305084516719</c:v>
                </c:pt>
                <c:pt idx="32">
                  <c:v>291.44120238295483</c:v>
                </c:pt>
                <c:pt idx="33">
                  <c:v>306.7313992866795</c:v>
                </c:pt>
                <c:pt idx="34">
                  <c:v>322.00466258727732</c:v>
                </c:pt>
                <c:pt idx="35">
                  <c:v>337.26190853958752</c:v>
                </c:pt>
                <c:pt idx="36">
                  <c:v>218.19620322489709</c:v>
                </c:pt>
                <c:pt idx="37">
                  <c:v>231.48683334645435</c:v>
                </c:pt>
                <c:pt idx="38">
                  <c:v>244.76003171038471</c:v>
                </c:pt>
                <c:pt idx="39">
                  <c:v>258.01687712472409</c:v>
                </c:pt>
                <c:pt idx="40">
                  <c:v>271.25832842500023</c:v>
                </c:pt>
                <c:pt idx="41">
                  <c:v>284.48524314677451</c:v>
                </c:pt>
                <c:pt idx="42">
                  <c:v>297.69839254073707</c:v>
                </c:pt>
                <c:pt idx="43">
                  <c:v>310.89847378061245</c:v>
                </c:pt>
                <c:pt idx="44">
                  <c:v>324.0861199880448</c:v>
                </c:pt>
                <c:pt idx="45">
                  <c:v>337.26190853958735</c:v>
                </c:pt>
                <c:pt idx="46">
                  <c:v>350.42636800716019</c:v>
                </c:pt>
                <c:pt idx="47">
                  <c:v>363.5799840007133</c:v>
                </c:pt>
                <c:pt idx="48">
                  <c:v>376.72320412097571</c:v>
                </c:pt>
                <c:pt idx="49">
                  <c:v>389.85644218478711</c:v>
                </c:pt>
                <c:pt idx="50">
                  <c:v>402.98008185125178</c:v>
                </c:pt>
                <c:pt idx="51">
                  <c:v>416.09447975082259</c:v>
                </c:pt>
                <c:pt idx="52">
                  <c:v>429.19996819929173</c:v>
                </c:pt>
                <c:pt idx="53">
                  <c:v>442.2968575630004</c:v>
                </c:pt>
                <c:pt idx="54">
                  <c:v>455.38543832930395</c:v>
                </c:pt>
                <c:pt idx="55">
                  <c:v>468.46598292660588</c:v>
                </c:pt>
                <c:pt idx="56">
                  <c:v>481.19482482996779</c:v>
                </c:pt>
                <c:pt idx="57">
                  <c:v>493.91651328433619</c:v>
                </c:pt>
                <c:pt idx="58">
                  <c:v>506.63125847667106</c:v>
                </c:pt>
                <c:pt idx="59">
                  <c:v>519.33925918522516</c:v>
                </c:pt>
                <c:pt idx="60">
                  <c:v>532.04070366867973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320474496"/>
        <c:axId val="-320472864"/>
      </c:scatterChart>
      <c:valAx>
        <c:axId val="-3204744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20472864"/>
        <c:crosses val="autoZero"/>
        <c:crossBetween val="midCat"/>
      </c:valAx>
      <c:valAx>
        <c:axId val="-320472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204744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2.5051793880464022</c:v>
                </c:pt>
                <c:pt idx="2">
                  <c:v>3.624379518797646</c:v>
                </c:pt>
                <c:pt idx="3">
                  <c:v>5.245804396463571</c:v>
                </c:pt>
                <c:pt idx="4">
                  <c:v>7.5957538995022098</c:v>
                </c:pt>
                <c:pt idx="5">
                  <c:v>11.002889067654728</c:v>
                </c:pt>
                <c:pt idx="6">
                  <c:v>15.94469618571255</c:v>
                </c:pt>
                <c:pt idx="7">
                  <c:v>23.115110018714589</c:v>
                </c:pt>
                <c:pt idx="8">
                  <c:v>33.522960010987198</c:v>
                </c:pt>
                <c:pt idx="9">
                  <c:v>48.635328574767534</c:v>
                </c:pt>
                <c:pt idx="10">
                  <c:v>70.586367176528725</c:v>
                </c:pt>
                <c:pt idx="11">
                  <c:v>86.750565269587057</c:v>
                </c:pt>
                <c:pt idx="12">
                  <c:v>102.83879803340767</c:v>
                </c:pt>
                <c:pt idx="13">
                  <c:v>118.86466834612668</c:v>
                </c:pt>
                <c:pt idx="14">
                  <c:v>134.83778772804266</c:v>
                </c:pt>
                <c:pt idx="15">
                  <c:v>150.76529438308779</c:v>
                </c:pt>
                <c:pt idx="16">
                  <c:v>167.58609180073498</c:v>
                </c:pt>
                <c:pt idx="17">
                  <c:v>184.36706165947314</c:v>
                </c:pt>
                <c:pt idx="18">
                  <c:v>201.11234096493192</c:v>
                </c:pt>
                <c:pt idx="19">
                  <c:v>217.82532057738877</c:v>
                </c:pt>
                <c:pt idx="20">
                  <c:v>234.50882798734798</c:v>
                </c:pt>
                <c:pt idx="21">
                  <c:v>179.89578175515399</c:v>
                </c:pt>
                <c:pt idx="22">
                  <c:v>195.90630603165638</c:v>
                </c:pt>
                <c:pt idx="23">
                  <c:v>211.88644040662157</c:v>
                </c:pt>
                <c:pt idx="24">
                  <c:v>227.8388000501443</c:v>
                </c:pt>
                <c:pt idx="25">
                  <c:v>243.7656037181774</c:v>
                </c:pt>
                <c:pt idx="26">
                  <c:v>258.55996582862014</c:v>
                </c:pt>
                <c:pt idx="27">
                  <c:v>273.33520033559711</c:v>
                </c:pt>
                <c:pt idx="28">
                  <c:v>288.09248690720159</c:v>
                </c:pt>
                <c:pt idx="29">
                  <c:v>302.83287445261459</c:v>
                </c:pt>
                <c:pt idx="30">
                  <c:v>317.55730140999771</c:v>
                </c:pt>
                <c:pt idx="31">
                  <c:v>266.68863313173614</c:v>
                </c:pt>
                <c:pt idx="32">
                  <c:v>280.34708223777625</c:v>
                </c:pt>
                <c:pt idx="33">
                  <c:v>293.99061497304456</c:v>
                </c:pt>
                <c:pt idx="34">
                  <c:v>307.62002121541275</c:v>
                </c:pt>
                <c:pt idx="35">
                  <c:v>321.23601511616613</c:v>
                </c:pt>
                <c:pt idx="36">
                  <c:v>333.9204979335957</c:v>
                </c:pt>
                <c:pt idx="37">
                  <c:v>346.59436515417241</c:v>
                </c:pt>
                <c:pt idx="38">
                  <c:v>359.25805972164727</c:v>
                </c:pt>
                <c:pt idx="39">
                  <c:v>371.91199079793336</c:v>
                </c:pt>
                <c:pt idx="40">
                  <c:v>384.55653742563442</c:v>
                </c:pt>
                <c:pt idx="41">
                  <c:v>333.73674177279372</c:v>
                </c:pt>
                <c:pt idx="42">
                  <c:v>344.39095706701545</c:v>
                </c:pt>
                <c:pt idx="43">
                  <c:v>355.03793258448491</c:v>
                </c:pt>
                <c:pt idx="44">
                  <c:v>365.67791612653735</c:v>
                </c:pt>
                <c:pt idx="45">
                  <c:v>376.31113989160684</c:v>
                </c:pt>
                <c:pt idx="46">
                  <c:v>388.21991999001642</c:v>
                </c:pt>
                <c:pt idx="47">
                  <c:v>400.12077123505782</c:v>
                </c:pt>
                <c:pt idx="48">
                  <c:v>412.01396272598663</c:v>
                </c:pt>
                <c:pt idx="49">
                  <c:v>423.89974675677786</c:v>
                </c:pt>
                <c:pt idx="50">
                  <c:v>435.77836031740276</c:v>
                </c:pt>
                <c:pt idx="51">
                  <c:v>386.57149119930949</c:v>
                </c:pt>
                <c:pt idx="52">
                  <c:v>396.82592891778563</c:v>
                </c:pt>
                <c:pt idx="53">
                  <c:v>407.07462745738593</c:v>
                </c:pt>
                <c:pt idx="54">
                  <c:v>417.31775172696166</c:v>
                </c:pt>
                <c:pt idx="55">
                  <c:v>427.55545787700885</c:v>
                </c:pt>
                <c:pt idx="56">
                  <c:v>436.87449417629483</c:v>
                </c:pt>
                <c:pt idx="57">
                  <c:v>446.18926598986599</c:v>
                </c:pt>
                <c:pt idx="58">
                  <c:v>455.49987492646034</c:v>
                </c:pt>
                <c:pt idx="59">
                  <c:v>464.80641810082903</c:v>
                </c:pt>
                <c:pt idx="60">
                  <c:v>474.1089884204419</c:v>
                </c:pt>
                <c:pt idx="61">
                  <c:v>429.20030820600761</c:v>
                </c:pt>
                <c:pt idx="62">
                  <c:v>438.15324243063037</c:v>
                </c:pt>
                <c:pt idx="63">
                  <c:v>447.10225323882588</c:v>
                </c:pt>
                <c:pt idx="64">
                  <c:v>456.04743026253209</c:v>
                </c:pt>
                <c:pt idx="65">
                  <c:v>464.98885932943654</c:v>
                </c:pt>
                <c:pt idx="66">
                  <c:v>473.37951655772713</c:v>
                </c:pt>
                <c:pt idx="67">
                  <c:v>481.76700859297108</c:v>
                </c:pt>
                <c:pt idx="68">
                  <c:v>490.15139833039979</c:v>
                </c:pt>
                <c:pt idx="69">
                  <c:v>498.53274633730325</c:v>
                </c:pt>
                <c:pt idx="70">
                  <c:v>506.91111097773273</c:v>
                </c:pt>
                <c:pt idx="71">
                  <c:v>464.62397534491424</c:v>
                </c:pt>
                <c:pt idx="72">
                  <c:v>472.46764307020067</c:v>
                </c:pt>
                <c:pt idx="73">
                  <c:v>480.3085389126577</c:v>
                </c:pt>
                <c:pt idx="74">
                  <c:v>488.14671452261973</c:v>
                </c:pt>
                <c:pt idx="75">
                  <c:v>495.98221975577513</c:v>
                </c:pt>
                <c:pt idx="76">
                  <c:v>503.63297212422799</c:v>
                </c:pt>
                <c:pt idx="77">
                  <c:v>511.28126619569599</c:v>
                </c:pt>
                <c:pt idx="78">
                  <c:v>518.92714394285838</c:v>
                </c:pt>
                <c:pt idx="79">
                  <c:v>526.57064600025694</c:v>
                </c:pt>
                <c:pt idx="80">
                  <c:v>534.21181172618469</c:v>
                </c:pt>
                <c:pt idx="81">
                  <c:v>495.61783616373629</c:v>
                </c:pt>
                <c:pt idx="82">
                  <c:v>502.54015900432404</c:v>
                </c:pt>
                <c:pt idx="83">
                  <c:v>509.46046451409057</c:v>
                </c:pt>
                <c:pt idx="84">
                  <c:v>516.37878397247289</c:v>
                </c:pt>
                <c:pt idx="85">
                  <c:v>523.29514775204495</c:v>
                </c:pt>
                <c:pt idx="86">
                  <c:v>530.02765090640912</c:v>
                </c:pt>
                <c:pt idx="87">
                  <c:v>536.75835440954427</c:v>
                </c:pt>
                <c:pt idx="88">
                  <c:v>543.48728401958329</c:v>
                </c:pt>
                <c:pt idx="89">
                  <c:v>550.21446480458246</c:v>
                </c:pt>
                <c:pt idx="90">
                  <c:v>556.9399211694066</c:v>
                </c:pt>
                <c:pt idx="91">
                  <c:v>520.56523587504466</c:v>
                </c:pt>
                <c:pt idx="92">
                  <c:v>526.93456370623039</c:v>
                </c:pt>
                <c:pt idx="93">
                  <c:v>533.30227038661212</c:v>
                </c:pt>
                <c:pt idx="94">
                  <c:v>539.66837801147665</c:v>
                </c:pt>
                <c:pt idx="95">
                  <c:v>546.03290811209172</c:v>
                </c:pt>
                <c:pt idx="96">
                  <c:v>551.30519586187143</c:v>
                </c:pt>
                <c:pt idx="97">
                  <c:v>556.57642667737025</c:v>
                </c:pt>
                <c:pt idx="98">
                  <c:v>561.84661198547337</c:v>
                </c:pt>
                <c:pt idx="99">
                  <c:v>567.11576298110947</c:v>
                </c:pt>
                <c:pt idx="100">
                  <c:v>572.38389063411842</c:v>
                </c:pt>
                <c:pt idx="101">
                  <c:v>539.39557733448703</c:v>
                </c:pt>
                <c:pt idx="102">
                  <c:v>545.48743824543419</c:v>
                </c:pt>
                <c:pt idx="103">
                  <c:v>551.57787155305903</c:v>
                </c:pt>
                <c:pt idx="104">
                  <c:v>557.66689525051686</c:v>
                </c:pt>
                <c:pt idx="105">
                  <c:v>563.75452690583643</c:v>
                </c:pt>
                <c:pt idx="106">
                  <c:v>569.84078367654786</c:v>
                </c:pt>
                <c:pt idx="107">
                  <c:v>575.92568232365227</c:v>
                </c:pt>
                <c:pt idx="108">
                  <c:v>582.00923922497111</c:v>
                </c:pt>
                <c:pt idx="109">
                  <c:v>588.09147038790695</c:v>
                </c:pt>
                <c:pt idx="110">
                  <c:v>594.17239146165014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320473952"/>
        <c:axId val="-320473408"/>
      </c:scatterChart>
      <c:valAx>
        <c:axId val="-32047395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20473408"/>
        <c:crosses val="autoZero"/>
        <c:crossBetween val="midCat"/>
      </c:valAx>
      <c:valAx>
        <c:axId val="-320473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204739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61233120"/>
        <c:axId val="-161234752"/>
      </c:scatterChart>
      <c:valAx>
        <c:axId val="-16123312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61234752"/>
        <c:crosses val="autoZero"/>
        <c:crossBetween val="midCat"/>
      </c:valAx>
      <c:valAx>
        <c:axId val="-16123475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612331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=""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=""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=""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=""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=""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zoomScale="80" zoomScaleNormal="80" workbookViewId="0">
      <selection activeCell="N18" sqref="N18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2.93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14</v>
      </c>
      <c r="C9" s="35">
        <v>0.3</v>
      </c>
      <c r="D9" s="36">
        <f t="shared" ref="D9:D18" si="0">C9*$C$5</f>
        <v>0.879</v>
      </c>
      <c r="E9" s="37">
        <v>150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23</v>
      </c>
      <c r="C10" s="35">
        <v>0.2</v>
      </c>
      <c r="D10" s="36">
        <f t="shared" si="0"/>
        <v>0.58600000000000008</v>
      </c>
      <c r="E10" s="37">
        <v>80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8</v>
      </c>
      <c r="C11" s="35">
        <v>0.15</v>
      </c>
      <c r="D11" s="36">
        <f t="shared" si="0"/>
        <v>0.4395</v>
      </c>
      <c r="E11" s="37">
        <v>80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29</v>
      </c>
      <c r="C12" s="35">
        <v>0.1</v>
      </c>
      <c r="D12" s="36">
        <f t="shared" si="0"/>
        <v>0.29300000000000004</v>
      </c>
      <c r="E12" s="37">
        <v>69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 t="s">
        <v>6</v>
      </c>
      <c r="C13" s="35">
        <v>0.1</v>
      </c>
      <c r="D13" s="36">
        <f t="shared" si="0"/>
        <v>0.29300000000000004</v>
      </c>
      <c r="E13" s="37">
        <v>120</v>
      </c>
      <c r="F13" s="38" t="str">
        <f t="array" ref="F13">IF(E13="","",IF(INDEX(A:A,MAX(IF(ISNUMBER($A$140:$A$159),ROW($A$140:$A$159),"")))&lt;&gt;E13,"Corrigez : révolution incorrecte","OK"))</f>
        <v>OK</v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 t="s">
        <v>1</v>
      </c>
      <c r="C14" s="35">
        <v>7.0000000000000007E-2</v>
      </c>
      <c r="D14" s="36">
        <f t="shared" si="0"/>
        <v>0.20510000000000003</v>
      </c>
      <c r="E14" s="37">
        <v>150</v>
      </c>
      <c r="F14" s="38" t="str">
        <f t="array" ref="F14">IF(E14="","",IF(INDEX(A:A,MAX(IF(ISNUMBER($A$166:$A$185),ROW($A$166:$A$185),"")))&lt;&gt;E14,"Corrigez : révolution incorrecte","OK"))</f>
        <v>OK</v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 t="s">
        <v>5</v>
      </c>
      <c r="C15" s="35">
        <v>0.04</v>
      </c>
      <c r="D15" s="36">
        <f t="shared" si="0"/>
        <v>0.11720000000000001</v>
      </c>
      <c r="E15" s="37">
        <v>60</v>
      </c>
      <c r="F15" s="38" t="str">
        <f t="array" ref="F15">IF(E15="","",IF(INDEX(A:A,MAX(IF(ISNUMBER($A$192:$A$211),ROW($A$192:$A$211),"")))&lt;&gt;E15,"Corrigez : révolution incorrecte","OK"))</f>
        <v>OK</v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 t="s">
        <v>50</v>
      </c>
      <c r="C16" s="35">
        <v>0.04</v>
      </c>
      <c r="D16" s="36">
        <f t="shared" si="0"/>
        <v>0.11720000000000001</v>
      </c>
      <c r="E16" s="37">
        <v>110</v>
      </c>
      <c r="F16" s="38" t="str">
        <f t="array" ref="F16">IF(E16="","",IF(INDEX(A:A,MAX(IF(ISNUMBER($A$218:$A$237),ROW($A$218:$A$237),"")))&lt;&gt;E16,"Corrigez : révolution incorrecte","OK"))</f>
        <v>OK</v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2.93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Chêne sessile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20</v>
      </c>
      <c r="B36" s="63">
        <f>67+6</f>
        <v>73</v>
      </c>
      <c r="C36" s="63"/>
      <c r="D36" s="63"/>
      <c r="E36" s="54"/>
      <c r="F36" s="54"/>
      <c r="G36" s="54"/>
      <c r="H36" s="54"/>
      <c r="I36" s="52">
        <f>IFERROR(B36/A36,"")</f>
        <v>3.65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25</v>
      </c>
      <c r="B37" s="63">
        <f>75+6+28</f>
        <v>109</v>
      </c>
      <c r="C37" s="63">
        <v>1</v>
      </c>
      <c r="D37" s="63">
        <f>6+28</f>
        <v>34</v>
      </c>
      <c r="E37" s="54"/>
      <c r="F37" s="54"/>
      <c r="G37" s="54"/>
      <c r="H37" s="54">
        <v>1</v>
      </c>
      <c r="I37" s="56">
        <f t="shared" ref="I37:I55" si="1">IF(A37&lt;&gt;0,(B37-(B36-D36))/(A37-A36),"")</f>
        <v>7.2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30</v>
      </c>
      <c r="B38" s="63">
        <f>93+28</f>
        <v>121</v>
      </c>
      <c r="C38" s="63"/>
      <c r="D38" s="63"/>
      <c r="E38" s="54"/>
      <c r="F38" s="54"/>
      <c r="G38" s="54"/>
      <c r="H38" s="54"/>
      <c r="I38" s="56">
        <f t="shared" si="1"/>
        <v>9.1999999999999993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35</v>
      </c>
      <c r="B39" s="63">
        <f>119+28+28</f>
        <v>175</v>
      </c>
      <c r="C39" s="63">
        <v>2</v>
      </c>
      <c r="D39" s="63">
        <f>28+28</f>
        <v>56</v>
      </c>
      <c r="E39" s="54"/>
      <c r="F39" s="54"/>
      <c r="G39" s="54"/>
      <c r="H39" s="54"/>
      <c r="I39" s="52">
        <f t="shared" si="1"/>
        <v>10.8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40</v>
      </c>
      <c r="B40" s="63">
        <f>147+28</f>
        <v>175</v>
      </c>
      <c r="C40" s="63"/>
      <c r="D40" s="63"/>
      <c r="E40" s="54"/>
      <c r="F40" s="54"/>
      <c r="G40" s="54"/>
      <c r="H40" s="54"/>
      <c r="I40" s="52">
        <f t="shared" si="1"/>
        <v>11.2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45</v>
      </c>
      <c r="B41" s="63">
        <f>176+28+28</f>
        <v>232</v>
      </c>
      <c r="C41" s="63">
        <v>3</v>
      </c>
      <c r="D41" s="63">
        <f>28+28</f>
        <v>56</v>
      </c>
      <c r="E41" s="54"/>
      <c r="F41" s="54"/>
      <c r="G41" s="54"/>
      <c r="H41" s="54"/>
      <c r="I41" s="56">
        <f t="shared" si="1"/>
        <v>11.4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50</v>
      </c>
      <c r="B42" s="63">
        <f>203+28</f>
        <v>231</v>
      </c>
      <c r="C42" s="63"/>
      <c r="D42" s="63"/>
      <c r="E42" s="54"/>
      <c r="F42" s="54"/>
      <c r="G42" s="54"/>
      <c r="H42" s="54"/>
      <c r="I42" s="56">
        <f t="shared" si="1"/>
        <v>11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55</v>
      </c>
      <c r="B43" s="63">
        <f>226+28+28</f>
        <v>282</v>
      </c>
      <c r="C43" s="63">
        <v>4</v>
      </c>
      <c r="D43" s="63">
        <f>28+28</f>
        <v>56</v>
      </c>
      <c r="E43" s="54"/>
      <c r="F43" s="54"/>
      <c r="G43" s="54"/>
      <c r="H43" s="54"/>
      <c r="I43" s="52">
        <f t="shared" si="1"/>
        <v>10.199999999999999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60</v>
      </c>
      <c r="B44" s="63">
        <f>245+28</f>
        <v>273</v>
      </c>
      <c r="C44" s="63"/>
      <c r="D44" s="63"/>
      <c r="E44" s="54"/>
      <c r="F44" s="54"/>
      <c r="G44" s="54"/>
      <c r="H44" s="54"/>
      <c r="I44" s="52">
        <f t="shared" si="1"/>
        <v>9.4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>
        <v>65</v>
      </c>
      <c r="B45" s="63">
        <f>261+28+28</f>
        <v>317</v>
      </c>
      <c r="C45" s="63">
        <v>5</v>
      </c>
      <c r="D45" s="63">
        <f>28+28</f>
        <v>56</v>
      </c>
      <c r="E45" s="54"/>
      <c r="F45" s="54"/>
      <c r="G45" s="54"/>
      <c r="H45" s="54"/>
      <c r="I45" s="52">
        <f t="shared" si="1"/>
        <v>8.8000000000000007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>
        <v>70</v>
      </c>
      <c r="B46" s="63">
        <f>274+28</f>
        <v>302</v>
      </c>
      <c r="C46" s="63"/>
      <c r="D46" s="63"/>
      <c r="E46" s="54"/>
      <c r="F46" s="54"/>
      <c r="G46" s="54"/>
      <c r="H46" s="54"/>
      <c r="I46" s="52">
        <f t="shared" si="1"/>
        <v>8.1999999999999993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>
        <v>75</v>
      </c>
      <c r="B47" s="63">
        <f>284+28+28</f>
        <v>340</v>
      </c>
      <c r="C47" s="63">
        <v>6</v>
      </c>
      <c r="D47" s="63">
        <f>28+28</f>
        <v>56</v>
      </c>
      <c r="E47" s="54"/>
      <c r="F47" s="54"/>
      <c r="G47" s="54"/>
      <c r="H47" s="54"/>
      <c r="I47" s="52">
        <f t="shared" si="1"/>
        <v>7.6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>
        <v>80</v>
      </c>
      <c r="B48" s="63">
        <f>292+28</f>
        <v>320</v>
      </c>
      <c r="C48" s="63"/>
      <c r="D48" s="63"/>
      <c r="E48" s="54"/>
      <c r="F48" s="54"/>
      <c r="G48" s="54"/>
      <c r="H48" s="54"/>
      <c r="I48" s="52">
        <f t="shared" si="1"/>
        <v>7.2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>
        <v>90</v>
      </c>
      <c r="B49" s="63">
        <f>302+28+28+28</f>
        <v>386</v>
      </c>
      <c r="C49" s="63">
        <v>7</v>
      </c>
      <c r="D49" s="63">
        <f>28+28+28</f>
        <v>84</v>
      </c>
      <c r="E49" s="54"/>
      <c r="F49" s="54"/>
      <c r="G49" s="54"/>
      <c r="H49" s="54"/>
      <c r="I49" s="52">
        <f t="shared" si="1"/>
        <v>6.6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>
        <v>100</v>
      </c>
      <c r="B50" s="53">
        <v>361</v>
      </c>
      <c r="C50" s="53"/>
      <c r="D50" s="53"/>
      <c r="E50" s="54"/>
      <c r="F50" s="54"/>
      <c r="G50" s="54"/>
      <c r="H50" s="54"/>
      <c r="I50" s="52">
        <f t="shared" si="1"/>
        <v>5.9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>
        <v>110</v>
      </c>
      <c r="B51" s="53">
        <v>413</v>
      </c>
      <c r="C51" s="53">
        <v>8</v>
      </c>
      <c r="D51" s="53">
        <v>106</v>
      </c>
      <c r="E51" s="54"/>
      <c r="F51" s="54"/>
      <c r="G51" s="54"/>
      <c r="H51" s="54"/>
      <c r="I51" s="52">
        <f t="shared" si="1"/>
        <v>5.2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>
        <v>120</v>
      </c>
      <c r="B52" s="53">
        <v>352</v>
      </c>
      <c r="C52" s="53"/>
      <c r="D52" s="53"/>
      <c r="E52" s="54"/>
      <c r="F52" s="54"/>
      <c r="G52" s="54"/>
      <c r="H52" s="54"/>
      <c r="I52" s="52">
        <f t="shared" si="1"/>
        <v>4.5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>
        <v>130</v>
      </c>
      <c r="B53" s="53">
        <v>394</v>
      </c>
      <c r="C53" s="53">
        <v>9</v>
      </c>
      <c r="D53" s="53">
        <v>91</v>
      </c>
      <c r="E53" s="54"/>
      <c r="F53" s="54"/>
      <c r="G53" s="54"/>
      <c r="H53" s="54"/>
      <c r="I53" s="52">
        <f t="shared" si="1"/>
        <v>4.2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>
        <v>140</v>
      </c>
      <c r="B54" s="53">
        <v>341</v>
      </c>
      <c r="C54" s="53"/>
      <c r="D54" s="53"/>
      <c r="E54" s="54"/>
      <c r="F54" s="54"/>
      <c r="G54" s="54"/>
      <c r="H54" s="54"/>
      <c r="I54" s="52">
        <f t="shared" si="1"/>
        <v>3.8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>
        <v>150</v>
      </c>
      <c r="B55" s="53">
        <v>376</v>
      </c>
      <c r="C55" s="53">
        <v>10</v>
      </c>
      <c r="D55" s="53">
        <v>376</v>
      </c>
      <c r="E55" s="54"/>
      <c r="F55" s="54"/>
      <c r="G55" s="54"/>
      <c r="H55" s="54"/>
      <c r="I55" s="52">
        <f t="shared" si="1"/>
        <v>3.5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Erable sycomore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15</v>
      </c>
      <c r="B62" s="63">
        <v>65</v>
      </c>
      <c r="C62" s="63"/>
      <c r="D62" s="63"/>
      <c r="E62" s="54"/>
      <c r="F62" s="54"/>
      <c r="G62" s="54"/>
      <c r="H62" s="54"/>
      <c r="I62" s="56">
        <f>IFERROR(B62/A62,"")</f>
        <v>4.333333333333333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20</v>
      </c>
      <c r="B63" s="63">
        <f>102+32</f>
        <v>134</v>
      </c>
      <c r="C63" s="63">
        <v>1</v>
      </c>
      <c r="D63" s="63">
        <f>32+35</f>
        <v>67</v>
      </c>
      <c r="E63" s="54"/>
      <c r="F63" s="54"/>
      <c r="G63" s="54"/>
      <c r="H63" s="54">
        <v>1</v>
      </c>
      <c r="I63" s="52">
        <f>IF(A63&lt;&gt;0,(B63-(B62-D62))/(A63-A62),"")</f>
        <v>13.8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25</v>
      </c>
      <c r="B64" s="63">
        <v>141</v>
      </c>
      <c r="C64" s="63"/>
      <c r="D64" s="63"/>
      <c r="E64" s="54"/>
      <c r="F64" s="54"/>
      <c r="G64" s="54"/>
      <c r="H64" s="54"/>
      <c r="I64" s="52">
        <f>IF(A64&lt;&gt;0,(B64-(B63-D63))/(A64-A63),"")</f>
        <v>14.8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30</v>
      </c>
      <c r="B65" s="63">
        <f>177+35</f>
        <v>212</v>
      </c>
      <c r="C65" s="63">
        <v>2</v>
      </c>
      <c r="D65" s="63">
        <f>35+35</f>
        <v>70</v>
      </c>
      <c r="E65" s="54"/>
      <c r="F65" s="54"/>
      <c r="G65" s="54"/>
      <c r="H65" s="54">
        <v>1</v>
      </c>
      <c r="I65" s="52">
        <f>IF(A65&lt;&gt;0,(B65-(B64-D64))/(A65-A64),"")</f>
        <v>14.2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35</v>
      </c>
      <c r="B66" s="63">
        <v>206</v>
      </c>
      <c r="C66" s="63"/>
      <c r="D66" s="63"/>
      <c r="E66" s="54"/>
      <c r="F66" s="54"/>
      <c r="G66" s="54"/>
      <c r="H66" s="54"/>
      <c r="I66" s="52">
        <f t="shared" ref="I66:I81" si="2">IF(A66&lt;&gt;0,(B66-(B65-D65))/(A66-A65),"")</f>
        <v>12.8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40</v>
      </c>
      <c r="B67" s="63">
        <f>228+35</f>
        <v>263</v>
      </c>
      <c r="C67" s="63">
        <v>3</v>
      </c>
      <c r="D67" s="63">
        <f>35+35</f>
        <v>70</v>
      </c>
      <c r="E67" s="54"/>
      <c r="F67" s="54"/>
      <c r="G67" s="54"/>
      <c r="H67" s="54"/>
      <c r="I67" s="52">
        <f t="shared" si="2"/>
        <v>11.4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45</v>
      </c>
      <c r="B68" s="63">
        <v>242</v>
      </c>
      <c r="C68" s="63"/>
      <c r="D68" s="63"/>
      <c r="E68" s="54"/>
      <c r="F68" s="54"/>
      <c r="G68" s="54"/>
      <c r="H68" s="54"/>
      <c r="I68" s="52">
        <f t="shared" si="2"/>
        <v>9.8000000000000007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283">
        <v>50</v>
      </c>
      <c r="B69" s="63">
        <f>261+24</f>
        <v>285</v>
      </c>
      <c r="C69" s="63">
        <v>4</v>
      </c>
      <c r="D69" s="63">
        <f>24+19</f>
        <v>43</v>
      </c>
      <c r="E69" s="54"/>
      <c r="F69" s="54"/>
      <c r="G69" s="54"/>
      <c r="H69" s="54"/>
      <c r="I69" s="52">
        <f t="shared" si="2"/>
        <v>8.6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283">
        <v>55</v>
      </c>
      <c r="B70" s="63">
        <v>279</v>
      </c>
      <c r="C70" s="63"/>
      <c r="D70" s="63"/>
      <c r="E70" s="54"/>
      <c r="F70" s="54"/>
      <c r="G70" s="54"/>
      <c r="H70" s="54"/>
      <c r="I70" s="52">
        <f t="shared" si="2"/>
        <v>7.4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283">
        <v>60</v>
      </c>
      <c r="B71" s="63">
        <f>294+16</f>
        <v>310</v>
      </c>
      <c r="C71" s="63">
        <v>5</v>
      </c>
      <c r="D71" s="63">
        <f>16+14</f>
        <v>30</v>
      </c>
      <c r="E71" s="54"/>
      <c r="F71" s="54"/>
      <c r="G71" s="54"/>
      <c r="H71" s="54"/>
      <c r="I71" s="52">
        <f t="shared" si="2"/>
        <v>6.2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283">
        <v>65</v>
      </c>
      <c r="B72" s="63">
        <v>306</v>
      </c>
      <c r="C72" s="63"/>
      <c r="D72" s="63"/>
      <c r="E72" s="54"/>
      <c r="F72" s="54"/>
      <c r="G72" s="54"/>
      <c r="H72" s="54"/>
      <c r="I72" s="52">
        <f t="shared" si="2"/>
        <v>5.2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283">
        <v>70</v>
      </c>
      <c r="B73" s="63">
        <f>315+13</f>
        <v>328</v>
      </c>
      <c r="C73" s="63">
        <v>6</v>
      </c>
      <c r="D73" s="63">
        <f>13+13</f>
        <v>26</v>
      </c>
      <c r="E73" s="54"/>
      <c r="F73" s="54"/>
      <c r="G73" s="54"/>
      <c r="H73" s="54"/>
      <c r="I73" s="52">
        <f t="shared" si="2"/>
        <v>4.4000000000000004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283">
        <v>75</v>
      </c>
      <c r="B74" s="63">
        <v>324</v>
      </c>
      <c r="C74" s="63"/>
      <c r="D74" s="63"/>
      <c r="E74" s="54"/>
      <c r="F74" s="54"/>
      <c r="G74" s="54"/>
      <c r="H74" s="54"/>
      <c r="I74" s="52">
        <f t="shared" si="2"/>
        <v>4.4000000000000004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283">
        <v>80</v>
      </c>
      <c r="B75" s="63">
        <f>330+12</f>
        <v>342</v>
      </c>
      <c r="C75" s="63">
        <v>7</v>
      </c>
      <c r="D75" s="63">
        <f>B75</f>
        <v>342</v>
      </c>
      <c r="E75" s="54"/>
      <c r="F75" s="54"/>
      <c r="G75" s="54"/>
      <c r="H75" s="54"/>
      <c r="I75" s="52">
        <f t="shared" si="2"/>
        <v>3.6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28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28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28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28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28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28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Châtaignier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15</v>
      </c>
      <c r="B88" s="63">
        <v>65</v>
      </c>
      <c r="C88" s="63"/>
      <c r="D88" s="63"/>
      <c r="E88" s="54"/>
      <c r="F88" s="54"/>
      <c r="G88" s="54"/>
      <c r="H88" s="54"/>
      <c r="I88" s="56">
        <f>IFERROR(B88/A88,"")</f>
        <v>4.333333333333333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20</v>
      </c>
      <c r="B89" s="63">
        <f>102+32</f>
        <v>134</v>
      </c>
      <c r="C89" s="63">
        <v>1</v>
      </c>
      <c r="D89" s="63">
        <f>32+35</f>
        <v>67</v>
      </c>
      <c r="E89" s="54"/>
      <c r="F89" s="54"/>
      <c r="G89" s="54"/>
      <c r="H89" s="54">
        <v>1</v>
      </c>
      <c r="I89" s="56">
        <f t="shared" ref="I89:I107" si="3">IF(A89&lt;&gt;0,(B89-(B88-D88))/(A89-A88),"")</f>
        <v>13.8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25</v>
      </c>
      <c r="B90" s="63">
        <v>141</v>
      </c>
      <c r="C90" s="63"/>
      <c r="D90" s="63"/>
      <c r="E90" s="54"/>
      <c r="F90" s="54"/>
      <c r="G90" s="54"/>
      <c r="H90" s="54"/>
      <c r="I90" s="56">
        <f t="shared" si="3"/>
        <v>14.8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30</v>
      </c>
      <c r="B91" s="63">
        <f>177+35</f>
        <v>212</v>
      </c>
      <c r="C91" s="63">
        <v>2</v>
      </c>
      <c r="D91" s="63">
        <f>35+35</f>
        <v>70</v>
      </c>
      <c r="E91" s="54"/>
      <c r="F91" s="54"/>
      <c r="G91" s="54"/>
      <c r="H91" s="54">
        <v>1</v>
      </c>
      <c r="I91" s="56">
        <f t="shared" si="3"/>
        <v>14.2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35</v>
      </c>
      <c r="B92" s="63">
        <v>206</v>
      </c>
      <c r="C92" s="63"/>
      <c r="D92" s="63"/>
      <c r="E92" s="54"/>
      <c r="F92" s="54"/>
      <c r="G92" s="54"/>
      <c r="H92" s="54"/>
      <c r="I92" s="56">
        <f t="shared" si="3"/>
        <v>12.8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40</v>
      </c>
      <c r="B93" s="63">
        <f>228+35</f>
        <v>263</v>
      </c>
      <c r="C93" s="63">
        <v>3</v>
      </c>
      <c r="D93" s="63">
        <f>35+35</f>
        <v>70</v>
      </c>
      <c r="E93" s="54"/>
      <c r="F93" s="54"/>
      <c r="G93" s="54"/>
      <c r="H93" s="54"/>
      <c r="I93" s="56">
        <f t="shared" si="3"/>
        <v>11.4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45</v>
      </c>
      <c r="B94" s="63">
        <v>242</v>
      </c>
      <c r="C94" s="63"/>
      <c r="D94" s="63"/>
      <c r="E94" s="54"/>
      <c r="F94" s="54"/>
      <c r="G94" s="54"/>
      <c r="H94" s="54"/>
      <c r="I94" s="56">
        <f t="shared" si="3"/>
        <v>9.8000000000000007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283">
        <v>50</v>
      </c>
      <c r="B95" s="63">
        <f>261+24</f>
        <v>285</v>
      </c>
      <c r="C95" s="63">
        <v>4</v>
      </c>
      <c r="D95" s="63">
        <f>24+19</f>
        <v>43</v>
      </c>
      <c r="E95" s="54"/>
      <c r="F95" s="54"/>
      <c r="G95" s="54"/>
      <c r="H95" s="54"/>
      <c r="I95" s="56">
        <f t="shared" si="3"/>
        <v>8.6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283">
        <v>55</v>
      </c>
      <c r="B96" s="63">
        <v>279</v>
      </c>
      <c r="C96" s="63"/>
      <c r="D96" s="63"/>
      <c r="E96" s="54"/>
      <c r="F96" s="54"/>
      <c r="G96" s="54"/>
      <c r="H96" s="54"/>
      <c r="I96" s="56">
        <f t="shared" si="3"/>
        <v>7.4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283">
        <v>60</v>
      </c>
      <c r="B97" s="63">
        <f>294+16</f>
        <v>310</v>
      </c>
      <c r="C97" s="63">
        <v>5</v>
      </c>
      <c r="D97" s="63">
        <f>16+14</f>
        <v>30</v>
      </c>
      <c r="E97" s="54"/>
      <c r="F97" s="54"/>
      <c r="G97" s="54"/>
      <c r="H97" s="54"/>
      <c r="I97" s="56">
        <f t="shared" si="3"/>
        <v>6.2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283">
        <v>65</v>
      </c>
      <c r="B98" s="63">
        <v>306</v>
      </c>
      <c r="C98" s="63"/>
      <c r="D98" s="63"/>
      <c r="E98" s="54"/>
      <c r="F98" s="54"/>
      <c r="G98" s="54"/>
      <c r="H98" s="54"/>
      <c r="I98" s="56">
        <f t="shared" si="3"/>
        <v>5.2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283">
        <v>70</v>
      </c>
      <c r="B99" s="63">
        <f>315+13</f>
        <v>328</v>
      </c>
      <c r="C99" s="63">
        <v>6</v>
      </c>
      <c r="D99" s="63">
        <f>13+13</f>
        <v>26</v>
      </c>
      <c r="E99" s="54"/>
      <c r="F99" s="54"/>
      <c r="G99" s="54"/>
      <c r="H99" s="54"/>
      <c r="I99" s="56">
        <f t="shared" si="3"/>
        <v>4.4000000000000004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283">
        <v>75</v>
      </c>
      <c r="B100" s="63">
        <v>324</v>
      </c>
      <c r="C100" s="63"/>
      <c r="D100" s="63"/>
      <c r="E100" s="54"/>
      <c r="F100" s="54"/>
      <c r="G100" s="54"/>
      <c r="H100" s="54"/>
      <c r="I100" s="56">
        <f t="shared" si="3"/>
        <v>4.4000000000000004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283">
        <v>80</v>
      </c>
      <c r="B101" s="63">
        <f>330+12</f>
        <v>342</v>
      </c>
      <c r="C101" s="63">
        <v>7</v>
      </c>
      <c r="D101" s="63">
        <f>B101</f>
        <v>342</v>
      </c>
      <c r="E101" s="54"/>
      <c r="F101" s="54"/>
      <c r="G101" s="54"/>
      <c r="H101" s="54"/>
      <c r="I101" s="56">
        <f t="shared" si="3"/>
        <v>3.6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283"/>
      <c r="B102" s="53"/>
      <c r="C102" s="53"/>
      <c r="D102" s="53"/>
      <c r="E102" s="54"/>
      <c r="F102" s="54"/>
      <c r="G102" s="54"/>
      <c r="H102" s="54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283"/>
      <c r="B103" s="53"/>
      <c r="C103" s="53"/>
      <c r="D103" s="53"/>
      <c r="E103" s="54"/>
      <c r="F103" s="54"/>
      <c r="G103" s="54"/>
      <c r="H103" s="54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283"/>
      <c r="B104" s="53"/>
      <c r="C104" s="53"/>
      <c r="D104" s="53"/>
      <c r="E104" s="54"/>
      <c r="F104" s="54"/>
      <c r="G104" s="54"/>
      <c r="H104" s="54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283"/>
      <c r="B105" s="53"/>
      <c r="C105" s="53"/>
      <c r="D105" s="53"/>
      <c r="E105" s="54"/>
      <c r="F105" s="54"/>
      <c r="G105" s="54"/>
      <c r="H105" s="54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283"/>
      <c r="B106" s="53"/>
      <c r="C106" s="53"/>
      <c r="D106" s="53"/>
      <c r="E106" s="54"/>
      <c r="F106" s="54"/>
      <c r="G106" s="54"/>
      <c r="H106" s="54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283"/>
      <c r="B107" s="53"/>
      <c r="C107" s="53"/>
      <c r="D107" s="53"/>
      <c r="E107" s="54"/>
      <c r="F107" s="54"/>
      <c r="G107" s="54"/>
      <c r="H107" s="54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Merisier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15</v>
      </c>
      <c r="B114" s="63">
        <v>40</v>
      </c>
      <c r="C114" s="63"/>
      <c r="D114" s="63"/>
      <c r="E114" s="54"/>
      <c r="F114" s="54"/>
      <c r="G114" s="54"/>
      <c r="H114" s="54"/>
      <c r="I114" s="56">
        <f>IFERROR(B114/A114,"")</f>
        <v>2.6666666666666665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>
        <v>20</v>
      </c>
      <c r="B115" s="63">
        <f>85+3</f>
        <v>88</v>
      </c>
      <c r="C115" s="63">
        <v>1</v>
      </c>
      <c r="D115" s="63">
        <f>3+25</f>
        <v>28</v>
      </c>
      <c r="E115" s="54"/>
      <c r="F115" s="54"/>
      <c r="G115" s="54"/>
      <c r="H115" s="54">
        <v>1</v>
      </c>
      <c r="I115" s="56">
        <f t="shared" ref="I115:I133" si="4">IF(A115&lt;&gt;0,(B115-(B114-D114))/(A115-A114),"")</f>
        <v>9.6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>
        <v>25</v>
      </c>
      <c r="B116" s="63">
        <v>113</v>
      </c>
      <c r="C116" s="63">
        <v>2</v>
      </c>
      <c r="D116" s="63">
        <v>27</v>
      </c>
      <c r="E116" s="54"/>
      <c r="F116" s="54"/>
      <c r="G116" s="54"/>
      <c r="H116" s="54">
        <v>1</v>
      </c>
      <c r="I116" s="56">
        <f t="shared" si="4"/>
        <v>10.6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>
        <v>31</v>
      </c>
      <c r="B117" s="63">
        <v>155</v>
      </c>
      <c r="C117" s="63">
        <v>3</v>
      </c>
      <c r="D117" s="63">
        <v>36</v>
      </c>
      <c r="E117" s="54"/>
      <c r="F117" s="54"/>
      <c r="G117" s="54"/>
      <c r="H117" s="54"/>
      <c r="I117" s="56">
        <f t="shared" si="4"/>
        <v>11.5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>
        <v>37</v>
      </c>
      <c r="B118" s="63">
        <v>188</v>
      </c>
      <c r="C118" s="63">
        <v>4</v>
      </c>
      <c r="D118" s="63">
        <v>36</v>
      </c>
      <c r="E118" s="54"/>
      <c r="F118" s="54"/>
      <c r="G118" s="54"/>
      <c r="H118" s="54"/>
      <c r="I118" s="56">
        <f t="shared" si="4"/>
        <v>11.5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>
        <v>44</v>
      </c>
      <c r="B119" s="63">
        <v>230</v>
      </c>
      <c r="C119" s="63">
        <v>5</v>
      </c>
      <c r="D119" s="63">
        <v>43</v>
      </c>
      <c r="E119" s="54"/>
      <c r="F119" s="54"/>
      <c r="G119" s="54"/>
      <c r="H119" s="54"/>
      <c r="I119" s="56">
        <f t="shared" si="4"/>
        <v>11.142857142857142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53">
        <v>52</v>
      </c>
      <c r="B120" s="63">
        <v>270</v>
      </c>
      <c r="C120" s="63">
        <v>6</v>
      </c>
      <c r="D120" s="63">
        <v>48</v>
      </c>
      <c r="E120" s="54"/>
      <c r="F120" s="54"/>
      <c r="G120" s="54"/>
      <c r="H120" s="54"/>
      <c r="I120" s="56">
        <f t="shared" si="4"/>
        <v>10.375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53">
        <v>60</v>
      </c>
      <c r="B121" s="53">
        <v>297</v>
      </c>
      <c r="C121" s="53">
        <v>7</v>
      </c>
      <c r="D121" s="53">
        <v>47</v>
      </c>
      <c r="E121" s="54"/>
      <c r="F121" s="54"/>
      <c r="G121" s="54"/>
      <c r="H121" s="54"/>
      <c r="I121" s="56">
        <f t="shared" si="4"/>
        <v>9.375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53">
        <v>69</v>
      </c>
      <c r="B122" s="53">
        <v>328</v>
      </c>
      <c r="C122" s="53">
        <v>8</v>
      </c>
      <c r="D122" s="53">
        <v>328</v>
      </c>
      <c r="E122" s="54"/>
      <c r="F122" s="54"/>
      <c r="G122" s="54"/>
      <c r="H122" s="54"/>
      <c r="I122" s="56">
        <f t="shared" si="4"/>
        <v>8.6666666666666661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53"/>
      <c r="B123" s="53"/>
      <c r="C123" s="53"/>
      <c r="D123" s="53"/>
      <c r="E123" s="54"/>
      <c r="F123" s="54"/>
      <c r="G123" s="54"/>
      <c r="H123" s="54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53"/>
      <c r="B124" s="53"/>
      <c r="C124" s="53"/>
      <c r="D124" s="53"/>
      <c r="E124" s="54"/>
      <c r="F124" s="54"/>
      <c r="G124" s="54"/>
      <c r="H124" s="54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>Charme</v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>
        <v>15</v>
      </c>
      <c r="B140" s="63">
        <f>(98+10)/1.56</f>
        <v>69.230769230769226</v>
      </c>
      <c r="C140" s="53"/>
      <c r="D140" s="63"/>
      <c r="E140" s="54"/>
      <c r="F140" s="54"/>
      <c r="G140" s="54"/>
      <c r="H140" s="54"/>
      <c r="I140" s="60">
        <f>IFERROR(B140/A140,"")</f>
        <v>4.615384615384615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>
        <v>20</v>
      </c>
      <c r="B141" s="63">
        <f>(150+10+19)/1.56</f>
        <v>114.74358974358974</v>
      </c>
      <c r="C141" s="53">
        <v>1</v>
      </c>
      <c r="D141" s="63">
        <f>(10+19+25)/1.56</f>
        <v>34.615384615384613</v>
      </c>
      <c r="E141" s="54"/>
      <c r="F141" s="54"/>
      <c r="G141" s="54"/>
      <c r="H141" s="54">
        <v>1</v>
      </c>
      <c r="I141" s="60">
        <f t="shared" ref="I141:I159" si="5">IF(A141&lt;&gt;0,(B141-(B140-D140))/(A141-A140),"")</f>
        <v>9.1025641025641022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>
        <v>25</v>
      </c>
      <c r="B142" s="63">
        <f>195/1.56</f>
        <v>125</v>
      </c>
      <c r="C142" s="53"/>
      <c r="D142" s="63"/>
      <c r="E142" s="54"/>
      <c r="F142" s="54"/>
      <c r="G142" s="54"/>
      <c r="H142" s="54"/>
      <c r="I142" s="60">
        <f t="shared" si="5"/>
        <v>8.9743589743589745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>
        <v>30</v>
      </c>
      <c r="B143" s="63">
        <f>(234+29)/1.56</f>
        <v>168.58974358974359</v>
      </c>
      <c r="C143" s="53">
        <v>2</v>
      </c>
      <c r="D143" s="63">
        <f>(29+31)/1.56</f>
        <v>38.46153846153846</v>
      </c>
      <c r="E143" s="54"/>
      <c r="F143" s="54"/>
      <c r="G143" s="54"/>
      <c r="H143" s="54">
        <v>1</v>
      </c>
      <c r="I143" s="60">
        <f t="shared" si="5"/>
        <v>8.717948717948719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>
        <v>35</v>
      </c>
      <c r="B144" s="63">
        <f>266/1.56</f>
        <v>170.5128205128205</v>
      </c>
      <c r="C144" s="53"/>
      <c r="D144" s="63"/>
      <c r="E144" s="54"/>
      <c r="F144" s="54"/>
      <c r="G144" s="54"/>
      <c r="H144" s="54"/>
      <c r="I144" s="60">
        <f t="shared" si="5"/>
        <v>8.0769230769230713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>
        <v>40</v>
      </c>
      <c r="B145" s="63">
        <f>(293+32)/1.56</f>
        <v>208.33333333333331</v>
      </c>
      <c r="C145" s="53">
        <v>3</v>
      </c>
      <c r="D145" s="63">
        <f>(32+32)/1.56</f>
        <v>41.025641025641022</v>
      </c>
      <c r="E145" s="54"/>
      <c r="F145" s="54"/>
      <c r="G145" s="54"/>
      <c r="H145" s="54"/>
      <c r="I145" s="60">
        <f t="shared" si="5"/>
        <v>7.5641025641025639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>
        <v>45</v>
      </c>
      <c r="B146" s="63">
        <f>317/1.56</f>
        <v>203.2051282051282</v>
      </c>
      <c r="C146" s="53"/>
      <c r="D146" s="63"/>
      <c r="E146" s="54"/>
      <c r="F146" s="54"/>
      <c r="G146" s="54"/>
      <c r="H146" s="54"/>
      <c r="I146" s="60">
        <f t="shared" si="5"/>
        <v>7.1794871794871824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>
        <v>50</v>
      </c>
      <c r="B147" s="63">
        <f>(336+33)/1.56</f>
        <v>236.53846153846152</v>
      </c>
      <c r="C147" s="53">
        <v>4</v>
      </c>
      <c r="D147" s="63">
        <f>(33+31)/1.56</f>
        <v>41.025641025641022</v>
      </c>
      <c r="E147" s="54"/>
      <c r="F147" s="54"/>
      <c r="G147" s="54"/>
      <c r="H147" s="54"/>
      <c r="I147" s="60">
        <f>IF(A147&lt;&gt;0,(B147-(B146-D146))/(A147-A146),"")</f>
        <v>6.6666666666666625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>
        <v>55</v>
      </c>
      <c r="B148" s="63">
        <f>354/1.56</f>
        <v>226.92307692307691</v>
      </c>
      <c r="C148" s="53"/>
      <c r="D148" s="63"/>
      <c r="E148" s="54"/>
      <c r="F148" s="54"/>
      <c r="G148" s="54"/>
      <c r="H148" s="54"/>
      <c r="I148" s="60">
        <f t="shared" si="5"/>
        <v>6.2820512820512819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>
        <v>60</v>
      </c>
      <c r="B149" s="63">
        <f>(370+30)/1.56</f>
        <v>256.41025641025641</v>
      </c>
      <c r="C149" s="53">
        <v>5</v>
      </c>
      <c r="D149" s="63">
        <f>(30+29)/1.56</f>
        <v>37.820512820512818</v>
      </c>
      <c r="E149" s="54"/>
      <c r="F149" s="54"/>
      <c r="G149" s="54"/>
      <c r="H149" s="54"/>
      <c r="I149" s="60">
        <f t="shared" si="5"/>
        <v>5.8974358974359005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>
        <v>65</v>
      </c>
      <c r="B150" s="63">
        <f>384/1.56</f>
        <v>246.15384615384613</v>
      </c>
      <c r="C150" s="53"/>
      <c r="D150" s="63"/>
      <c r="E150" s="54"/>
      <c r="F150" s="54"/>
      <c r="G150" s="54"/>
      <c r="H150" s="54"/>
      <c r="I150" s="60">
        <f t="shared" si="5"/>
        <v>5.5128205128205083</v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>
        <v>70</v>
      </c>
      <c r="B151" s="63">
        <f>(397+29)/1.56</f>
        <v>273.07692307692309</v>
      </c>
      <c r="C151" s="53">
        <v>6</v>
      </c>
      <c r="D151" s="63">
        <f>(29+28)/1.56</f>
        <v>36.53846153846154</v>
      </c>
      <c r="E151" s="54"/>
      <c r="F151" s="54"/>
      <c r="G151" s="54"/>
      <c r="H151" s="54"/>
      <c r="I151" s="60">
        <f t="shared" si="5"/>
        <v>5.3846153846153921</v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>
        <v>75</v>
      </c>
      <c r="B152" s="63">
        <f>409/1.56</f>
        <v>262.17948717948718</v>
      </c>
      <c r="C152" s="53"/>
      <c r="D152" s="63"/>
      <c r="E152" s="57"/>
      <c r="F152" s="57"/>
      <c r="G152" s="57"/>
      <c r="H152" s="57"/>
      <c r="I152" s="60">
        <f t="shared" si="5"/>
        <v>5.1282051282051269</v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>
        <v>80</v>
      </c>
      <c r="B153" s="63">
        <f>(419+27)/1.56</f>
        <v>285.89743589743591</v>
      </c>
      <c r="C153" s="53">
        <v>7</v>
      </c>
      <c r="D153" s="63">
        <f>(27+26)/1.56</f>
        <v>33.974358974358971</v>
      </c>
      <c r="E153" s="57"/>
      <c r="F153" s="57"/>
      <c r="G153" s="57"/>
      <c r="H153" s="57"/>
      <c r="I153" s="60">
        <f t="shared" si="5"/>
        <v>4.7435897435897463</v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>
        <v>85</v>
      </c>
      <c r="B154" s="59">
        <v>275</v>
      </c>
      <c r="C154" s="53"/>
      <c r="D154" s="53"/>
      <c r="E154" s="57"/>
      <c r="F154" s="57"/>
      <c r="G154" s="57"/>
      <c r="H154" s="57"/>
      <c r="I154" s="60">
        <f t="shared" si="5"/>
        <v>4.6153846153846132</v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>
        <v>90</v>
      </c>
      <c r="B155" s="59">
        <v>296.79487179487177</v>
      </c>
      <c r="C155" s="53">
        <v>8</v>
      </c>
      <c r="D155" s="53">
        <v>32.051282051282051</v>
      </c>
      <c r="E155" s="57"/>
      <c r="F155" s="57"/>
      <c r="G155" s="57"/>
      <c r="H155" s="57"/>
      <c r="I155" s="60">
        <f t="shared" si="5"/>
        <v>4.3589743589743533</v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>
        <v>95</v>
      </c>
      <c r="B156" s="59">
        <v>285.25641025641022</v>
      </c>
      <c r="C156" s="53"/>
      <c r="D156" s="53"/>
      <c r="E156" s="57"/>
      <c r="F156" s="57"/>
      <c r="G156" s="57"/>
      <c r="H156" s="57"/>
      <c r="I156" s="60">
        <f t="shared" si="5"/>
        <v>4.1025641025640995</v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>
        <v>100</v>
      </c>
      <c r="B157" s="59">
        <v>305.76923076923077</v>
      </c>
      <c r="C157" s="53">
        <v>9</v>
      </c>
      <c r="D157" s="53">
        <v>30.128205128205128</v>
      </c>
      <c r="E157" s="57"/>
      <c r="F157" s="57"/>
      <c r="G157" s="57"/>
      <c r="H157" s="57"/>
      <c r="I157" s="60">
        <f t="shared" si="5"/>
        <v>4.1025641025641111</v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>
        <v>110</v>
      </c>
      <c r="B158" s="59">
        <v>312.82051282051282</v>
      </c>
      <c r="C158" s="53">
        <v>10</v>
      </c>
      <c r="D158" s="53">
        <v>28.205128205128204</v>
      </c>
      <c r="E158" s="57"/>
      <c r="F158" s="57"/>
      <c r="G158" s="57"/>
      <c r="H158" s="57"/>
      <c r="I158" s="60">
        <f t="shared" si="5"/>
        <v>3.7179487179487181</v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>
        <v>120</v>
      </c>
      <c r="B159" s="59">
        <v>319.87179487179486</v>
      </c>
      <c r="C159" s="53">
        <v>11</v>
      </c>
      <c r="D159" s="61">
        <v>319.87179487179486</v>
      </c>
      <c r="E159" s="57"/>
      <c r="F159" s="57"/>
      <c r="G159" s="57"/>
      <c r="H159" s="57"/>
      <c r="I159" s="60">
        <f t="shared" si="5"/>
        <v>3.525641025641022</v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>Alisier torminal</v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>
        <v>20</v>
      </c>
      <c r="B166" s="63">
        <f>67+6</f>
        <v>73</v>
      </c>
      <c r="C166" s="63"/>
      <c r="D166" s="63"/>
      <c r="E166" s="54"/>
      <c r="F166" s="54"/>
      <c r="G166" s="54"/>
      <c r="H166" s="54"/>
      <c r="I166" s="52">
        <f>IFERROR(B166/A166,"")</f>
        <v>3.65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>
        <v>25</v>
      </c>
      <c r="B167" s="63">
        <f>75+6+28</f>
        <v>109</v>
      </c>
      <c r="C167" s="63">
        <v>1</v>
      </c>
      <c r="D167" s="63">
        <f>6+28</f>
        <v>34</v>
      </c>
      <c r="E167" s="54"/>
      <c r="F167" s="54"/>
      <c r="G167" s="54"/>
      <c r="H167" s="54">
        <v>1</v>
      </c>
      <c r="I167" s="52">
        <f t="shared" ref="I167:I185" si="6">IF(A167&lt;&gt;0,(B167-(B166-D166))/(A167-A166),"")</f>
        <v>7.2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>
        <v>30</v>
      </c>
      <c r="B168" s="63">
        <f>93+28</f>
        <v>121</v>
      </c>
      <c r="C168" s="63"/>
      <c r="D168" s="63"/>
      <c r="E168" s="54"/>
      <c r="F168" s="54"/>
      <c r="G168" s="54"/>
      <c r="H168" s="54"/>
      <c r="I168" s="52">
        <f t="shared" si="6"/>
        <v>9.1999999999999993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>
        <v>35</v>
      </c>
      <c r="B169" s="63">
        <f>119+28+28</f>
        <v>175</v>
      </c>
      <c r="C169" s="63">
        <v>2</v>
      </c>
      <c r="D169" s="63">
        <f>28+28</f>
        <v>56</v>
      </c>
      <c r="E169" s="54"/>
      <c r="F169" s="54"/>
      <c r="G169" s="54"/>
      <c r="H169" s="54"/>
      <c r="I169" s="52">
        <f t="shared" si="6"/>
        <v>10.8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>
        <v>40</v>
      </c>
      <c r="B170" s="63">
        <f>147+28</f>
        <v>175</v>
      </c>
      <c r="C170" s="63"/>
      <c r="D170" s="63"/>
      <c r="E170" s="54"/>
      <c r="F170" s="54"/>
      <c r="G170" s="54"/>
      <c r="H170" s="54"/>
      <c r="I170" s="52">
        <f t="shared" si="6"/>
        <v>11.2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>
        <v>45</v>
      </c>
      <c r="B171" s="63">
        <f>176+28+28</f>
        <v>232</v>
      </c>
      <c r="C171" s="63">
        <v>3</v>
      </c>
      <c r="D171" s="63">
        <f>28+28</f>
        <v>56</v>
      </c>
      <c r="E171" s="54"/>
      <c r="F171" s="54"/>
      <c r="G171" s="54"/>
      <c r="H171" s="54"/>
      <c r="I171" s="52">
        <f t="shared" si="6"/>
        <v>11.4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>
        <v>50</v>
      </c>
      <c r="B172" s="63">
        <f>203+28</f>
        <v>231</v>
      </c>
      <c r="C172" s="63"/>
      <c r="D172" s="63"/>
      <c r="E172" s="54"/>
      <c r="F172" s="54"/>
      <c r="G172" s="54"/>
      <c r="H172" s="54"/>
      <c r="I172" s="52">
        <f t="shared" si="6"/>
        <v>11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283">
        <v>55</v>
      </c>
      <c r="B173" s="63">
        <f>226+28+28</f>
        <v>282</v>
      </c>
      <c r="C173" s="63">
        <v>4</v>
      </c>
      <c r="D173" s="63">
        <f>28+28</f>
        <v>56</v>
      </c>
      <c r="E173" s="54"/>
      <c r="F173" s="54"/>
      <c r="G173" s="54"/>
      <c r="H173" s="54"/>
      <c r="I173" s="52">
        <f t="shared" si="6"/>
        <v>10.199999999999999</v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283">
        <v>60</v>
      </c>
      <c r="B174" s="63">
        <f>245+28</f>
        <v>273</v>
      </c>
      <c r="C174" s="63"/>
      <c r="D174" s="63"/>
      <c r="E174" s="54"/>
      <c r="F174" s="54"/>
      <c r="G174" s="54"/>
      <c r="H174" s="54"/>
      <c r="I174" s="52">
        <f t="shared" si="6"/>
        <v>9.4</v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283">
        <v>65</v>
      </c>
      <c r="B175" s="63">
        <f>261+28+28</f>
        <v>317</v>
      </c>
      <c r="C175" s="63">
        <v>5</v>
      </c>
      <c r="D175" s="63">
        <f>28+28</f>
        <v>56</v>
      </c>
      <c r="E175" s="54"/>
      <c r="F175" s="54"/>
      <c r="G175" s="54"/>
      <c r="H175" s="54"/>
      <c r="I175" s="52">
        <f t="shared" si="6"/>
        <v>8.8000000000000007</v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283">
        <v>70</v>
      </c>
      <c r="B176" s="63">
        <f>274+28</f>
        <v>302</v>
      </c>
      <c r="C176" s="63"/>
      <c r="D176" s="63"/>
      <c r="E176" s="54"/>
      <c r="F176" s="54"/>
      <c r="G176" s="54"/>
      <c r="H176" s="54"/>
      <c r="I176" s="52">
        <f t="shared" si="6"/>
        <v>8.1999999999999993</v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283">
        <v>75</v>
      </c>
      <c r="B177" s="63">
        <f>284+28+28</f>
        <v>340</v>
      </c>
      <c r="C177" s="63">
        <v>6</v>
      </c>
      <c r="D177" s="63">
        <f>28+28</f>
        <v>56</v>
      </c>
      <c r="E177" s="54"/>
      <c r="F177" s="54"/>
      <c r="G177" s="54"/>
      <c r="H177" s="54"/>
      <c r="I177" s="52">
        <f t="shared" si="6"/>
        <v>7.6</v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283">
        <v>80</v>
      </c>
      <c r="B178" s="63">
        <f>292+28</f>
        <v>320</v>
      </c>
      <c r="C178" s="63"/>
      <c r="D178" s="63"/>
      <c r="E178" s="54"/>
      <c r="F178" s="54"/>
      <c r="G178" s="54"/>
      <c r="H178" s="54"/>
      <c r="I178" s="52">
        <f t="shared" si="6"/>
        <v>7.2</v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283">
        <v>90</v>
      </c>
      <c r="B179" s="63">
        <f>302+28+28+28</f>
        <v>386</v>
      </c>
      <c r="C179" s="63">
        <v>7</v>
      </c>
      <c r="D179" s="63">
        <f>28+28+28</f>
        <v>84</v>
      </c>
      <c r="E179" s="54"/>
      <c r="F179" s="54"/>
      <c r="G179" s="54"/>
      <c r="H179" s="54"/>
      <c r="I179" s="52">
        <f t="shared" si="6"/>
        <v>6.6</v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283">
        <v>100</v>
      </c>
      <c r="B180" s="53">
        <v>361</v>
      </c>
      <c r="C180" s="53"/>
      <c r="D180" s="53"/>
      <c r="E180" s="54"/>
      <c r="F180" s="54"/>
      <c r="G180" s="54"/>
      <c r="H180" s="54"/>
      <c r="I180" s="52">
        <f t="shared" si="6"/>
        <v>5.9</v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283">
        <v>110</v>
      </c>
      <c r="B181" s="53">
        <v>413</v>
      </c>
      <c r="C181" s="53">
        <v>8</v>
      </c>
      <c r="D181" s="53">
        <v>106</v>
      </c>
      <c r="E181" s="54"/>
      <c r="F181" s="54"/>
      <c r="G181" s="54"/>
      <c r="H181" s="54"/>
      <c r="I181" s="52">
        <f t="shared" si="6"/>
        <v>5.2</v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283">
        <v>120</v>
      </c>
      <c r="B182" s="53">
        <v>352</v>
      </c>
      <c r="C182" s="53"/>
      <c r="D182" s="53"/>
      <c r="E182" s="54"/>
      <c r="F182" s="54"/>
      <c r="G182" s="54"/>
      <c r="H182" s="54"/>
      <c r="I182" s="52">
        <f t="shared" si="6"/>
        <v>4.5</v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283">
        <v>130</v>
      </c>
      <c r="B183" s="53">
        <v>394</v>
      </c>
      <c r="C183" s="53">
        <v>9</v>
      </c>
      <c r="D183" s="53">
        <v>91</v>
      </c>
      <c r="E183" s="54"/>
      <c r="F183" s="54"/>
      <c r="G183" s="54"/>
      <c r="H183" s="54"/>
      <c r="I183" s="52">
        <f t="shared" si="6"/>
        <v>4.2</v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283">
        <v>140</v>
      </c>
      <c r="B184" s="53">
        <v>341</v>
      </c>
      <c r="C184" s="53"/>
      <c r="D184" s="53"/>
      <c r="E184" s="54"/>
      <c r="F184" s="54"/>
      <c r="G184" s="54"/>
      <c r="H184" s="54"/>
      <c r="I184" s="52">
        <f t="shared" si="6"/>
        <v>3.8</v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283">
        <v>150</v>
      </c>
      <c r="B185" s="53">
        <v>376</v>
      </c>
      <c r="C185" s="53">
        <v>10</v>
      </c>
      <c r="D185" s="53">
        <v>376</v>
      </c>
      <c r="E185" s="54"/>
      <c r="F185" s="54"/>
      <c r="G185" s="54"/>
      <c r="H185" s="54"/>
      <c r="I185" s="52">
        <f t="shared" si="6"/>
        <v>3.5</v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>Bouleau verruqueux</v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>
        <v>10</v>
      </c>
      <c r="B192" s="63">
        <v>9</v>
      </c>
      <c r="C192" s="63"/>
      <c r="D192" s="63"/>
      <c r="E192" s="54"/>
      <c r="F192" s="54"/>
      <c r="G192" s="54"/>
      <c r="H192" s="54"/>
      <c r="I192" s="52">
        <f>IFERROR(B192/A192,"")</f>
        <v>0.9</v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>
        <v>15</v>
      </c>
      <c r="B193" s="63">
        <v>49</v>
      </c>
      <c r="C193" s="63"/>
      <c r="D193" s="63"/>
      <c r="E193" s="54"/>
      <c r="F193" s="54"/>
      <c r="G193" s="54"/>
      <c r="H193" s="54"/>
      <c r="I193" s="52">
        <f t="shared" ref="I193:I211" si="7">IF(A193&lt;&gt;0,(B193-(B192-D192))/(A193-A192),"")</f>
        <v>8</v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>
        <v>20</v>
      </c>
      <c r="B194" s="63">
        <v>99</v>
      </c>
      <c r="C194" s="63">
        <v>1</v>
      </c>
      <c r="D194" s="63">
        <v>40</v>
      </c>
      <c r="E194" s="54"/>
      <c r="F194" s="54"/>
      <c r="G194" s="54"/>
      <c r="H194" s="54">
        <v>1</v>
      </c>
      <c r="I194" s="52">
        <f t="shared" si="7"/>
        <v>10</v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>
        <v>25</v>
      </c>
      <c r="B195" s="63">
        <v>102</v>
      </c>
      <c r="C195" s="63"/>
      <c r="D195" s="63"/>
      <c r="E195" s="54"/>
      <c r="F195" s="54"/>
      <c r="G195" s="54"/>
      <c r="H195" s="54"/>
      <c r="I195" s="52">
        <f t="shared" si="7"/>
        <v>8.6</v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>
        <v>30</v>
      </c>
      <c r="B196" s="63">
        <v>146</v>
      </c>
      <c r="C196" s="63"/>
      <c r="D196" s="63"/>
      <c r="E196" s="54"/>
      <c r="F196" s="54"/>
      <c r="G196" s="54"/>
      <c r="H196" s="54"/>
      <c r="I196" s="52">
        <f t="shared" si="7"/>
        <v>8.8000000000000007</v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>
        <v>35</v>
      </c>
      <c r="B197" s="63">
        <v>190</v>
      </c>
      <c r="C197" s="63">
        <v>2</v>
      </c>
      <c r="D197" s="63">
        <v>76</v>
      </c>
      <c r="E197" s="54"/>
      <c r="F197" s="54"/>
      <c r="G197" s="54"/>
      <c r="H197" s="54"/>
      <c r="I197" s="52">
        <f t="shared" si="7"/>
        <v>8.8000000000000007</v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>
        <v>40</v>
      </c>
      <c r="B198" s="63">
        <v>152</v>
      </c>
      <c r="C198" s="63"/>
      <c r="D198" s="63"/>
      <c r="E198" s="54"/>
      <c r="F198" s="54"/>
      <c r="G198" s="54"/>
      <c r="H198" s="54"/>
      <c r="I198" s="52">
        <f t="shared" si="7"/>
        <v>7.6</v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>
        <v>45</v>
      </c>
      <c r="B199" s="53">
        <v>190</v>
      </c>
      <c r="C199" s="53"/>
      <c r="D199" s="53"/>
      <c r="E199" s="54"/>
      <c r="F199" s="54"/>
      <c r="G199" s="54"/>
      <c r="H199" s="54"/>
      <c r="I199" s="52">
        <f t="shared" si="7"/>
        <v>7.6</v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>
        <v>50</v>
      </c>
      <c r="B200" s="53">
        <v>228</v>
      </c>
      <c r="C200" s="53"/>
      <c r="D200" s="53"/>
      <c r="E200" s="54"/>
      <c r="F200" s="54"/>
      <c r="G200" s="54"/>
      <c r="H200" s="54"/>
      <c r="I200" s="52">
        <f t="shared" si="7"/>
        <v>7.6</v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>
        <v>55</v>
      </c>
      <c r="B201" s="53">
        <v>266</v>
      </c>
      <c r="C201" s="53"/>
      <c r="D201" s="53"/>
      <c r="E201" s="54"/>
      <c r="F201" s="54"/>
      <c r="G201" s="54"/>
      <c r="H201" s="54"/>
      <c r="I201" s="52">
        <f t="shared" si="7"/>
        <v>7.6</v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>
        <v>60</v>
      </c>
      <c r="B202" s="53">
        <v>303</v>
      </c>
      <c r="C202" s="53">
        <v>3</v>
      </c>
      <c r="D202" s="53">
        <v>303</v>
      </c>
      <c r="E202" s="54"/>
      <c r="F202" s="54"/>
      <c r="G202" s="54"/>
      <c r="H202" s="54"/>
      <c r="I202" s="52">
        <f t="shared" si="7"/>
        <v>7.4</v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63"/>
      <c r="B203" s="63"/>
      <c r="C203" s="63"/>
      <c r="D203" s="63"/>
      <c r="E203" s="93"/>
      <c r="F203" s="93"/>
      <c r="G203" s="93"/>
      <c r="H203" s="93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63"/>
      <c r="B204" s="63"/>
      <c r="C204" s="63"/>
      <c r="D204" s="63"/>
      <c r="E204" s="68"/>
      <c r="F204" s="68"/>
      <c r="G204" s="68"/>
      <c r="H204" s="68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63"/>
      <c r="B205" s="63"/>
      <c r="C205" s="63"/>
      <c r="D205" s="63"/>
      <c r="E205" s="68"/>
      <c r="F205" s="68"/>
      <c r="G205" s="68"/>
      <c r="H205" s="68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>Tilleul</v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>
        <v>10</v>
      </c>
      <c r="B218" s="63">
        <f>72/1.56</f>
        <v>46.153846153846153</v>
      </c>
      <c r="C218" s="63"/>
      <c r="D218" s="63"/>
      <c r="E218" s="54"/>
      <c r="F218" s="54"/>
      <c r="G218" s="54"/>
      <c r="H218" s="54"/>
      <c r="I218" s="56">
        <f>IFERROR(B218/A218,"")</f>
        <v>4.615384615384615</v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>
        <v>15</v>
      </c>
      <c r="B219" s="63">
        <f>(141+16)/1.56</f>
        <v>100.64102564102564</v>
      </c>
      <c r="C219" s="63"/>
      <c r="D219" s="63"/>
      <c r="E219" s="54"/>
      <c r="F219" s="54"/>
      <c r="G219" s="54"/>
      <c r="H219" s="54"/>
      <c r="I219" s="56">
        <f t="shared" ref="I219:I237" si="8">IF(A219&lt;&gt;0,(B219-(B218-D218))/(A219-A218),"")</f>
        <v>10.897435897435896</v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>
        <v>20</v>
      </c>
      <c r="B220" s="63">
        <f>(204+16+27)/1.56</f>
        <v>158.33333333333331</v>
      </c>
      <c r="C220" s="63">
        <v>1</v>
      </c>
      <c r="D220" s="63">
        <f>(16+27+33)/1.56</f>
        <v>48.717948717948715</v>
      </c>
      <c r="E220" s="54"/>
      <c r="F220" s="54"/>
      <c r="G220" s="54"/>
      <c r="H220" s="54">
        <v>1</v>
      </c>
      <c r="I220" s="56">
        <f t="shared" si="8"/>
        <v>11.538461538461537</v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3">
        <v>25</v>
      </c>
      <c r="B221" s="63">
        <f>257/1.56</f>
        <v>164.74358974358975</v>
      </c>
      <c r="C221" s="63"/>
      <c r="D221" s="63"/>
      <c r="E221" s="54"/>
      <c r="F221" s="54"/>
      <c r="G221" s="54"/>
      <c r="H221" s="54"/>
      <c r="I221" s="56">
        <f t="shared" si="8"/>
        <v>11.025641025641031</v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3">
        <v>30</v>
      </c>
      <c r="B222" s="63">
        <f>(302+35)/1.56</f>
        <v>216.02564102564102</v>
      </c>
      <c r="C222" s="63">
        <v>2</v>
      </c>
      <c r="D222" s="63">
        <f>(35+35)/1.56</f>
        <v>44.871794871794869</v>
      </c>
      <c r="E222" s="54"/>
      <c r="F222" s="54"/>
      <c r="G222" s="54"/>
      <c r="H222" s="54">
        <v>1</v>
      </c>
      <c r="I222" s="56">
        <f t="shared" si="8"/>
        <v>10.256410256410254</v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3">
        <v>35</v>
      </c>
      <c r="B223" s="63">
        <f>341/1.56</f>
        <v>218.58974358974359</v>
      </c>
      <c r="C223" s="63"/>
      <c r="D223" s="63"/>
      <c r="E223" s="54"/>
      <c r="F223" s="54"/>
      <c r="G223" s="54"/>
      <c r="H223" s="54"/>
      <c r="I223" s="56">
        <f t="shared" si="8"/>
        <v>9.4871794871794854</v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3">
        <v>40</v>
      </c>
      <c r="B224" s="63">
        <f>(375+35)/1.56</f>
        <v>262.82051282051282</v>
      </c>
      <c r="C224" s="63">
        <v>3</v>
      </c>
      <c r="D224" s="63">
        <f>(35+32)/1.56</f>
        <v>42.948717948717949</v>
      </c>
      <c r="E224" s="54"/>
      <c r="F224" s="54"/>
      <c r="G224" s="54"/>
      <c r="H224" s="54"/>
      <c r="I224" s="56">
        <f t="shared" si="8"/>
        <v>8.8461538461538449</v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3">
        <v>45</v>
      </c>
      <c r="B225" s="53">
        <f>401/1.56</f>
        <v>257.05128205128204</v>
      </c>
      <c r="C225" s="53"/>
      <c r="D225" s="53"/>
      <c r="E225" s="54"/>
      <c r="F225" s="54"/>
      <c r="G225" s="54"/>
      <c r="H225" s="54"/>
      <c r="I225" s="56">
        <f t="shared" si="8"/>
        <v>7.4358974358974361</v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3">
        <v>50</v>
      </c>
      <c r="B226" s="53">
        <f>(433+33)/1.56</f>
        <v>298.71794871794873</v>
      </c>
      <c r="C226" s="53">
        <v>4</v>
      </c>
      <c r="D226" s="53">
        <f>(33+32)/1.56</f>
        <v>41.666666666666664</v>
      </c>
      <c r="E226" s="54"/>
      <c r="F226" s="54"/>
      <c r="G226" s="54"/>
      <c r="H226" s="54"/>
      <c r="I226" s="56">
        <f t="shared" si="8"/>
        <v>8.3333333333333375</v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>
        <v>55</v>
      </c>
      <c r="B227" s="58">
        <f>457/1.56</f>
        <v>292.94871794871796</v>
      </c>
      <c r="C227" s="58"/>
      <c r="D227" s="58"/>
      <c r="E227" s="66"/>
      <c r="F227" s="66"/>
      <c r="G227" s="66"/>
      <c r="H227" s="66"/>
      <c r="I227" s="56">
        <f t="shared" si="8"/>
        <v>7.1794871794871824</v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>
        <v>60</v>
      </c>
      <c r="B228" s="58">
        <f>(478+30)/1.56</f>
        <v>325.64102564102564</v>
      </c>
      <c r="C228" s="58">
        <v>5</v>
      </c>
      <c r="D228" s="58">
        <f>(30+29)/1.56</f>
        <v>37.820512820512818</v>
      </c>
      <c r="E228" s="66"/>
      <c r="F228" s="66"/>
      <c r="G228" s="66"/>
      <c r="H228" s="66"/>
      <c r="I228" s="56">
        <f t="shared" si="8"/>
        <v>6.5384615384615357</v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>
        <v>65</v>
      </c>
      <c r="B229" s="58">
        <f>498/1.56</f>
        <v>319.23076923076923</v>
      </c>
      <c r="C229" s="58"/>
      <c r="D229" s="58"/>
      <c r="E229" s="66"/>
      <c r="F229" s="66"/>
      <c r="G229" s="66"/>
      <c r="H229" s="66"/>
      <c r="I229" s="56">
        <f t="shared" si="8"/>
        <v>6.2820512820512819</v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>
        <v>70</v>
      </c>
      <c r="B230" s="58">
        <f>(516+28)/1.56</f>
        <v>348.71794871794873</v>
      </c>
      <c r="C230" s="58">
        <v>6</v>
      </c>
      <c r="D230" s="58">
        <f>(28+27)/1.56</f>
        <v>35.256410256410255</v>
      </c>
      <c r="E230" s="67"/>
      <c r="F230" s="67"/>
      <c r="G230" s="67"/>
      <c r="H230" s="67"/>
      <c r="I230" s="56">
        <f t="shared" si="8"/>
        <v>5.8974358974359005</v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>
        <v>75</v>
      </c>
      <c r="B231" s="63">
        <f>532/1.56</f>
        <v>341.02564102564099</v>
      </c>
      <c r="C231" s="94"/>
      <c r="D231" s="63"/>
      <c r="E231" s="57"/>
      <c r="F231" s="57"/>
      <c r="G231" s="57"/>
      <c r="H231" s="57"/>
      <c r="I231" s="56">
        <f t="shared" si="8"/>
        <v>5.5128205128205083</v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>
        <v>80</v>
      </c>
      <c r="B232" s="53">
        <f>(548+26)/1.56</f>
        <v>367.94871794871796</v>
      </c>
      <c r="C232" s="53">
        <v>7</v>
      </c>
      <c r="D232" s="53">
        <f>(26+24)/1.56</f>
        <v>32.051282051282051</v>
      </c>
      <c r="E232" s="57"/>
      <c r="F232" s="57"/>
      <c r="G232" s="57"/>
      <c r="H232" s="57"/>
      <c r="I232" s="56">
        <f t="shared" si="8"/>
        <v>5.3846153846153921</v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>
        <v>85</v>
      </c>
      <c r="B233" s="53">
        <f>562/1.56</f>
        <v>360.25641025641022</v>
      </c>
      <c r="C233" s="53"/>
      <c r="D233" s="53"/>
      <c r="E233" s="57"/>
      <c r="F233" s="57"/>
      <c r="G233" s="57"/>
      <c r="H233" s="57"/>
      <c r="I233" s="56">
        <f t="shared" si="8"/>
        <v>4.8717948717948616</v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>
        <v>90</v>
      </c>
      <c r="B234" s="53">
        <f>(575+24)/1.56</f>
        <v>383.97435897435895</v>
      </c>
      <c r="C234" s="53">
        <v>8</v>
      </c>
      <c r="D234" s="53">
        <f>(24+23)/1.56</f>
        <v>30.128205128205128</v>
      </c>
      <c r="E234" s="57"/>
      <c r="F234" s="57"/>
      <c r="G234" s="57"/>
      <c r="H234" s="57"/>
      <c r="I234" s="56">
        <f t="shared" si="8"/>
        <v>4.7435897435897463</v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>
        <v>95</v>
      </c>
      <c r="B235" s="53">
        <f>587/1.56</f>
        <v>376.28205128205127</v>
      </c>
      <c r="C235" s="53"/>
      <c r="D235" s="53"/>
      <c r="E235" s="57"/>
      <c r="F235" s="57"/>
      <c r="G235" s="57"/>
      <c r="H235" s="57"/>
      <c r="I235" s="56">
        <f t="shared" si="8"/>
        <v>4.4871794871794917</v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>
        <v>100</v>
      </c>
      <c r="B236" s="53">
        <f>(599+17)/1.56</f>
        <v>394.87179487179486</v>
      </c>
      <c r="C236" s="53">
        <v>9</v>
      </c>
      <c r="D236" s="53">
        <f>(22+21)/1.56</f>
        <v>27.564102564102562</v>
      </c>
      <c r="E236" s="57"/>
      <c r="F236" s="57"/>
      <c r="G236" s="57"/>
      <c r="H236" s="57"/>
      <c r="I236" s="56">
        <f t="shared" si="8"/>
        <v>3.7179487179487181</v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>
        <v>110</v>
      </c>
      <c r="B237" s="53">
        <f>(620+20)/1.56</f>
        <v>410.25641025641022</v>
      </c>
      <c r="C237" s="53">
        <v>10</v>
      </c>
      <c r="D237" s="53">
        <f>B237</f>
        <v>410.25641025641022</v>
      </c>
      <c r="E237" s="57"/>
      <c r="F237" s="57"/>
      <c r="G237" s="57"/>
      <c r="H237" s="57"/>
      <c r="I237" s="56">
        <f t="shared" si="8"/>
        <v>4.2948717948717903</v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Normal="100" workbookViewId="0">
      <selection activeCell="F11" sqref="F11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1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Chêne sessile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Erable sycomore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Châtaignier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>Merisier</v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>Charme</v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>Alisier torminal</v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>Bouleau verruqueux</v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>Tilleul</v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70">
        <f>(B3+E3+F3)*44/12+(C3+D3)*0.475*44/12</f>
        <v>183.33333333333334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165</v>
      </c>
      <c r="S3" s="62">
        <f ca="1">AVERAGE(OFFSET($R$3,0,0,'Données projet'!$E$9+1,1))-AVERAGE(OFFSET($H$3,0,0,'Données projet'!$E$9+1,1))</f>
        <v>570.08763950759544</v>
      </c>
      <c r="T3" s="62">
        <f>IF('Données projet'!E9&gt;30,$R$33-$H$33,LOOKUP('Données projet'!$E$9,$A$3:$A$203,R3:R203)-LOOKUP('Données projet'!$E$9,$A$3:$A$203,$H$3:$H$203))</f>
        <v>297.32483725004136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165</v>
      </c>
      <c r="AN3" s="62">
        <f ca="1">AVERAGE(OFFSET($AM$3,0,0,'Données projet'!$E$10+1,1))-AVERAGE(OFFSET($H$3,0,0,'Données projet'!$E$10+1,1))</f>
        <v>394.70330963327166</v>
      </c>
      <c r="AO3" s="62">
        <f>IF('Données projet'!E10&gt;30,$AM$33-$H$33,LOOKUP('Données projet'!$E$10,$A$3:$A$203,AM3:AM203)-LOOKUP('Données projet'!$E$10,$A$3:$A$203,$H$3:$H$203))</f>
        <v>424.06445894109982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165</v>
      </c>
      <c r="BI3" s="62">
        <f ca="1">AVERAGE(OFFSET($BH$3,0,0,'Données projet'!$E$11+1,1))-AVERAGE(OFFSET($H$3,0,0,'Données projet'!$E$11+1,1))</f>
        <v>368.54671978064204</v>
      </c>
      <c r="BJ3" s="62">
        <f>IF('Données projet'!E11&gt;30,$BH$33-$H$33,LOOKUP('Données projet'!$E$11,$A$3:$A$203,BH3:BH203)-LOOKUP('Données projet'!$E$11,$A$3:$A$203,$H$3:$H$203))</f>
        <v>395.83504504492237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165</v>
      </c>
      <c r="CD3" s="62">
        <f ca="1">AVERAGE(OFFSET($CC$3,0,0,'Données projet'!$E$12+1,1))-AVERAGE(OFFSET($H$3,0,0,'Données projet'!$E$12+1,1))</f>
        <v>309.21625451786218</v>
      </c>
      <c r="CE3" s="62">
        <f>IF('Données projet'!E12&gt;30,$CC$33-$H$33,LOOKUP('Données projet'!$E$12,$A$3:$A$203,CC3:CC203)-LOOKUP('Données projet'!$E$12,$A$3:$A$203,$H$3:$H$203))</f>
        <v>302.59481222418219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165</v>
      </c>
      <c r="CY3" s="62">
        <f ca="1">AVERAGE(OFFSET($CX$3,0,0,'Données projet'!$E$13+1,1))-AVERAGE(OFFSET($H$3,0,0,'Données projet'!$E$13+1,1))</f>
        <v>491.87038198656927</v>
      </c>
      <c r="CZ3" s="62">
        <f>IF('Données projet'!E13&gt;30,$CX$33-$H$33,LOOKUP('Données projet'!$E$13,$A$3:$A$203,CX3:CX203)-LOOKUP('Données projet'!$E$13,$A$3:$A$203,$H$3:$H$203))</f>
        <v>406.49261644949559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62">
        <f>DR3+(DJ3+DK3)*44/12</f>
        <v>165</v>
      </c>
      <c r="DT3" s="62">
        <f ca="1">AVERAGE(OFFSET($DS$3,0,0,'Données projet'!$E$14+1,1))-AVERAGE(OFFSET($H$3,0,0,'Données projet'!$E$14+1,1))</f>
        <v>603.52431522262032</v>
      </c>
      <c r="DU3" s="62">
        <f>IF('Données projet'!E14&gt;30,$DS$33-$H$33,LOOKUP('Données projet'!$E$14,$A$3:$A$203,DS3:DS203)-LOOKUP('Données projet'!$E$14,$A$3:$A$203,$H$3:$H$203))</f>
        <v>313.56299786481338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>
        <f>EJ3*VLOOKUP('Données projet'!$B$15,Paramètres!$A$1:$I$89,3,0)*VLOOKUP('Données projet'!$B$15,Paramètres!$A$1:$I$89,5,0)</f>
        <v>0</v>
      </c>
      <c r="EL3" s="13">
        <v>0</v>
      </c>
      <c r="EM3" s="15">
        <f>(EK3+EL3)*0.475*44/12</f>
        <v>0</v>
      </c>
      <c r="EN3" s="62">
        <f>EM3+(EE3+EF3)*44/12</f>
        <v>165</v>
      </c>
      <c r="EO3" s="62">
        <f ca="1">AVERAGE(OFFSET($EN$3,0,0,'Données projet'!$E$15+1,1))-AVERAGE(OFFSET($H$3,0,0,'Données projet'!$E$15+1,1))</f>
        <v>272.69564942740931</v>
      </c>
      <c r="EP3" s="62">
        <f>IF('Données projet'!E15&gt;30,$EN$33-$H$33,LOOKUP('Données projet'!$E$15,$A$3:$A$203,EN3:EN203)-LOOKUP('Données projet'!$E$15,$A$3:$A$203,$H$3:$H$203))</f>
        <v>316.57989180609252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>
        <f>FE3*VLOOKUP('Données projet'!$B$16,Paramètres!$A$1:$I$89,3,0)*VLOOKUP('Données projet'!$B$16,Paramètres!$A$1:$I$89,5,0)</f>
        <v>0</v>
      </c>
      <c r="FG3" s="13">
        <v>0</v>
      </c>
      <c r="FH3" s="15">
        <f>(FF3+FG3)*0.475*44/12</f>
        <v>0</v>
      </c>
      <c r="FI3" s="62">
        <f>FH3+(EZ3+FA3)*44/12</f>
        <v>165</v>
      </c>
      <c r="FJ3" s="62">
        <f ca="1">AVERAGE(OFFSET($FI$3,0,0,'Données projet'!$E$16+1,1))-AVERAGE(OFFSET($H$3,0,0,'Données projet'!$E$16+1,1))</f>
        <v>440.90856392064205</v>
      </c>
      <c r="FK3" s="62">
        <f>IF('Données projet'!E16&gt;30,$FI$33-$H$33,LOOKUP('Données projet'!$E$16,$A$3:$A$203,FI3:FI203)-LOOKUP('Données projet'!$E$16,$A$3:$A$203,$H$3:$H$203))</f>
        <v>373.33139300970629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70">
        <f t="shared" ref="H4:H67" si="1">(B4+E4+F4)*44/12+(C4+D4)*0.475*44/12</f>
        <v>183.33333333333334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3.65</v>
      </c>
      <c r="N4" s="14">
        <f>IF('Données projet'!$A$36&gt;35,N3+M4-V3,IF(A4&lt;'Données projet'!$A$36,$K$205^A4,IF(A4='Données projet'!$A$36,'Données projet'!$B$36,N3+M4-V3)))</f>
        <v>1.2392705892426346</v>
      </c>
      <c r="O4" s="14">
        <f>N4*VLOOKUP('Données projet'!$B$9,Paramètres!$A$1:$I$89,3,0)*VLOOKUP('Données projet'!$B$9,Paramètres!$A$1:$I$89,5,0)</f>
        <v>1.1212920291467359</v>
      </c>
      <c r="P4" s="14">
        <f>EXP(-1.0587+0.8836*LN(O4)+0.284)</f>
        <v>0.50989827066551541</v>
      </c>
      <c r="Q4" s="22">
        <f t="shared" ref="Q4:Q34" si="2">(O4+P4)*0.475*44/12</f>
        <v>2.8409897721730037</v>
      </c>
      <c r="R4" s="62">
        <f t="shared" si="0"/>
        <v>170.65342372509684</v>
      </c>
      <c r="S4" s="62">
        <f ca="1">AVERAGE(OFFSET($R$3,0,0,'Données projet'!$E$9+1,1))-AVERAGE(OFFSET($H$3,0,0,'Données projet'!$E$9+1,1))</f>
        <v>570.08763950759544</v>
      </c>
      <c r="T4" s="62">
        <f>$T$3</f>
        <v>297.32483725004136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4.333333333333333</v>
      </c>
      <c r="AI4" s="14">
        <f>IF('Données projet'!$A$62&gt;35,AI3+AH4-AQ3,IF(A4&lt;'Données projet'!$A$62,$AF$205^A4,IF(A4='Données projet'!$A$62,'Données projet'!$B$62,AI3+AH4-AQ3)))</f>
        <v>1.3208724756526424</v>
      </c>
      <c r="AJ4" s="14">
        <f>AI4*VLOOKUP('Données projet'!$B$10,Paramètres!$A$1:$I$89,3,0)*VLOOKUP('Données projet'!$B$10,Paramètres!$A$1:$I$89,5,0)</f>
        <v>1.0508861416292423</v>
      </c>
      <c r="AK4" s="14">
        <f>EXP(-1.0587+0.8836*LN(AJ4)+0.284)</f>
        <v>0.48150261531866312</v>
      </c>
      <c r="AL4" s="22">
        <f t="shared" ref="AL4:AL67" si="4">(AJ4+AK4)*0.475*44/12</f>
        <v>2.6689104183509347</v>
      </c>
      <c r="AM4" s="62">
        <f t="shared" ref="AM4:AM67" si="5">AL4+(AD4+AE4)*44/12</f>
        <v>170.48134437127479</v>
      </c>
      <c r="AN4" s="62">
        <f ca="1">AVERAGE(OFFSET($AM$3,0,0,'Données projet'!$E$10+1,1))-AVERAGE(OFFSET($H$3,0,0,'Données projet'!$E$10+1,1))</f>
        <v>394.70330963327166</v>
      </c>
      <c r="AO4" s="62">
        <f>$AO$3</f>
        <v>424.06445894109982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4.333333333333333</v>
      </c>
      <c r="BD4" s="13">
        <f>IF('Données projet'!$A$88&gt;35,BD3+BC4-BL3,IF(A4&lt;'Données projet'!$A$88,$BA$205^A4,IF(A4='Données projet'!$A$88,'Données projet'!$B$88,BD3+BC4-BL3)))</f>
        <v>1.3208724756526424</v>
      </c>
      <c r="BE4" s="14">
        <f>BD4*VLOOKUP('Données projet'!$B$11,Paramètres!$A$1:$I$89,3,0)*VLOOKUP('Données projet'!$B$11,Paramètres!$A$1:$I$89,5,0)</f>
        <v>0.96846369914851749</v>
      </c>
      <c r="BF4" s="14">
        <f>EXP(-1.0587+0.8836*LN(BE4)+0.284)</f>
        <v>0.44797658016270847</v>
      </c>
      <c r="BG4" s="22">
        <f t="shared" ref="BG4:BG67" si="7">(BE4+BF4)*0.475*44/12</f>
        <v>2.4669668198003851</v>
      </c>
      <c r="BH4" s="62">
        <f t="shared" ref="BH4:BH67" si="8">BG4+(AY4+AZ4)*44/12</f>
        <v>170.27940077272422</v>
      </c>
      <c r="BI4" s="62">
        <f ca="1">AVERAGE(OFFSET($BH$3,0,0,'Données projet'!$E$11+1,1))-AVERAGE(OFFSET($H$3,0,0,'Données projet'!$E$11+1,1))</f>
        <v>368.54671978064204</v>
      </c>
      <c r="BJ4" s="62">
        <f>$BJ$3</f>
        <v>395.83504504492237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2.6666666666666665</v>
      </c>
      <c r="BY4" s="13">
        <f>IF('Données projet'!$A$114&gt;35,BY3+BX4-CG3,IF(A4&lt;'Données projet'!$A$114,$BV$205^A4,IF(A4='Données projet'!$A$114,'Données projet'!$B$114,BY3+BX4-CG3)))</f>
        <v>1.2788040393997409</v>
      </c>
      <c r="BZ4" s="14">
        <f>BY4*VLOOKUP('Données projet'!$B$12,Paramètres!$A$1:$I$89,3,0)*VLOOKUP('Données projet'!$B$12,Paramètres!$A$1:$I$89,5,0)</f>
        <v>0.99746715073179792</v>
      </c>
      <c r="CA4" s="14">
        <f>EXP(-1.0587+0.8836*LN(BZ4)+0.284)</f>
        <v>0.45981048445793882</v>
      </c>
      <c r="CB4" s="22">
        <f t="shared" ref="CB4:CB67" si="10">(BZ4+CA4)*0.475*44/12</f>
        <v>2.5380918812887914</v>
      </c>
      <c r="CC4" s="62">
        <f t="shared" ref="CC4:CC67" si="11">CB4+(BT4+BU4)*44/12</f>
        <v>170.35052583421262</v>
      </c>
      <c r="CD4" s="62">
        <f ca="1">AVERAGE(OFFSET($CC$3,0,0,'Données projet'!$E$12+1,1))-AVERAGE(OFFSET($H$3,0,0,'Données projet'!$E$12+1,1))</f>
        <v>309.21625451786218</v>
      </c>
      <c r="CE4" s="62">
        <f>$CE$3</f>
        <v>302.59481222418219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4.615384615384615</v>
      </c>
      <c r="CT4" s="13">
        <f>IF('Données projet'!$A$140&gt;35,CT3+CS4-DB3,IF(A4&lt;'Données projet'!$A$140,$CQ$205^A4,IF(A4='Données projet'!$A$140,'Données projet'!$B$140,CT3+CS4-DB3)))</f>
        <v>1.3264369473759152</v>
      </c>
      <c r="CU4" s="18">
        <f>CT4*VLOOKUP('Données projet'!$B$13,Paramètres!$A$1:$I$89,3,0)*VLOOKUP('Données projet'!$B$13,Paramètres!$A$1:$I$89,5,0)</f>
        <v>1.2622373991229208</v>
      </c>
      <c r="CV4" s="14">
        <f>EXP(-1.0587+0.8836*LN(CU4)+0.284)</f>
        <v>0.56613537312312467</v>
      </c>
      <c r="CW4" s="22">
        <f t="shared" ref="CW4:CW67" si="13">(CU4+CV4)*0.475*44/12</f>
        <v>3.184415911661862</v>
      </c>
      <c r="CX4" s="62">
        <f t="shared" ref="CX4:CX67" si="14">CW4+(CO4+CP4)*44/12</f>
        <v>170.9968498645857</v>
      </c>
      <c r="CY4" s="62">
        <f ca="1">AVERAGE(OFFSET($CX$3,0,0,'Données projet'!$E$13+1,1))-AVERAGE(OFFSET($H$3,0,0,'Données projet'!$E$13+1,1))</f>
        <v>491.87038198656927</v>
      </c>
      <c r="CZ4" s="62">
        <f>$CZ$3</f>
        <v>406.49261644949559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3.65</v>
      </c>
      <c r="DO4" s="13">
        <f>IF('Données projet'!$A$166&gt;35,DO3+DN4-DW3,IF(A4&lt;'Données projet'!$A$166,$DL$205^A4,IF(A4='Données projet'!$A$166,'Données projet'!$B$166,DO3+DN4-DW3)))</f>
        <v>1.2392705892426346</v>
      </c>
      <c r="DP4" s="18">
        <f>DO4*VLOOKUP('Données projet'!$B$14,Paramètres!$A$1:$I$89,3,0)*VLOOKUP('Données projet'!$B$14,Paramètres!$A$1:$I$89,5,0)</f>
        <v>1.1986225139154763</v>
      </c>
      <c r="DQ4" s="14">
        <f>EXP(-1.0587+0.8836*LN(DP4)+0.284)</f>
        <v>0.54084878793982472</v>
      </c>
      <c r="DR4" s="22">
        <f t="shared" ref="DR4:DR67" si="16">(DP4+DQ4)*0.475*44/12</f>
        <v>3.0295791840646493</v>
      </c>
      <c r="DS4" s="62">
        <f t="shared" ref="DS4:DS67" si="17">DR4+(DJ4+DK4)*44/12</f>
        <v>170.8420131369885</v>
      </c>
      <c r="DT4" s="62">
        <f ca="1">AVERAGE(OFFSET($DS$3,0,0,'Données projet'!$E$14+1,1))-AVERAGE(OFFSET($H$3,0,0,'Données projet'!$E$14+1,1))</f>
        <v>603.52431522262032</v>
      </c>
      <c r="DU4" s="62">
        <f>$DU$3</f>
        <v>313.56299786481338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0.9</v>
      </c>
      <c r="EJ4" s="13">
        <f>IF('Données projet'!$A$192&gt;35,EJ3+EI4-ER3,IF(A4&lt;'Données projet'!$A$192,$EG$205^A4,IF(A4='Données projet'!$A$192,'Données projet'!$B$192,EJ3+EI4-ER3)))</f>
        <v>1.2457309396155174</v>
      </c>
      <c r="EK4" s="18">
        <f>EJ4*VLOOKUP('Données projet'!$B$15,Paramètres!$A$1:$I$89,3,0)*VLOOKUP('Données projet'!$B$15,Paramètres!$A$1:$I$89,5,0)</f>
        <v>1.0105369382161078</v>
      </c>
      <c r="EL4" s="14">
        <f>EXP(-1.0587+0.8836*LN(EK4)+0.284)</f>
        <v>0.46513003316107315</v>
      </c>
      <c r="EM4" s="22">
        <f t="shared" ref="EM4:EM67" si="19">(EK4+EL4)*0.475*44/12</f>
        <v>2.5701199751485899</v>
      </c>
      <c r="EN4" s="62">
        <f t="shared" ref="EN4:EN67" si="20">EM4+(EE4+EF4)*44/12</f>
        <v>170.38255392807244</v>
      </c>
      <c r="EO4" s="62">
        <f ca="1">AVERAGE(OFFSET($EN$3,0,0,'Données projet'!$E$15+1,1))-AVERAGE(OFFSET($H$3,0,0,'Données projet'!$E$15+1,1))</f>
        <v>272.69564942740931</v>
      </c>
      <c r="EP4" s="62">
        <f>$EP$3</f>
        <v>316.57989180609252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>
        <f>EXP(-LN(2)/35)*EV3+(1-EXP(-LN(2)/35))/(LN(2)/35)*ER4*ES4*VLOOKUP('Données projet'!$B$15,Paramètres!$A$1:$I$89,3,0)*0.475*44/12</f>
        <v>0</v>
      </c>
      <c r="EW4" s="23">
        <f>EXP(-LN(2)/25)*EW3+(1-EXP(-LN(2)/25))/(LN(2)/25)*Calculateur!ER4*Calculateur!ET4*VLOOKUP('Données projet'!$B$15,Paramètres!$A$1:$I$89,3,0)*0.475*44/12</f>
        <v>0</v>
      </c>
      <c r="EX4" s="23">
        <f>EXP(-LN(2)/2)*EX3+(1-EXP(-LN(2)/2))/(LN(2)/2)*ER4*EU4*VLOOKUP('Données projet'!$B$15,Paramètres!$A$1:$I$89,3,0)*0.475*44/12</f>
        <v>0</v>
      </c>
      <c r="EY4" s="24">
        <f t="shared" ref="EY4:EY67" si="21">SUM(EV4:EX4)</f>
        <v>0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4.615384615384615</v>
      </c>
      <c r="FE4" s="13">
        <f>IF('Données projet'!$A$218&gt;35,FE3+FD4-FM3,IF(A4&lt;'Données projet'!$A$218,$FB$205^A4,IF(A4='Données projet'!$A$218,'Données projet'!$B$218,FE3+FD4-FM3)))</f>
        <v>1.4669685047497352</v>
      </c>
      <c r="FF4" s="18">
        <f>FE4*VLOOKUP('Données projet'!$B$16,Paramètres!$A$1:$I$89,3,0)*VLOOKUP('Données projet'!$B$16,Paramètres!$A$1:$I$89,5,0)</f>
        <v>0.98404247298612235</v>
      </c>
      <c r="FG4" s="14">
        <f>EXP(-1.0587+0.8836*LN(FF4)+0.284)</f>
        <v>0.45433803689697932</v>
      </c>
      <c r="FH4" s="22">
        <f t="shared" ref="FH4:FH67" si="22">(FF4+FG4)*0.475*44/12</f>
        <v>2.5051793880464022</v>
      </c>
      <c r="FI4" s="62">
        <f t="shared" ref="FI4:FI67" si="23">FH4+(EZ4+FA4)*44/12</f>
        <v>170.31761334097024</v>
      </c>
      <c r="FJ4" s="62">
        <f ca="1">AVERAGE(OFFSET($FI$3,0,0,'Données projet'!$E$16+1,1))-AVERAGE(OFFSET($H$3,0,0,'Données projet'!$E$16+1,1))</f>
        <v>440.90856392064205</v>
      </c>
      <c r="FK4" s="62">
        <f>$FK$3</f>
        <v>373.33139300970629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>
        <f>EXP(-LN(2)/35)*FQ3+(1-EXP(-LN(2)/35))/(LN(2)/35)*FM4*FN4*VLOOKUP('Données projet'!$B$16,Paramètres!$A$1:$I$89,3,0)*0.475*44/12</f>
        <v>0</v>
      </c>
      <c r="FR4" s="23">
        <f>EXP(-LN(2)/25)*FR3+(1-EXP(-LN(2)/25))/(LN(2)/25)*Calculateur!FM4*Calculateur!FO4*VLOOKUP('Données projet'!$B$16,Paramètres!$A$1:$I$89,3,0)*0.475*44/12</f>
        <v>0</v>
      </c>
      <c r="FS4" s="23">
        <f>EXP(-LN(2)/2)*FS3+(1-EXP(-LN(2)/2))/(LN(2)/2)*FM4*FP4*VLOOKUP('Données projet'!$B$16,Paramètres!$A$1:$I$89,3,0)*0.475*44/12</f>
        <v>0</v>
      </c>
      <c r="FT4" s="24">
        <f t="shared" ref="FT4:FT67" si="24">SUM(FQ4:FS4)</f>
        <v>0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70">
        <f t="shared" si="1"/>
        <v>183.33333333333334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3.65</v>
      </c>
      <c r="N5" s="14">
        <f>IF('Données projet'!$A$36&gt;35,N4+M5-V4,IF(A5&lt;'Données projet'!$A$36,$K$205^A5,IF(A5='Données projet'!$A$36,'Données projet'!$B$36,N4+M5-V4)))</f>
        <v>1.5357915933617867</v>
      </c>
      <c r="O5" s="14">
        <f>N5*VLOOKUP('Données projet'!$B$9,Paramètres!$A$1:$I$89,3,0)*VLOOKUP('Données projet'!$B$9,Paramètres!$A$1:$I$89,5,0)</f>
        <v>1.3895842336737447</v>
      </c>
      <c r="P5" s="14">
        <f t="shared" ref="P5:P68" si="33">EXP(-1.0587+0.8836*LN(O5)+0.284)</f>
        <v>0.61631841327304715</v>
      </c>
      <c r="Q5" s="22">
        <f t="shared" si="2"/>
        <v>3.4936137767656628</v>
      </c>
      <c r="R5" s="62">
        <f t="shared" si="0"/>
        <v>174.0908950642665</v>
      </c>
      <c r="S5" s="62">
        <f ca="1">AVERAGE(OFFSET($R$3,0,0,'Données projet'!$E$9+1,1))-AVERAGE(OFFSET($H$3,0,0,'Données projet'!$E$9+1,1))</f>
        <v>570.08763950759544</v>
      </c>
      <c r="T5" s="62">
        <f t="shared" ref="T5:T68" si="34">$T$3</f>
        <v>297.32483725004136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4.333333333333333</v>
      </c>
      <c r="AI5" s="14">
        <f>IF('Données projet'!$A$62&gt;35,AI4+AH5-AQ4,IF(A5&lt;'Données projet'!$A$62,$AF$205^A5,IF(A5='Données projet'!$A$62,'Données projet'!$B$62,AI4+AH5-AQ4)))</f>
        <v>1.7447040969367404</v>
      </c>
      <c r="AJ5" s="14">
        <f>AI5*VLOOKUP('Données projet'!$B$10,Paramètres!$A$1:$I$89,3,0)*VLOOKUP('Données projet'!$B$10,Paramètres!$A$1:$I$89,5,0)</f>
        <v>1.3880865795228707</v>
      </c>
      <c r="AK5" s="14">
        <f t="shared" ref="AK5:AK68" si="35">EXP(-1.0587+0.8836*LN(AJ5)+0.284)</f>
        <v>0.61573144482258502</v>
      </c>
      <c r="AL5" s="22">
        <f t="shared" si="4"/>
        <v>3.4899830590683352</v>
      </c>
      <c r="AM5" s="62">
        <f t="shared" si="5"/>
        <v>174.08726434656916</v>
      </c>
      <c r="AN5" s="62">
        <f ca="1">AVERAGE(OFFSET($AM$3,0,0,'Données projet'!$E$10+1,1))-AVERAGE(OFFSET($H$3,0,0,'Données projet'!$E$10+1,1))</f>
        <v>394.70330963327166</v>
      </c>
      <c r="AO5" s="62">
        <f t="shared" ref="AO5:AO68" si="36">$AO$3</f>
        <v>424.06445894109982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4.333333333333333</v>
      </c>
      <c r="BD5" s="13">
        <f>IF('Données projet'!$A$88&gt;35,BD4+BC5-BL4,IF(A5&lt;'Données projet'!$A$88,$BA$205^A5,IF(A5='Données projet'!$A$88,'Données projet'!$B$88,BD4+BC5-BL4)))</f>
        <v>1.7447040969367404</v>
      </c>
      <c r="BE5" s="14">
        <f>BD5*VLOOKUP('Données projet'!$B$11,Paramètres!$A$1:$I$89,3,0)*VLOOKUP('Données projet'!$B$11,Paramètres!$A$1:$I$89,5,0)</f>
        <v>1.279217043874018</v>
      </c>
      <c r="BF5" s="14">
        <f t="shared" ref="BF5:BF68" si="37">EXP(-1.0587+0.8836*LN(BE5)+0.284)</f>
        <v>0.57285933279451839</v>
      </c>
      <c r="BG5" s="22">
        <f t="shared" si="7"/>
        <v>3.2256996893643675</v>
      </c>
      <c r="BH5" s="62">
        <f t="shared" si="8"/>
        <v>173.82298097686521</v>
      </c>
      <c r="BI5" s="62">
        <f ca="1">AVERAGE(OFFSET($BH$3,0,0,'Données projet'!$E$11+1,1))-AVERAGE(OFFSET($H$3,0,0,'Données projet'!$E$11+1,1))</f>
        <v>368.54671978064204</v>
      </c>
      <c r="BJ5" s="62">
        <f t="shared" ref="BJ5:BJ68" si="38">$BJ$3</f>
        <v>395.83504504492237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2.6666666666666665</v>
      </c>
      <c r="BY5" s="13">
        <f>IF('Données projet'!$A$114&gt;35,BY4+BX5-CG4,IF(A5&lt;'Données projet'!$A$114,$BV$205^A5,IF(A5='Données projet'!$A$114,'Données projet'!$B$114,BY4+BX5-CG4)))</f>
        <v>1.6353397711850939</v>
      </c>
      <c r="BZ5" s="14">
        <f>BY5*VLOOKUP('Données projet'!$B$12,Paramètres!$A$1:$I$89,3,0)*VLOOKUP('Données projet'!$B$12,Paramètres!$A$1:$I$89,5,0)</f>
        <v>1.2755650215243732</v>
      </c>
      <c r="CA5" s="14">
        <f t="shared" ref="CA5:CA68" si="39">EXP(-1.0587+0.8836*LN(BZ5)+0.284)</f>
        <v>0.57141400910743001</v>
      </c>
      <c r="CB5" s="22">
        <f t="shared" si="10"/>
        <v>3.2168218116837237</v>
      </c>
      <c r="CC5" s="62">
        <f t="shared" si="11"/>
        <v>173.81410309918456</v>
      </c>
      <c r="CD5" s="62">
        <f ca="1">AVERAGE(OFFSET($CC$3,0,0,'Données projet'!$E$12+1,1))-AVERAGE(OFFSET($H$3,0,0,'Données projet'!$E$12+1,1))</f>
        <v>309.21625451786218</v>
      </c>
      <c r="CE5" s="62">
        <f t="shared" ref="CE5:CE68" si="40">$CE$3</f>
        <v>302.59481222418219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4.615384615384615</v>
      </c>
      <c r="CT5" s="13">
        <f>IF('Données projet'!$A$140&gt;35,CT4+CS5-DB4,IF(A5&lt;'Données projet'!$A$140,$CQ$205^A5,IF(A5='Données projet'!$A$140,'Données projet'!$B$140,CT4+CS5-DB4)))</f>
        <v>1.7594349753639364</v>
      </c>
      <c r="CU5" s="18">
        <f>CT5*VLOOKUP('Données projet'!$B$13,Paramètres!$A$1:$I$89,3,0)*VLOOKUP('Données projet'!$B$13,Paramètres!$A$1:$I$89,5,0)</f>
        <v>1.674278322556322</v>
      </c>
      <c r="CV5" s="14">
        <f t="shared" ref="CV5:CV68" si="41">EXP(-1.0587+0.8836*LN(CU5)+0.284)</f>
        <v>0.72665150976499415</v>
      </c>
      <c r="CW5" s="22">
        <f t="shared" si="13"/>
        <v>4.1816194579596262</v>
      </c>
      <c r="CX5" s="62">
        <f t="shared" si="14"/>
        <v>174.77890074546045</v>
      </c>
      <c r="CY5" s="62">
        <f ca="1">AVERAGE(OFFSET($CX$3,0,0,'Données projet'!$E$13+1,1))-AVERAGE(OFFSET($H$3,0,0,'Données projet'!$E$13+1,1))</f>
        <v>491.87038198656927</v>
      </c>
      <c r="CZ5" s="62">
        <f t="shared" ref="CZ5:CZ68" si="42">$CZ$3</f>
        <v>406.49261644949559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3.65</v>
      </c>
      <c r="DO5" s="13">
        <f>IF('Données projet'!$A$166&gt;35,DO4+DN5-DW4,IF(A5&lt;'Données projet'!$A$166,$DL$205^A5,IF(A5='Données projet'!$A$166,'Données projet'!$B$166,DO4+DN5-DW4)))</f>
        <v>1.5357915933617867</v>
      </c>
      <c r="DP5" s="18">
        <f>DO5*VLOOKUP('Données projet'!$B$14,Paramètres!$A$1:$I$89,3,0)*VLOOKUP('Données projet'!$B$14,Paramètres!$A$1:$I$89,5,0)</f>
        <v>1.4854176290995202</v>
      </c>
      <c r="DQ5" s="14">
        <f t="shared" ref="DQ5:DQ68" si="43">EXP(-1.0587+0.8836*LN(DP5)+0.284)</f>
        <v>0.65372856897250708</v>
      </c>
      <c r="DR5" s="22">
        <f t="shared" si="16"/>
        <v>3.725679628308781</v>
      </c>
      <c r="DS5" s="62">
        <f t="shared" si="17"/>
        <v>174.3229609158096</v>
      </c>
      <c r="DT5" s="62">
        <f ca="1">AVERAGE(OFFSET($DS$3,0,0,'Données projet'!$E$14+1,1))-AVERAGE(OFFSET($H$3,0,0,'Données projet'!$E$14+1,1))</f>
        <v>603.52431522262032</v>
      </c>
      <c r="DU5" s="62">
        <f t="shared" ref="DU5:DU68" si="44">$DU$3</f>
        <v>313.56299786481338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0.9</v>
      </c>
      <c r="EJ5" s="13">
        <f>IF('Données projet'!$A$192&gt;35,EJ4+EI5-ER4,IF(A5&lt;'Données projet'!$A$192,$EG$205^A5,IF(A5='Données projet'!$A$192,'Données projet'!$B$192,EJ4+EI5-ER4)))</f>
        <v>1.5518455739153598</v>
      </c>
      <c r="EK5" s="18">
        <f>EJ5*VLOOKUP('Données projet'!$B$15,Paramètres!$A$1:$I$89,3,0)*VLOOKUP('Données projet'!$B$15,Paramètres!$A$1:$I$89,5,0)</f>
        <v>1.2588571295601401</v>
      </c>
      <c r="EL5" s="14">
        <f t="shared" ref="EL5:EL68" si="45">EXP(-1.0587+0.8836*LN(EK5)+0.284)</f>
        <v>0.56479552972512193</v>
      </c>
      <c r="EM5" s="22">
        <f t="shared" si="19"/>
        <v>3.1761950482551646</v>
      </c>
      <c r="EN5" s="62">
        <f t="shared" si="20"/>
        <v>173.77347633575599</v>
      </c>
      <c r="EO5" s="62">
        <f ca="1">AVERAGE(OFFSET($EN$3,0,0,'Données projet'!$E$15+1,1))-AVERAGE(OFFSET($H$3,0,0,'Données projet'!$E$15+1,1))</f>
        <v>272.69564942740931</v>
      </c>
      <c r="EP5" s="62">
        <f t="shared" ref="EP5:EP68" si="46">$EP$3</f>
        <v>316.57989180609252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>
        <f>EXP(-LN(2)/35)*EV4+(1-EXP(-LN(2)/35))/(LN(2)/35)*ER5*ES5*VLOOKUP('Données projet'!$B$15,Paramètres!$A$1:$I$89,3,0)*0.475*44/12</f>
        <v>0</v>
      </c>
      <c r="EW5" s="23">
        <f>EXP(-LN(2)/25)*EW4+(1-EXP(-LN(2)/25))/(LN(2)/25)*Calculateur!ER5*Calculateur!ET5*VLOOKUP('Données projet'!$B$15,Paramètres!$A$1:$I$89,3,0)*0.475*44/12</f>
        <v>0</v>
      </c>
      <c r="EX5" s="23">
        <f>EXP(-LN(2)/2)*EX4+(1-EXP(-LN(2)/2))/(LN(2)/2)*ER5*EU5*VLOOKUP('Données projet'!$B$15,Paramètres!$A$1:$I$89,3,0)*0.475*44/12</f>
        <v>0</v>
      </c>
      <c r="EY5" s="24">
        <f t="shared" si="21"/>
        <v>0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4.615384615384615</v>
      </c>
      <c r="FE5" s="13">
        <f>IF('Données projet'!$A$218&gt;35,FE4+FD5-FM4,IF(A5&lt;'Données projet'!$A$218,$FB$205^A5,IF(A5='Données projet'!$A$218,'Données projet'!$B$218,FE4+FD5-FM4)))</f>
        <v>2.1519965939276737</v>
      </c>
      <c r="FF5" s="18">
        <f>FE5*VLOOKUP('Données projet'!$B$16,Paramètres!$A$1:$I$89,3,0)*VLOOKUP('Données projet'!$B$16,Paramètres!$A$1:$I$89,5,0)</f>
        <v>1.4435593152066835</v>
      </c>
      <c r="FG5" s="14">
        <f t="shared" ref="FG5:FG68" si="47">EXP(-1.0587+0.8836*LN(FF5)+0.284)</f>
        <v>0.63742414056230023</v>
      </c>
      <c r="FH5" s="22">
        <f t="shared" si="22"/>
        <v>3.624379518797646</v>
      </c>
      <c r="FI5" s="62">
        <f t="shared" si="23"/>
        <v>174.22166080629847</v>
      </c>
      <c r="FJ5" s="62">
        <f ca="1">AVERAGE(OFFSET($FI$3,0,0,'Données projet'!$E$16+1,1))-AVERAGE(OFFSET($H$3,0,0,'Données projet'!$E$16+1,1))</f>
        <v>440.90856392064205</v>
      </c>
      <c r="FK5" s="62">
        <f t="shared" ref="FK5:FK68" si="48">$FK$3</f>
        <v>373.33139300970629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>
        <f>EXP(-LN(2)/35)*FQ4+(1-EXP(-LN(2)/35))/(LN(2)/35)*FM5*FN5*VLOOKUP('Données projet'!$B$16,Paramètres!$A$1:$I$89,3,0)*0.475*44/12</f>
        <v>0</v>
      </c>
      <c r="FR5" s="23">
        <f>EXP(-LN(2)/25)*FR4+(1-EXP(-LN(2)/25))/(LN(2)/25)*Calculateur!FM5*Calculateur!FO5*VLOOKUP('Données projet'!$B$16,Paramètres!$A$1:$I$89,3,0)*0.475*44/12</f>
        <v>0</v>
      </c>
      <c r="FS5" s="23">
        <f>EXP(-LN(2)/2)*FS4+(1-EXP(-LN(2)/2))/(LN(2)/2)*FM5*FP5*VLOOKUP('Données projet'!$B$16,Paramètres!$A$1:$I$89,3,0)*0.475*44/12</f>
        <v>0</v>
      </c>
      <c r="FT5" s="24">
        <f t="shared" si="24"/>
        <v>0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70">
        <f t="shared" si="1"/>
        <v>183.33333333333334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3.65</v>
      </c>
      <c r="N6" s="14">
        <f>IF('Données projet'!$A$36&gt;35,N5+M6-V5,IF(A6&lt;'Données projet'!$A$36,$K$205^A6,IF(A6='Données projet'!$A$36,'Données projet'!$B$36,N5+M6-V5)))</f>
        <v>1.9032613528593461</v>
      </c>
      <c r="O6" s="14">
        <f>N6*VLOOKUP('Données projet'!$B$9,Paramètres!$A$1:$I$89,3,0)*VLOOKUP('Données projet'!$B$9,Paramètres!$A$1:$I$89,5,0)</f>
        <v>1.7220708720671365</v>
      </c>
      <c r="P6" s="14">
        <f t="shared" si="33"/>
        <v>0.74494935243383209</v>
      </c>
      <c r="Q6" s="22">
        <f t="shared" si="2"/>
        <v>4.2967268910058536</v>
      </c>
      <c r="R6" s="62">
        <f t="shared" si="0"/>
        <v>177.65174746089073</v>
      </c>
      <c r="S6" s="62">
        <f ca="1">AVERAGE(OFFSET($R$3,0,0,'Données projet'!$E$9+1,1))-AVERAGE(OFFSET($H$3,0,0,'Données projet'!$E$9+1,1))</f>
        <v>570.08763950759544</v>
      </c>
      <c r="T6" s="62">
        <f t="shared" si="34"/>
        <v>297.32483725004136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4.333333333333333</v>
      </c>
      <c r="AI6" s="14">
        <f>IF('Données projet'!$A$62&gt;35,AI5+AH6-AQ5,IF(A6&lt;'Données projet'!$A$62,$AF$205^A6,IF(A6='Données projet'!$A$62,'Données projet'!$B$62,AI5+AH6-AQ5)))</f>
        <v>2.3045316198021402</v>
      </c>
      <c r="AJ6" s="14">
        <f>AI6*VLOOKUP('Données projet'!$B$10,Paramètres!$A$1:$I$89,3,0)*VLOOKUP('Données projet'!$B$10,Paramètres!$A$1:$I$89,5,0)</f>
        <v>1.833485356714583</v>
      </c>
      <c r="AK6" s="14">
        <f t="shared" si="35"/>
        <v>0.78737934142351296</v>
      </c>
      <c r="AL6" s="22">
        <f t="shared" si="4"/>
        <v>4.5646726825905164</v>
      </c>
      <c r="AM6" s="62">
        <f t="shared" si="5"/>
        <v>177.91969325247541</v>
      </c>
      <c r="AN6" s="62">
        <f ca="1">AVERAGE(OFFSET($AM$3,0,0,'Données projet'!$E$10+1,1))-AVERAGE(OFFSET($H$3,0,0,'Données projet'!$E$10+1,1))</f>
        <v>394.70330963327166</v>
      </c>
      <c r="AO6" s="62">
        <f t="shared" si="36"/>
        <v>424.06445894109982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4.333333333333333</v>
      </c>
      <c r="BD6" s="13">
        <f>IF('Données projet'!$A$88&gt;35,BD5+BC6-BL5,IF(A6&lt;'Données projet'!$A$88,$BA$205^A6,IF(A6='Données projet'!$A$88,'Données projet'!$B$88,BD5+BC6-BL5)))</f>
        <v>2.3045316198021402</v>
      </c>
      <c r="BE6" s="14">
        <f>BD6*VLOOKUP('Données projet'!$B$11,Paramètres!$A$1:$I$89,3,0)*VLOOKUP('Données projet'!$B$11,Paramètres!$A$1:$I$89,5,0)</f>
        <v>1.6896825836389291</v>
      </c>
      <c r="BF6" s="14">
        <f t="shared" si="37"/>
        <v>0.73255573996878998</v>
      </c>
      <c r="BG6" s="22">
        <f t="shared" si="7"/>
        <v>4.2187317469501098</v>
      </c>
      <c r="BH6" s="62">
        <f t="shared" si="8"/>
        <v>177.573752316835</v>
      </c>
      <c r="BI6" s="62">
        <f ca="1">AVERAGE(OFFSET($BH$3,0,0,'Données projet'!$E$11+1,1))-AVERAGE(OFFSET($H$3,0,0,'Données projet'!$E$11+1,1))</f>
        <v>368.54671978064204</v>
      </c>
      <c r="BJ6" s="62">
        <f t="shared" si="38"/>
        <v>395.83504504492237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2.6666666666666665</v>
      </c>
      <c r="BY6" s="13">
        <f>IF('Données projet'!$A$114&gt;35,BY5+BX6-CG5,IF(A6&lt;'Données projet'!$A$114,$BV$205^A6,IF(A6='Données projet'!$A$114,'Données projet'!$B$114,BY5+BX6-CG5)))</f>
        <v>2.0912791051825459</v>
      </c>
      <c r="BZ6" s="14">
        <f>BY6*VLOOKUP('Données projet'!$B$12,Paramètres!$A$1:$I$89,3,0)*VLOOKUP('Données projet'!$B$12,Paramètres!$A$1:$I$89,5,0)</f>
        <v>1.6311977020423858</v>
      </c>
      <c r="CA6" s="14">
        <f t="shared" si="39"/>
        <v>0.71010553443370616</v>
      </c>
      <c r="CB6" s="22">
        <f t="shared" si="10"/>
        <v>4.0777698035291934</v>
      </c>
      <c r="CC6" s="62">
        <f t="shared" si="11"/>
        <v>177.43279037341409</v>
      </c>
      <c r="CD6" s="62">
        <f ca="1">AVERAGE(OFFSET($CC$3,0,0,'Données projet'!$E$12+1,1))-AVERAGE(OFFSET($H$3,0,0,'Données projet'!$E$12+1,1))</f>
        <v>309.21625451786218</v>
      </c>
      <c r="CE6" s="62">
        <f t="shared" si="40"/>
        <v>302.59481222418219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4.615384615384615</v>
      </c>
      <c r="CT6" s="13">
        <f>IF('Données projet'!$A$140&gt;35,CT5+CS6-DB5,IF(A6&lt;'Données projet'!$A$140,$CQ$205^A6,IF(A6='Données projet'!$A$140,'Données projet'!$B$140,CT5+CS6-DB5)))</f>
        <v>2.3337795578281586</v>
      </c>
      <c r="CU6" s="18">
        <f>CT6*VLOOKUP('Données projet'!$B$13,Paramètres!$A$1:$I$89,3,0)*VLOOKUP('Données projet'!$B$13,Paramètres!$A$1:$I$89,5,0)</f>
        <v>2.2208246272292755</v>
      </c>
      <c r="CV6" s="14">
        <f t="shared" si="41"/>
        <v>0.93267872263637819</v>
      </c>
      <c r="CW6" s="22">
        <f t="shared" si="13"/>
        <v>5.4923516676826791</v>
      </c>
      <c r="CX6" s="62">
        <f t="shared" si="14"/>
        <v>178.84737223756755</v>
      </c>
      <c r="CY6" s="62">
        <f ca="1">AVERAGE(OFFSET($CX$3,0,0,'Données projet'!$E$13+1,1))-AVERAGE(OFFSET($H$3,0,0,'Données projet'!$E$13+1,1))</f>
        <v>491.87038198656927</v>
      </c>
      <c r="CZ6" s="62">
        <f t="shared" si="42"/>
        <v>406.49261644949559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3.65</v>
      </c>
      <c r="DO6" s="13">
        <f>IF('Données projet'!$A$166&gt;35,DO5+DN6-DW5,IF(A6&lt;'Données projet'!$A$166,$DL$205^A6,IF(A6='Données projet'!$A$166,'Données projet'!$B$166,DO5+DN6-DW5)))</f>
        <v>1.9032613528593461</v>
      </c>
      <c r="DP6" s="18">
        <f>DO6*VLOOKUP('Données projet'!$B$14,Paramètres!$A$1:$I$89,3,0)*VLOOKUP('Données projet'!$B$14,Paramètres!$A$1:$I$89,5,0)</f>
        <v>1.8408343804855598</v>
      </c>
      <c r="DQ6" s="14">
        <f t="shared" si="43"/>
        <v>0.79016732850363813</v>
      </c>
      <c r="DR6" s="22">
        <f t="shared" si="16"/>
        <v>4.5823279764895188</v>
      </c>
      <c r="DS6" s="62">
        <f t="shared" si="17"/>
        <v>177.93734854637441</v>
      </c>
      <c r="DT6" s="62">
        <f ca="1">AVERAGE(OFFSET($DS$3,0,0,'Données projet'!$E$14+1,1))-AVERAGE(OFFSET($H$3,0,0,'Données projet'!$E$14+1,1))</f>
        <v>603.52431522262032</v>
      </c>
      <c r="DU6" s="62">
        <f t="shared" si="44"/>
        <v>313.56299786481338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0.9</v>
      </c>
      <c r="EJ6" s="13">
        <f>IF('Données projet'!$A$192&gt;35,EJ5+EI6-ER5,IF(A6&lt;'Données projet'!$A$192,$EG$205^A6,IF(A6='Données projet'!$A$192,'Données projet'!$B$192,EJ5+EI6-ER5)))</f>
        <v>1.9331820449317632</v>
      </c>
      <c r="EK6" s="18">
        <f>EJ6*VLOOKUP('Données projet'!$B$15,Paramètres!$A$1:$I$89,3,0)*VLOOKUP('Données projet'!$B$15,Paramètres!$A$1:$I$89,5,0)</f>
        <v>1.5681972748486466</v>
      </c>
      <c r="EL6" s="14">
        <f t="shared" si="45"/>
        <v>0.68581679886281277</v>
      </c>
      <c r="EM6" s="22">
        <f t="shared" si="19"/>
        <v>3.9257411783807914</v>
      </c>
      <c r="EN6" s="62">
        <f t="shared" si="20"/>
        <v>177.28076174826569</v>
      </c>
      <c r="EO6" s="62">
        <f ca="1">AVERAGE(OFFSET($EN$3,0,0,'Données projet'!$E$15+1,1))-AVERAGE(OFFSET($H$3,0,0,'Données projet'!$E$15+1,1))</f>
        <v>272.69564942740931</v>
      </c>
      <c r="EP6" s="62">
        <f t="shared" si="46"/>
        <v>316.57989180609252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>
        <f>EXP(-LN(2)/35)*EV5+(1-EXP(-LN(2)/35))/(LN(2)/35)*ER6*ES6*VLOOKUP('Données projet'!$B$15,Paramètres!$A$1:$I$89,3,0)*0.475*44/12</f>
        <v>0</v>
      </c>
      <c r="EW6" s="23">
        <f>EXP(-LN(2)/25)*EW5+(1-EXP(-LN(2)/25))/(LN(2)/25)*Calculateur!ER6*Calculateur!ET6*VLOOKUP('Données projet'!$B$15,Paramètres!$A$1:$I$89,3,0)*0.475*44/12</f>
        <v>0</v>
      </c>
      <c r="EX6" s="23">
        <f>EXP(-LN(2)/2)*EX5+(1-EXP(-LN(2)/2))/(LN(2)/2)*ER6*EU6*VLOOKUP('Données projet'!$B$15,Paramètres!$A$1:$I$89,3,0)*0.475*44/12</f>
        <v>0</v>
      </c>
      <c r="EY6" s="24">
        <f t="shared" si="21"/>
        <v>0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4.615384615384615</v>
      </c>
      <c r="FE6" s="13">
        <f>IF('Données projet'!$A$218&gt;35,FE5+FD6-FM5,IF(A6&lt;'Données projet'!$A$218,$FB$205^A6,IF(A6='Données projet'!$A$218,'Données projet'!$B$218,FE5+FD6-FM5)))</f>
        <v>3.1569112256206027</v>
      </c>
      <c r="FF6" s="18">
        <f>FE6*VLOOKUP('Données projet'!$B$16,Paramètres!$A$1:$I$89,3,0)*VLOOKUP('Données projet'!$B$16,Paramètres!$A$1:$I$89,5,0)</f>
        <v>2.1176560501463002</v>
      </c>
      <c r="FG6" s="14">
        <f t="shared" si="47"/>
        <v>0.89428905787106128</v>
      </c>
      <c r="FH6" s="22">
        <f t="shared" si="22"/>
        <v>5.245804396463571</v>
      </c>
      <c r="FI6" s="62">
        <f t="shared" si="23"/>
        <v>178.60082496634845</v>
      </c>
      <c r="FJ6" s="62">
        <f ca="1">AVERAGE(OFFSET($FI$3,0,0,'Données projet'!$E$16+1,1))-AVERAGE(OFFSET($H$3,0,0,'Données projet'!$E$16+1,1))</f>
        <v>440.90856392064205</v>
      </c>
      <c r="FK6" s="62">
        <f t="shared" si="48"/>
        <v>373.33139300970629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>
        <f>EXP(-LN(2)/35)*FQ5+(1-EXP(-LN(2)/35))/(LN(2)/35)*FM6*FN6*VLOOKUP('Données projet'!$B$16,Paramètres!$A$1:$I$89,3,0)*0.475*44/12</f>
        <v>0</v>
      </c>
      <c r="FR6" s="23">
        <f>EXP(-LN(2)/25)*FR5+(1-EXP(-LN(2)/25))/(LN(2)/25)*Calculateur!FM6*Calculateur!FO6*VLOOKUP('Données projet'!$B$16,Paramètres!$A$1:$I$89,3,0)*0.475*44/12</f>
        <v>0</v>
      </c>
      <c r="FS6" s="23">
        <f>EXP(-LN(2)/2)*FS5+(1-EXP(-LN(2)/2))/(LN(2)/2)*FM6*FP6*VLOOKUP('Données projet'!$B$16,Paramètres!$A$1:$I$89,3,0)*0.475*44/12</f>
        <v>0</v>
      </c>
      <c r="FT6" s="24">
        <f t="shared" si="24"/>
        <v>0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70">
        <f t="shared" si="1"/>
        <v>183.33333333333334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3.65</v>
      </c>
      <c r="N7" s="14">
        <f>IF('Données projet'!$A$36&gt;35,N6+M7-V6,IF(A7&lt;'Données projet'!$A$36,$K$205^A7,IF(A7='Données projet'!$A$36,'Données projet'!$B$36,N6+M7-V6)))</f>
        <v>2.3586558182407358</v>
      </c>
      <c r="O7" s="14">
        <f>N7*VLOOKUP('Données projet'!$B$9,Paramètres!$A$1:$I$89,3,0)*VLOOKUP('Données projet'!$B$9,Paramètres!$A$1:$I$89,5,0)</f>
        <v>2.1341117843442179</v>
      </c>
      <c r="P7" s="14">
        <f t="shared" si="33"/>
        <v>0.90042667189585779</v>
      </c>
      <c r="Q7" s="22">
        <f t="shared" si="2"/>
        <v>5.2851544779514645</v>
      </c>
      <c r="R7" s="62">
        <f t="shared" si="0"/>
        <v>181.37127654212841</v>
      </c>
      <c r="S7" s="62">
        <f ca="1">AVERAGE(OFFSET($R$3,0,0,'Données projet'!$E$9+1,1))-AVERAGE(OFFSET($H$3,0,0,'Données projet'!$E$9+1,1))</f>
        <v>570.08763950759544</v>
      </c>
      <c r="T7" s="62">
        <f t="shared" si="34"/>
        <v>297.32483725004136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4.333333333333333</v>
      </c>
      <c r="AI7" s="14">
        <f>IF('Données projet'!$A$62&gt;35,AI6+AH7-AQ6,IF(A7&lt;'Données projet'!$A$62,$AF$205^A7,IF(A7='Données projet'!$A$62,'Données projet'!$B$62,AI6+AH7-AQ6)))</f>
        <v>3.0439923858678468</v>
      </c>
      <c r="AJ7" s="14">
        <f>AI7*VLOOKUP('Données projet'!$B$10,Paramètres!$A$1:$I$89,3,0)*VLOOKUP('Données projet'!$B$10,Paramètres!$A$1:$I$89,5,0)</f>
        <v>2.4218003421964593</v>
      </c>
      <c r="AK7" s="14">
        <f t="shared" si="35"/>
        <v>1.0068776453006392</v>
      </c>
      <c r="AL7" s="22">
        <f t="shared" si="4"/>
        <v>5.9716141615574472</v>
      </c>
      <c r="AM7" s="62">
        <f t="shared" si="5"/>
        <v>182.0577362257344</v>
      </c>
      <c r="AN7" s="62">
        <f ca="1">AVERAGE(OFFSET($AM$3,0,0,'Données projet'!$E$10+1,1))-AVERAGE(OFFSET($H$3,0,0,'Données projet'!$E$10+1,1))</f>
        <v>394.70330963327166</v>
      </c>
      <c r="AO7" s="62">
        <f t="shared" si="36"/>
        <v>424.06445894109982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4.333333333333333</v>
      </c>
      <c r="BD7" s="13">
        <f>IF('Données projet'!$A$88&gt;35,BD6+BC7-BL6,IF(A7&lt;'Données projet'!$A$88,$BA$205^A7,IF(A7='Données projet'!$A$88,'Données projet'!$B$88,BD6+BC7-BL6)))</f>
        <v>3.0439923858678468</v>
      </c>
      <c r="BE7" s="14">
        <f>BD7*VLOOKUP('Données projet'!$B$11,Paramètres!$A$1:$I$89,3,0)*VLOOKUP('Données projet'!$B$11,Paramètres!$A$1:$I$89,5,0)</f>
        <v>2.2318552173183055</v>
      </c>
      <c r="BF7" s="14">
        <f t="shared" si="37"/>
        <v>0.93677082913775367</v>
      </c>
      <c r="BG7" s="22">
        <f t="shared" si="7"/>
        <v>5.5186903642443035</v>
      </c>
      <c r="BH7" s="62">
        <f t="shared" si="8"/>
        <v>181.60481242842124</v>
      </c>
      <c r="BI7" s="62">
        <f ca="1">AVERAGE(OFFSET($BH$3,0,0,'Données projet'!$E$11+1,1))-AVERAGE(OFFSET($H$3,0,0,'Données projet'!$E$11+1,1))</f>
        <v>368.54671978064204</v>
      </c>
      <c r="BJ7" s="62">
        <f t="shared" si="38"/>
        <v>395.83504504492237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2.6666666666666665</v>
      </c>
      <c r="BY7" s="13">
        <f>IF('Données projet'!$A$114&gt;35,BY6+BX7-CG6,IF(A7&lt;'Données projet'!$A$114,$BV$205^A7,IF(A7='Données projet'!$A$114,'Données projet'!$B$114,BY6+BX7-CG6)))</f>
        <v>2.6743361672197152</v>
      </c>
      <c r="BZ7" s="14">
        <f>BY7*VLOOKUP('Données projet'!$B$12,Paramètres!$A$1:$I$89,3,0)*VLOOKUP('Données projet'!$B$12,Paramètres!$A$1:$I$89,5,0)</f>
        <v>2.0859822104313781</v>
      </c>
      <c r="CA7" s="14">
        <f t="shared" si="39"/>
        <v>0.88245976121767966</v>
      </c>
      <c r="CB7" s="22">
        <f t="shared" si="10"/>
        <v>5.1700364339554419</v>
      </c>
      <c r="CC7" s="62">
        <f t="shared" si="11"/>
        <v>181.25615849813238</v>
      </c>
      <c r="CD7" s="62">
        <f ca="1">AVERAGE(OFFSET($CC$3,0,0,'Données projet'!$E$12+1,1))-AVERAGE(OFFSET($H$3,0,0,'Données projet'!$E$12+1,1))</f>
        <v>309.21625451786218</v>
      </c>
      <c r="CE7" s="62">
        <f t="shared" si="40"/>
        <v>302.59481222418219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4.615384615384615</v>
      </c>
      <c r="CT7" s="13">
        <f>IF('Données projet'!$A$140&gt;35,CT6+CS7-DB6,IF(A7&lt;'Données projet'!$A$140,$CQ$205^A7,IF(A7='Données projet'!$A$140,'Données projet'!$B$140,CT6+CS7-DB6)))</f>
        <v>3.0956114325338957</v>
      </c>
      <c r="CU7" s="18">
        <f>CT7*VLOOKUP('Données projet'!$B$13,Paramètres!$A$1:$I$89,3,0)*VLOOKUP('Données projet'!$B$13,Paramètres!$A$1:$I$89,5,0)</f>
        <v>2.9457838391992555</v>
      </c>
      <c r="CV7" s="14">
        <f t="shared" si="41"/>
        <v>1.1971207490368478</v>
      </c>
      <c r="CW7" s="22">
        <f t="shared" si="13"/>
        <v>7.2155588245112128</v>
      </c>
      <c r="CX7" s="62">
        <f t="shared" si="14"/>
        <v>183.30168088868817</v>
      </c>
      <c r="CY7" s="62">
        <f ca="1">AVERAGE(OFFSET($CX$3,0,0,'Données projet'!$E$13+1,1))-AVERAGE(OFFSET($H$3,0,0,'Données projet'!$E$13+1,1))</f>
        <v>491.87038198656927</v>
      </c>
      <c r="CZ7" s="62">
        <f t="shared" si="42"/>
        <v>406.49261644949559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3.65</v>
      </c>
      <c r="DO7" s="13">
        <f>IF('Données projet'!$A$166&gt;35,DO6+DN7-DW6,IF(A7&lt;'Données projet'!$A$166,$DL$205^A7,IF(A7='Données projet'!$A$166,'Données projet'!$B$166,DO6+DN7-DW6)))</f>
        <v>2.3586558182407358</v>
      </c>
      <c r="DP7" s="18">
        <f>DO7*VLOOKUP('Données projet'!$B$14,Paramètres!$A$1:$I$89,3,0)*VLOOKUP('Données projet'!$B$14,Paramètres!$A$1:$I$89,5,0)</f>
        <v>2.2812919074024398</v>
      </c>
      <c r="DQ7" s="14">
        <f t="shared" si="43"/>
        <v>0.95508202741684722</v>
      </c>
      <c r="DR7" s="22">
        <f t="shared" si="16"/>
        <v>5.6366846031435918</v>
      </c>
      <c r="DS7" s="62">
        <f t="shared" si="17"/>
        <v>181.72280666732053</v>
      </c>
      <c r="DT7" s="62">
        <f ca="1">AVERAGE(OFFSET($DS$3,0,0,'Données projet'!$E$14+1,1))-AVERAGE(OFFSET($H$3,0,0,'Données projet'!$E$14+1,1))</f>
        <v>603.52431522262032</v>
      </c>
      <c r="DU7" s="62">
        <f t="shared" si="44"/>
        <v>313.56299786481338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0.9</v>
      </c>
      <c r="EJ7" s="13">
        <f>IF('Données projet'!$A$192&gt;35,EJ6+EI7-ER6,IF(A7&lt;'Données projet'!$A$192,$EG$205^A7,IF(A7='Données projet'!$A$192,'Données projet'!$B$192,EJ6+EI7-ER6)))</f>
        <v>2.4082246852806923</v>
      </c>
      <c r="EK7" s="18">
        <f>EJ7*VLOOKUP('Données projet'!$B$15,Paramètres!$A$1:$I$89,3,0)*VLOOKUP('Données projet'!$B$15,Paramètres!$A$1:$I$89,5,0)</f>
        <v>1.9535518646996977</v>
      </c>
      <c r="EL7" s="14">
        <f t="shared" si="45"/>
        <v>0.83276983766381052</v>
      </c>
      <c r="EM7" s="22">
        <f t="shared" si="19"/>
        <v>4.8528436316164436</v>
      </c>
      <c r="EN7" s="62">
        <f t="shared" si="20"/>
        <v>180.9389656957934</v>
      </c>
      <c r="EO7" s="62">
        <f ca="1">AVERAGE(OFFSET($EN$3,0,0,'Données projet'!$E$15+1,1))-AVERAGE(OFFSET($H$3,0,0,'Données projet'!$E$15+1,1))</f>
        <v>272.69564942740931</v>
      </c>
      <c r="EP7" s="62">
        <f t="shared" si="46"/>
        <v>316.57989180609252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>
        <f>EXP(-LN(2)/35)*EV6+(1-EXP(-LN(2)/35))/(LN(2)/35)*ER7*ES7*VLOOKUP('Données projet'!$B$15,Paramètres!$A$1:$I$89,3,0)*0.475*44/12</f>
        <v>0</v>
      </c>
      <c r="EW7" s="23">
        <f>EXP(-LN(2)/25)*EW6+(1-EXP(-LN(2)/25))/(LN(2)/25)*Calculateur!ER7*Calculateur!ET7*VLOOKUP('Données projet'!$B$15,Paramètres!$A$1:$I$89,3,0)*0.475*44/12</f>
        <v>0</v>
      </c>
      <c r="EX7" s="23">
        <f>EXP(-LN(2)/2)*EX6+(1-EXP(-LN(2)/2))/(LN(2)/2)*ER7*EU7*VLOOKUP('Données projet'!$B$15,Paramètres!$A$1:$I$89,3,0)*0.475*44/12</f>
        <v>0</v>
      </c>
      <c r="EY7" s="24">
        <f t="shared" si="21"/>
        <v>0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4.615384615384615</v>
      </c>
      <c r="FE7" s="13">
        <f>IF('Données projet'!$A$218&gt;35,FE6+FD7-FM6,IF(A7&lt;'Données projet'!$A$218,$FB$205^A7,IF(A7='Données projet'!$A$218,'Données projet'!$B$218,FE6+FD7-FM6)))</f>
        <v>4.6310893402763087</v>
      </c>
      <c r="FF7" s="18">
        <f>FE7*VLOOKUP('Données projet'!$B$16,Paramètres!$A$1:$I$89,3,0)*VLOOKUP('Données projet'!$B$16,Paramètres!$A$1:$I$89,5,0)</f>
        <v>3.1065347294573482</v>
      </c>
      <c r="FG7" s="14">
        <f t="shared" si="47"/>
        <v>1.2546636817400934</v>
      </c>
      <c r="FH7" s="22">
        <f t="shared" si="22"/>
        <v>7.5957538995022098</v>
      </c>
      <c r="FI7" s="62">
        <f t="shared" si="23"/>
        <v>183.68187596367915</v>
      </c>
      <c r="FJ7" s="62">
        <f ca="1">AVERAGE(OFFSET($FI$3,0,0,'Données projet'!$E$16+1,1))-AVERAGE(OFFSET($H$3,0,0,'Données projet'!$E$16+1,1))</f>
        <v>440.90856392064205</v>
      </c>
      <c r="FK7" s="62">
        <f t="shared" si="48"/>
        <v>373.33139300970629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>
        <f>EXP(-LN(2)/35)*FQ6+(1-EXP(-LN(2)/35))/(LN(2)/35)*FM7*FN7*VLOOKUP('Données projet'!$B$16,Paramètres!$A$1:$I$89,3,0)*0.475*44/12</f>
        <v>0</v>
      </c>
      <c r="FR7" s="23">
        <f>EXP(-LN(2)/25)*FR6+(1-EXP(-LN(2)/25))/(LN(2)/25)*Calculateur!FM7*Calculateur!FO7*VLOOKUP('Données projet'!$B$16,Paramètres!$A$1:$I$89,3,0)*0.475*44/12</f>
        <v>0</v>
      </c>
      <c r="FS7" s="23">
        <f>EXP(-LN(2)/2)*FS6+(1-EXP(-LN(2)/2))/(LN(2)/2)*FM7*FP7*VLOOKUP('Données projet'!$B$16,Paramètres!$A$1:$I$89,3,0)*0.475*44/12</f>
        <v>0</v>
      </c>
      <c r="FT7" s="24">
        <f t="shared" si="24"/>
        <v>0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70">
        <f t="shared" si="1"/>
        <v>183.33333333333334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3.65</v>
      </c>
      <c r="N8" s="14">
        <f>IF('Données projet'!$A$36&gt;35,N7+M8-V7,IF(A8&lt;'Données projet'!$A$36,$K$205^A8,IF(A8='Données projet'!$A$36,'Données projet'!$B$36,N7+M8-V7)))</f>
        <v>2.9230127856917649</v>
      </c>
      <c r="O8" s="14">
        <f>N8*VLOOKUP('Données projet'!$B$9,Paramètres!$A$1:$I$89,3,0)*VLOOKUP('Données projet'!$B$9,Paramètres!$A$1:$I$89,5,0)</f>
        <v>2.6447419684939089</v>
      </c>
      <c r="P8" s="14">
        <f t="shared" si="33"/>
        <v>1.0883534414958294</v>
      </c>
      <c r="Q8" s="22">
        <f t="shared" si="2"/>
        <v>6.5018078390654601</v>
      </c>
      <c r="R8" s="62">
        <f t="shared" si="0"/>
        <v>185.29285571551281</v>
      </c>
      <c r="S8" s="62">
        <f ca="1">AVERAGE(OFFSET($R$3,0,0,'Données projet'!$E$9+1,1))-AVERAGE(OFFSET($H$3,0,0,'Données projet'!$E$9+1,1))</f>
        <v>570.08763950759544</v>
      </c>
      <c r="T8" s="62">
        <f t="shared" si="34"/>
        <v>297.32483725004136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4.333333333333333</v>
      </c>
      <c r="AI8" s="14">
        <f>IF('Données projet'!$A$62&gt;35,AI7+AH8-AQ7,IF(A8&lt;'Données projet'!$A$62,$AF$205^A8,IF(A8='Données projet'!$A$62,'Données projet'!$B$62,AI7+AH8-AQ7)))</f>
        <v>4.0207257585890561</v>
      </c>
      <c r="AJ8" s="14">
        <f>AI8*VLOOKUP('Données projet'!$B$10,Paramètres!$A$1:$I$89,3,0)*VLOOKUP('Données projet'!$B$10,Paramètres!$A$1:$I$89,5,0)</f>
        <v>3.1988894135334531</v>
      </c>
      <c r="AK8" s="14">
        <f t="shared" si="35"/>
        <v>1.2875656488183871</v>
      </c>
      <c r="AL8" s="22">
        <f t="shared" si="4"/>
        <v>7.8139092335961218</v>
      </c>
      <c r="AM8" s="62">
        <f t="shared" si="5"/>
        <v>186.60495711004347</v>
      </c>
      <c r="AN8" s="62">
        <f ca="1">AVERAGE(OFFSET($AM$3,0,0,'Données projet'!$E$10+1,1))-AVERAGE(OFFSET($H$3,0,0,'Données projet'!$E$10+1,1))</f>
        <v>394.70330963327166</v>
      </c>
      <c r="AO8" s="62">
        <f t="shared" si="36"/>
        <v>424.06445894109982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4.333333333333333</v>
      </c>
      <c r="BD8" s="13">
        <f>IF('Données projet'!$A$88&gt;35,BD7+BC8-BL7,IF(A8&lt;'Données projet'!$A$88,$BA$205^A8,IF(A8='Données projet'!$A$88,'Données projet'!$B$88,BD7+BC8-BL7)))</f>
        <v>4.0207257585890561</v>
      </c>
      <c r="BE8" s="14">
        <f>BD8*VLOOKUP('Données projet'!$B$11,Paramètres!$A$1:$I$89,3,0)*VLOOKUP('Données projet'!$B$11,Paramètres!$A$1:$I$89,5,0)</f>
        <v>2.9479961261974958</v>
      </c>
      <c r="BF8" s="14">
        <f t="shared" si="37"/>
        <v>1.1979151052189165</v>
      </c>
      <c r="BG8" s="22">
        <f t="shared" si="7"/>
        <v>7.2207953947169168</v>
      </c>
      <c r="BH8" s="62">
        <f t="shared" si="8"/>
        <v>186.01184327116428</v>
      </c>
      <c r="BI8" s="62">
        <f ca="1">AVERAGE(OFFSET($BH$3,0,0,'Données projet'!$E$11+1,1))-AVERAGE(OFFSET($H$3,0,0,'Données projet'!$E$11+1,1))</f>
        <v>368.54671978064204</v>
      </c>
      <c r="BJ8" s="62">
        <f t="shared" si="38"/>
        <v>395.83504504492237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2.6666666666666665</v>
      </c>
      <c r="BY8" s="13">
        <f>IF('Données projet'!$A$114&gt;35,BY7+BX8-CG7,IF(A8&lt;'Données projet'!$A$114,$BV$205^A8,IF(A8='Données projet'!$A$114,'Données projet'!$B$114,BY7+BX8-CG7)))</f>
        <v>3.4199518933533928</v>
      </c>
      <c r="BZ8" s="14">
        <f>BY8*VLOOKUP('Données projet'!$B$12,Paramètres!$A$1:$I$89,3,0)*VLOOKUP('Données projet'!$B$12,Paramètres!$A$1:$I$89,5,0)</f>
        <v>2.6675624768156463</v>
      </c>
      <c r="CA8" s="14">
        <f t="shared" si="39"/>
        <v>1.0966471776471767</v>
      </c>
      <c r="CB8" s="22">
        <f t="shared" si="10"/>
        <v>6.5559984815227494</v>
      </c>
      <c r="CC8" s="62">
        <f t="shared" si="11"/>
        <v>185.3470463579701</v>
      </c>
      <c r="CD8" s="62">
        <f ca="1">AVERAGE(OFFSET($CC$3,0,0,'Données projet'!$E$12+1,1))-AVERAGE(OFFSET($H$3,0,0,'Données projet'!$E$12+1,1))</f>
        <v>309.21625451786218</v>
      </c>
      <c r="CE8" s="62">
        <f t="shared" si="40"/>
        <v>302.59481222418219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4.615384615384615</v>
      </c>
      <c r="CT8" s="13">
        <f>IF('Données projet'!$A$140&gt;35,CT7+CS8-DB7,IF(A8&lt;'Données projet'!$A$140,$CQ$205^A8,IF(A8='Données projet'!$A$140,'Données projet'!$B$140,CT7+CS8-DB7)))</f>
        <v>4.1061333788322445</v>
      </c>
      <c r="CU8" s="18">
        <f>CT8*VLOOKUP('Données projet'!$B$13,Paramètres!$A$1:$I$89,3,0)*VLOOKUP('Données projet'!$B$13,Paramètres!$A$1:$I$89,5,0)</f>
        <v>3.907396523296764</v>
      </c>
      <c r="CV8" s="14">
        <f t="shared" si="41"/>
        <v>1.5365399177582215</v>
      </c>
      <c r="CW8" s="22">
        <f t="shared" si="13"/>
        <v>9.4815226348374324</v>
      </c>
      <c r="CX8" s="62">
        <f t="shared" si="14"/>
        <v>188.27257051128478</v>
      </c>
      <c r="CY8" s="62">
        <f ca="1">AVERAGE(OFFSET($CX$3,0,0,'Données projet'!$E$13+1,1))-AVERAGE(OFFSET($H$3,0,0,'Données projet'!$E$13+1,1))</f>
        <v>491.87038198656927</v>
      </c>
      <c r="CZ8" s="62">
        <f t="shared" si="42"/>
        <v>406.49261644949559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3.65</v>
      </c>
      <c r="DO8" s="13">
        <f>IF('Données projet'!$A$166&gt;35,DO7+DN8-DW7,IF(A8&lt;'Données projet'!$A$166,$DL$205^A8,IF(A8='Données projet'!$A$166,'Données projet'!$B$166,DO7+DN8-DW7)))</f>
        <v>2.9230127856917649</v>
      </c>
      <c r="DP8" s="18">
        <f>DO8*VLOOKUP('Données projet'!$B$14,Paramètres!$A$1:$I$89,3,0)*VLOOKUP('Données projet'!$B$14,Paramètres!$A$1:$I$89,5,0)</f>
        <v>2.8271379663210752</v>
      </c>
      <c r="DQ8" s="14">
        <f t="shared" si="43"/>
        <v>1.1544158385061292</v>
      </c>
      <c r="DR8" s="22">
        <f t="shared" si="16"/>
        <v>6.9345395434073795</v>
      </c>
      <c r="DS8" s="62">
        <f t="shared" si="17"/>
        <v>185.72558741985472</v>
      </c>
      <c r="DT8" s="62">
        <f ca="1">AVERAGE(OFFSET($DS$3,0,0,'Données projet'!$E$14+1,1))-AVERAGE(OFFSET($H$3,0,0,'Données projet'!$E$14+1,1))</f>
        <v>603.52431522262032</v>
      </c>
      <c r="DU8" s="62">
        <f t="shared" si="44"/>
        <v>313.56299786481338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0.9</v>
      </c>
      <c r="EJ8" s="13">
        <f>IF('Données projet'!$A$192&gt;35,EJ7+EI8-ER7,IF(A8&lt;'Données projet'!$A$192,$EG$205^A8,IF(A8='Données projet'!$A$192,'Données projet'!$B$192,EJ7+EI8-ER7)))</f>
        <v>3.0000000000000004</v>
      </c>
      <c r="EK8" s="18">
        <f>EJ8*VLOOKUP('Données projet'!$B$15,Paramètres!$A$1:$I$89,3,0)*VLOOKUP('Données projet'!$B$15,Paramètres!$A$1:$I$89,5,0)</f>
        <v>2.4336000000000007</v>
      </c>
      <c r="EL8" s="14">
        <f t="shared" si="45"/>
        <v>1.0112111626203177</v>
      </c>
      <c r="EM8" s="22">
        <f t="shared" si="19"/>
        <v>5.9997127748970547</v>
      </c>
      <c r="EN8" s="62">
        <f t="shared" si="20"/>
        <v>184.79076065134441</v>
      </c>
      <c r="EO8" s="62">
        <f ca="1">AVERAGE(OFFSET($EN$3,0,0,'Données projet'!$E$15+1,1))-AVERAGE(OFFSET($H$3,0,0,'Données projet'!$E$15+1,1))</f>
        <v>272.69564942740931</v>
      </c>
      <c r="EP8" s="62">
        <f t="shared" si="46"/>
        <v>316.57989180609252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>
        <f>EXP(-LN(2)/35)*EV7+(1-EXP(-LN(2)/35))/(LN(2)/35)*ER8*ES8*VLOOKUP('Données projet'!$B$15,Paramètres!$A$1:$I$89,3,0)*0.475*44/12</f>
        <v>0</v>
      </c>
      <c r="EW8" s="23">
        <f>EXP(-LN(2)/25)*EW7+(1-EXP(-LN(2)/25))/(LN(2)/25)*Calculateur!ER8*Calculateur!ET8*VLOOKUP('Données projet'!$B$15,Paramètres!$A$1:$I$89,3,0)*0.475*44/12</f>
        <v>0</v>
      </c>
      <c r="EX8" s="23">
        <f>EXP(-LN(2)/2)*EX7+(1-EXP(-LN(2)/2))/(LN(2)/2)*ER8*EU8*VLOOKUP('Données projet'!$B$15,Paramètres!$A$1:$I$89,3,0)*0.475*44/12</f>
        <v>0</v>
      </c>
      <c r="EY8" s="24">
        <f t="shared" si="21"/>
        <v>0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4.615384615384615</v>
      </c>
      <c r="FE8" s="13">
        <f>IF('Données projet'!$A$218&gt;35,FE7+FD8-FM7,IF(A8&lt;'Données projet'!$A$218,$FB$205^A8,IF(A8='Données projet'!$A$218,'Données projet'!$B$218,FE7+FD8-FM7)))</f>
        <v>6.7936622048675739</v>
      </c>
      <c r="FF8" s="18">
        <f>FE8*VLOOKUP('Données projet'!$B$16,Paramètres!$A$1:$I$89,3,0)*VLOOKUP('Données projet'!$B$16,Paramètres!$A$1:$I$89,5,0)</f>
        <v>4.5571886070251688</v>
      </c>
      <c r="FG8" s="14">
        <f t="shared" si="47"/>
        <v>1.7602596614847237</v>
      </c>
      <c r="FH8" s="22">
        <f t="shared" si="22"/>
        <v>11.002889067654728</v>
      </c>
      <c r="FI8" s="62">
        <f t="shared" si="23"/>
        <v>189.79393694410209</v>
      </c>
      <c r="FJ8" s="62">
        <f ca="1">AVERAGE(OFFSET($FI$3,0,0,'Données projet'!$E$16+1,1))-AVERAGE(OFFSET($H$3,0,0,'Données projet'!$E$16+1,1))</f>
        <v>440.90856392064205</v>
      </c>
      <c r="FK8" s="62">
        <f t="shared" si="48"/>
        <v>373.33139300970629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>
        <f>EXP(-LN(2)/35)*FQ7+(1-EXP(-LN(2)/35))/(LN(2)/35)*FM8*FN8*VLOOKUP('Données projet'!$B$16,Paramètres!$A$1:$I$89,3,0)*0.475*44/12</f>
        <v>0</v>
      </c>
      <c r="FR8" s="23">
        <f>EXP(-LN(2)/25)*FR7+(1-EXP(-LN(2)/25))/(LN(2)/25)*Calculateur!FM8*Calculateur!FO8*VLOOKUP('Données projet'!$B$16,Paramètres!$A$1:$I$89,3,0)*0.475*44/12</f>
        <v>0</v>
      </c>
      <c r="FS8" s="23">
        <f>EXP(-LN(2)/2)*FS7+(1-EXP(-LN(2)/2))/(LN(2)/2)*FM8*FP8*VLOOKUP('Données projet'!$B$16,Paramètres!$A$1:$I$89,3,0)*0.475*44/12</f>
        <v>0</v>
      </c>
      <c r="FT8" s="24">
        <f t="shared" si="24"/>
        <v>0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70">
        <f t="shared" si="1"/>
        <v>183.33333333333334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3.65</v>
      </c>
      <c r="N9" s="14">
        <f>IF('Données projet'!$A$36&gt;35,N8+M9-V8,IF(A9&lt;'Données projet'!$A$36,$K$205^A9,IF(A9='Données projet'!$A$36,'Données projet'!$B$36,N8+M9-V8)))</f>
        <v>3.6224037772879885</v>
      </c>
      <c r="O9" s="14">
        <f>N9*VLOOKUP('Données projet'!$B$9,Paramètres!$A$1:$I$89,3,0)*VLOOKUP('Données projet'!$B$9,Paramètres!$A$1:$I$89,5,0)</f>
        <v>3.2775509376901719</v>
      </c>
      <c r="P9" s="14">
        <f t="shared" si="33"/>
        <v>1.315502139804245</v>
      </c>
      <c r="Q9" s="22">
        <f t="shared" si="2"/>
        <v>7.9995674433027766</v>
      </c>
      <c r="R9" s="62">
        <f t="shared" si="0"/>
        <v>189.46981953956174</v>
      </c>
      <c r="S9" s="62">
        <f ca="1">AVERAGE(OFFSET($R$3,0,0,'Données projet'!$E$9+1,1))-AVERAGE(OFFSET($H$3,0,0,'Données projet'!$E$9+1,1))</f>
        <v>570.08763950759544</v>
      </c>
      <c r="T9" s="62">
        <f t="shared" si="34"/>
        <v>297.32483725004136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4.333333333333333</v>
      </c>
      <c r="AI9" s="14">
        <f>IF('Données projet'!$A$62&gt;35,AI8+AH9-AQ8,IF(A9&lt;'Données projet'!$A$62,$AF$205^A9,IF(A9='Données projet'!$A$62,'Données projet'!$B$62,AI8+AH9-AQ8)))</f>
        <v>5.310865986667876</v>
      </c>
      <c r="AJ9" s="14">
        <f>AI9*VLOOKUP('Données projet'!$B$10,Paramètres!$A$1:$I$89,3,0)*VLOOKUP('Données projet'!$B$10,Paramètres!$A$1:$I$89,5,0)</f>
        <v>4.2253249789929628</v>
      </c>
      <c r="AK9" s="14">
        <f t="shared" si="35"/>
        <v>1.6465012484432624</v>
      </c>
      <c r="AL9" s="22">
        <f t="shared" si="4"/>
        <v>10.226764012784757</v>
      </c>
      <c r="AM9" s="62">
        <f t="shared" si="5"/>
        <v>191.69701610904374</v>
      </c>
      <c r="AN9" s="62">
        <f ca="1">AVERAGE(OFFSET($AM$3,0,0,'Données projet'!$E$10+1,1))-AVERAGE(OFFSET($H$3,0,0,'Données projet'!$E$10+1,1))</f>
        <v>394.70330963327166</v>
      </c>
      <c r="AO9" s="62">
        <f t="shared" si="36"/>
        <v>424.06445894109982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4.333333333333333</v>
      </c>
      <c r="BD9" s="13">
        <f>IF('Données projet'!$A$88&gt;35,BD8+BC9-BL8,IF(A9&lt;'Données projet'!$A$88,$BA$205^A9,IF(A9='Données projet'!$A$88,'Données projet'!$B$88,BD8+BC9-BL8)))</f>
        <v>5.310865986667876</v>
      </c>
      <c r="BE9" s="14">
        <f>BD9*VLOOKUP('Données projet'!$B$11,Paramètres!$A$1:$I$89,3,0)*VLOOKUP('Données projet'!$B$11,Paramètres!$A$1:$I$89,5,0)</f>
        <v>3.8939269414248865</v>
      </c>
      <c r="BF9" s="14">
        <f t="shared" si="37"/>
        <v>1.5318587584889765</v>
      </c>
      <c r="BG9" s="22">
        <f t="shared" si="7"/>
        <v>9.4499100940166461</v>
      </c>
      <c r="BH9" s="62">
        <f t="shared" si="8"/>
        <v>190.92016219027562</v>
      </c>
      <c r="BI9" s="62">
        <f ca="1">AVERAGE(OFFSET($BH$3,0,0,'Données projet'!$E$11+1,1))-AVERAGE(OFFSET($H$3,0,0,'Données projet'!$E$11+1,1))</f>
        <v>368.54671978064204</v>
      </c>
      <c r="BJ9" s="62">
        <f t="shared" si="38"/>
        <v>395.83504504492237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2.6666666666666665</v>
      </c>
      <c r="BY9" s="13">
        <f>IF('Données projet'!$A$114&gt;35,BY8+BX9-CG8,IF(A9&lt;'Données projet'!$A$114,$BV$205^A9,IF(A9='Données projet'!$A$114,'Données projet'!$B$114,BY8+BX9-CG8)))</f>
        <v>4.3734482957731098</v>
      </c>
      <c r="BZ9" s="14">
        <f>BY9*VLOOKUP('Données projet'!$B$12,Paramètres!$A$1:$I$89,3,0)*VLOOKUP('Données projet'!$B$12,Paramètres!$A$1:$I$89,5,0)</f>
        <v>3.4112896707030256</v>
      </c>
      <c r="CA9" s="14">
        <f t="shared" si="39"/>
        <v>1.3628213830192535</v>
      </c>
      <c r="CB9" s="22">
        <f t="shared" si="10"/>
        <v>8.3149100852329703</v>
      </c>
      <c r="CC9" s="62">
        <f t="shared" si="11"/>
        <v>189.78516218149196</v>
      </c>
      <c r="CD9" s="62">
        <f ca="1">AVERAGE(OFFSET($CC$3,0,0,'Données projet'!$E$12+1,1))-AVERAGE(OFFSET($H$3,0,0,'Données projet'!$E$12+1,1))</f>
        <v>309.21625451786218</v>
      </c>
      <c r="CE9" s="62">
        <f t="shared" si="40"/>
        <v>302.59481222418219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4.615384615384615</v>
      </c>
      <c r="CT9" s="13">
        <f>IF('Données projet'!$A$140&gt;35,CT8+CS9-DB8,IF(A9&lt;'Données projet'!$A$140,$CQ$205^A9,IF(A9='Données projet'!$A$140,'Données projet'!$B$140,CT8+CS9-DB8)))</f>
        <v>5.4465270245365947</v>
      </c>
      <c r="CU9" s="18">
        <f>CT9*VLOOKUP('Données projet'!$B$13,Paramètres!$A$1:$I$89,3,0)*VLOOKUP('Données projet'!$B$13,Paramètres!$A$1:$I$89,5,0)</f>
        <v>5.1829151165490233</v>
      </c>
      <c r="CV9" s="14">
        <f t="shared" si="41"/>
        <v>1.9721944680718011</v>
      </c>
      <c r="CW9" s="22">
        <f t="shared" si="13"/>
        <v>12.461815859881268</v>
      </c>
      <c r="CX9" s="62">
        <f t="shared" si="14"/>
        <v>193.93206795614023</v>
      </c>
      <c r="CY9" s="62">
        <f ca="1">AVERAGE(OFFSET($CX$3,0,0,'Données projet'!$E$13+1,1))-AVERAGE(OFFSET($H$3,0,0,'Données projet'!$E$13+1,1))</f>
        <v>491.87038198656927</v>
      </c>
      <c r="CZ9" s="62">
        <f t="shared" si="42"/>
        <v>406.49261644949559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3.65</v>
      </c>
      <c r="DO9" s="13">
        <f>IF('Données projet'!$A$166&gt;35,DO8+DN9-DW8,IF(A9&lt;'Données projet'!$A$166,$DL$205^A9,IF(A9='Données projet'!$A$166,'Données projet'!$B$166,DO8+DN9-DW8)))</f>
        <v>3.6224037772879885</v>
      </c>
      <c r="DP9" s="18">
        <f>DO9*VLOOKUP('Données projet'!$B$14,Paramètres!$A$1:$I$89,3,0)*VLOOKUP('Données projet'!$B$14,Paramètres!$A$1:$I$89,5,0)</f>
        <v>3.5035889333929422</v>
      </c>
      <c r="DQ9" s="14">
        <f t="shared" si="43"/>
        <v>1.3953523257036018</v>
      </c>
      <c r="DR9" s="22">
        <f t="shared" si="16"/>
        <v>8.5323226929264795</v>
      </c>
      <c r="DS9" s="62">
        <f t="shared" si="17"/>
        <v>190.00257478918545</v>
      </c>
      <c r="DT9" s="62">
        <f ca="1">AVERAGE(OFFSET($DS$3,0,0,'Données projet'!$E$14+1,1))-AVERAGE(OFFSET($H$3,0,0,'Données projet'!$E$14+1,1))</f>
        <v>603.52431522262032</v>
      </c>
      <c r="DU9" s="62">
        <f t="shared" si="44"/>
        <v>313.56299786481338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0.9</v>
      </c>
      <c r="EJ9" s="13">
        <f>IF('Données projet'!$A$192&gt;35,EJ8+EI9-ER8,IF(A9&lt;'Données projet'!$A$192,$EG$205^A9,IF(A9='Données projet'!$A$192,'Données projet'!$B$192,EJ8+EI9-ER8)))</f>
        <v>3.7371928188465526</v>
      </c>
      <c r="EK9" s="18">
        <f>EJ9*VLOOKUP('Données projet'!$B$15,Paramètres!$A$1:$I$89,3,0)*VLOOKUP('Données projet'!$B$15,Paramètres!$A$1:$I$89,5,0)</f>
        <v>3.0316108146483236</v>
      </c>
      <c r="EL9" s="14">
        <f t="shared" si="45"/>
        <v>1.2278879099133964</v>
      </c>
      <c r="EM9" s="22">
        <f t="shared" si="19"/>
        <v>7.4186269452783291</v>
      </c>
      <c r="EN9" s="62">
        <f t="shared" si="20"/>
        <v>188.88887904153731</v>
      </c>
      <c r="EO9" s="62">
        <f ca="1">AVERAGE(OFFSET($EN$3,0,0,'Données projet'!$E$15+1,1))-AVERAGE(OFFSET($H$3,0,0,'Données projet'!$E$15+1,1))</f>
        <v>272.69564942740931</v>
      </c>
      <c r="EP9" s="62">
        <f t="shared" si="46"/>
        <v>316.57989180609252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>
        <f>EXP(-LN(2)/35)*EV8+(1-EXP(-LN(2)/35))/(LN(2)/35)*ER9*ES9*VLOOKUP('Données projet'!$B$15,Paramètres!$A$1:$I$89,3,0)*0.475*44/12</f>
        <v>0</v>
      </c>
      <c r="EW9" s="23">
        <f>EXP(-LN(2)/25)*EW8+(1-EXP(-LN(2)/25))/(LN(2)/25)*Calculateur!ER9*Calculateur!ET9*VLOOKUP('Données projet'!$B$15,Paramètres!$A$1:$I$89,3,0)*0.475*44/12</f>
        <v>0</v>
      </c>
      <c r="EX9" s="23">
        <f>EXP(-LN(2)/2)*EX8+(1-EXP(-LN(2)/2))/(LN(2)/2)*ER9*EU9*VLOOKUP('Données projet'!$B$15,Paramètres!$A$1:$I$89,3,0)*0.475*44/12</f>
        <v>0</v>
      </c>
      <c r="EY9" s="24">
        <f t="shared" si="21"/>
        <v>0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4.615384615384615</v>
      </c>
      <c r="FE9" s="13">
        <f>IF('Données projet'!$A$218&gt;35,FE8+FD9-FM8,IF(A9&lt;'Données projet'!$A$218,$FB$205^A9,IF(A9='Données projet'!$A$218,'Données projet'!$B$218,FE8+FD9-FM8)))</f>
        <v>9.9660884864493742</v>
      </c>
      <c r="FF9" s="18">
        <f>FE9*VLOOKUP('Données projet'!$B$16,Paramètres!$A$1:$I$89,3,0)*VLOOKUP('Données projet'!$B$16,Paramètres!$A$1:$I$89,5,0)</f>
        <v>6.6852521567102405</v>
      </c>
      <c r="FG9" s="14">
        <f t="shared" si="47"/>
        <v>2.4695973279094066</v>
      </c>
      <c r="FH9" s="22">
        <f t="shared" si="22"/>
        <v>15.94469618571255</v>
      </c>
      <c r="FI9" s="62">
        <f t="shared" si="23"/>
        <v>197.41494828197153</v>
      </c>
      <c r="FJ9" s="62">
        <f ca="1">AVERAGE(OFFSET($FI$3,0,0,'Données projet'!$E$16+1,1))-AVERAGE(OFFSET($H$3,0,0,'Données projet'!$E$16+1,1))</f>
        <v>440.90856392064205</v>
      </c>
      <c r="FK9" s="62">
        <f t="shared" si="48"/>
        <v>373.33139300970629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>
        <f>EXP(-LN(2)/35)*FQ8+(1-EXP(-LN(2)/35))/(LN(2)/35)*FM9*FN9*VLOOKUP('Données projet'!$B$16,Paramètres!$A$1:$I$89,3,0)*0.475*44/12</f>
        <v>0</v>
      </c>
      <c r="FR9" s="23">
        <f>EXP(-LN(2)/25)*FR8+(1-EXP(-LN(2)/25))/(LN(2)/25)*Calculateur!FM9*Calculateur!FO9*VLOOKUP('Données projet'!$B$16,Paramètres!$A$1:$I$89,3,0)*0.475*44/12</f>
        <v>0</v>
      </c>
      <c r="FS9" s="23">
        <f>EXP(-LN(2)/2)*FS8+(1-EXP(-LN(2)/2))/(LN(2)/2)*FM9*FP9*VLOOKUP('Données projet'!$B$16,Paramètres!$A$1:$I$89,3,0)*0.475*44/12</f>
        <v>0</v>
      </c>
      <c r="FT9" s="24">
        <f t="shared" si="24"/>
        <v>0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70">
        <f t="shared" si="1"/>
        <v>183.33333333333334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3.65</v>
      </c>
      <c r="N10" s="14">
        <f>IF('Données projet'!$A$36&gt;35,N9+M10-V9,IF(A10&lt;'Données projet'!$A$36,$K$205^A10,IF(A10='Données projet'!$A$36,'Données projet'!$B$36,N9+M10-V9)))</f>
        <v>4.4891384635544309</v>
      </c>
      <c r="O10" s="14">
        <f>N10*VLOOKUP('Données projet'!$B$9,Paramètres!$A$1:$I$89,3,0)*VLOOKUP('Données projet'!$B$9,Paramètres!$A$1:$I$89,5,0)</f>
        <v>4.0617724818240486</v>
      </c>
      <c r="P10" s="14">
        <f t="shared" si="33"/>
        <v>1.590058719758437</v>
      </c>
      <c r="Q10" s="22">
        <f t="shared" si="2"/>
        <v>9.8436060094228282</v>
      </c>
      <c r="R10" s="62">
        <f t="shared" si="0"/>
        <v>193.96778694515905</v>
      </c>
      <c r="S10" s="62">
        <f ca="1">AVERAGE(OFFSET($R$3,0,0,'Données projet'!$E$9+1,1))-AVERAGE(OFFSET($H$3,0,0,'Données projet'!$E$9+1,1))</f>
        <v>570.08763950759544</v>
      </c>
      <c r="T10" s="62">
        <f t="shared" si="34"/>
        <v>297.32483725004136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4.333333333333333</v>
      </c>
      <c r="AI10" s="14">
        <f>IF('Données projet'!$A$62&gt;35,AI9+AH10-AQ9,IF(A10&lt;'Données projet'!$A$62,$AF$205^A10,IF(A10='Données projet'!$A$62,'Données projet'!$B$62,AI9+AH10-AQ9)))</f>
        <v>7.0149767036694106</v>
      </c>
      <c r="AJ10" s="14">
        <f>AI10*VLOOKUP('Données projet'!$B$10,Paramètres!$A$1:$I$89,3,0)*VLOOKUP('Données projet'!$B$10,Paramètres!$A$1:$I$89,5,0)</f>
        <v>5.5811154654393826</v>
      </c>
      <c r="AK10" s="14">
        <f t="shared" si="35"/>
        <v>2.1054975826771263</v>
      </c>
      <c r="AL10" s="22">
        <f t="shared" si="4"/>
        <v>13.387517725469587</v>
      </c>
      <c r="AM10" s="62">
        <f t="shared" si="5"/>
        <v>197.51169866120583</v>
      </c>
      <c r="AN10" s="62">
        <f ca="1">AVERAGE(OFFSET($AM$3,0,0,'Données projet'!$E$10+1,1))-AVERAGE(OFFSET($H$3,0,0,'Données projet'!$E$10+1,1))</f>
        <v>394.70330963327166</v>
      </c>
      <c r="AO10" s="62">
        <f t="shared" si="36"/>
        <v>424.06445894109982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4.333333333333333</v>
      </c>
      <c r="BD10" s="13">
        <f>IF('Données projet'!$A$88&gt;35,BD9+BC10-BL9,IF(A10&lt;'Données projet'!$A$88,$BA$205^A10,IF(A10='Données projet'!$A$88,'Données projet'!$B$88,BD9+BC10-BL9)))</f>
        <v>7.0149767036694106</v>
      </c>
      <c r="BE10" s="14">
        <f>BD10*VLOOKUP('Données projet'!$B$11,Paramètres!$A$1:$I$89,3,0)*VLOOKUP('Données projet'!$B$11,Paramètres!$A$1:$I$89,5,0)</f>
        <v>5.1433809191304123</v>
      </c>
      <c r="BF10" s="14">
        <f t="shared" si="37"/>
        <v>1.9588961235533917</v>
      </c>
      <c r="BG10" s="22">
        <f t="shared" si="7"/>
        <v>12.369799182674292</v>
      </c>
      <c r="BH10" s="62">
        <f t="shared" si="8"/>
        <v>196.49398011841052</v>
      </c>
      <c r="BI10" s="62">
        <f ca="1">AVERAGE(OFFSET($BH$3,0,0,'Données projet'!$E$11+1,1))-AVERAGE(OFFSET($H$3,0,0,'Données projet'!$E$11+1,1))</f>
        <v>368.54671978064204</v>
      </c>
      <c r="BJ10" s="62">
        <f t="shared" si="38"/>
        <v>395.83504504492237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2.6666666666666665</v>
      </c>
      <c r="BY10" s="13">
        <f>IF('Données projet'!$A$114&gt;35,BY9+BX10-CG9,IF(A10&lt;'Données projet'!$A$114,$BV$205^A10,IF(A10='Données projet'!$A$114,'Données projet'!$B$114,BY9+BX10-CG9)))</f>
        <v>5.5927833467405659</v>
      </c>
      <c r="BZ10" s="14">
        <f>BY10*VLOOKUP('Données projet'!$B$12,Paramètres!$A$1:$I$89,3,0)*VLOOKUP('Données projet'!$B$12,Paramètres!$A$1:$I$89,5,0)</f>
        <v>4.3623710104576414</v>
      </c>
      <c r="CA10" s="14">
        <f t="shared" si="39"/>
        <v>1.6936004212396314</v>
      </c>
      <c r="CB10" s="22">
        <f t="shared" si="10"/>
        <v>10.54748357687275</v>
      </c>
      <c r="CC10" s="62">
        <f t="shared" si="11"/>
        <v>194.67166451260897</v>
      </c>
      <c r="CD10" s="62">
        <f ca="1">AVERAGE(OFFSET($CC$3,0,0,'Données projet'!$E$12+1,1))-AVERAGE(OFFSET($H$3,0,0,'Données projet'!$E$12+1,1))</f>
        <v>309.21625451786218</v>
      </c>
      <c r="CE10" s="62">
        <f t="shared" si="40"/>
        <v>302.59481222418219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4.615384615384615</v>
      </c>
      <c r="CT10" s="13">
        <f>IF('Données projet'!$A$140&gt;35,CT9+CS10-DB9,IF(A10&lt;'Données projet'!$A$140,$CQ$205^A10,IF(A10='Données projet'!$A$140,'Données projet'!$B$140,CT9+CS10-DB9)))</f>
        <v>7.2244746802267477</v>
      </c>
      <c r="CU10" s="18">
        <f>CT10*VLOOKUP('Données projet'!$B$13,Paramètres!$A$1:$I$89,3,0)*VLOOKUP('Données projet'!$B$13,Paramètres!$A$1:$I$89,5,0)</f>
        <v>6.8748101057037729</v>
      </c>
      <c r="CV10" s="14">
        <f t="shared" si="41"/>
        <v>2.5313699793545132</v>
      </c>
      <c r="CW10" s="22">
        <f t="shared" si="13"/>
        <v>16.382430314809849</v>
      </c>
      <c r="CX10" s="62">
        <f t="shared" si="14"/>
        <v>200.50661125054609</v>
      </c>
      <c r="CY10" s="62">
        <f ca="1">AVERAGE(OFFSET($CX$3,0,0,'Données projet'!$E$13+1,1))-AVERAGE(OFFSET($H$3,0,0,'Données projet'!$E$13+1,1))</f>
        <v>491.87038198656927</v>
      </c>
      <c r="CZ10" s="62">
        <f t="shared" si="42"/>
        <v>406.49261644949559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3.65</v>
      </c>
      <c r="DO10" s="13">
        <f>IF('Données projet'!$A$166&gt;35,DO9+DN10-DW9,IF(A10&lt;'Données projet'!$A$166,$DL$205^A10,IF(A10='Données projet'!$A$166,'Données projet'!$B$166,DO9+DN10-DW9)))</f>
        <v>4.4891384635544309</v>
      </c>
      <c r="DP10" s="18">
        <f>DO10*VLOOKUP('Données projet'!$B$14,Paramètres!$A$1:$I$89,3,0)*VLOOKUP('Données projet'!$B$14,Paramètres!$A$1:$I$89,5,0)</f>
        <v>4.3418947219498456</v>
      </c>
      <c r="DQ10" s="14">
        <f t="shared" si="43"/>
        <v>1.6865743243491664</v>
      </c>
      <c r="DR10" s="22">
        <f t="shared" si="16"/>
        <v>10.499583588970779</v>
      </c>
      <c r="DS10" s="62">
        <f t="shared" si="17"/>
        <v>194.62376452470701</v>
      </c>
      <c r="DT10" s="62">
        <f ca="1">AVERAGE(OFFSET($DS$3,0,0,'Données projet'!$E$14+1,1))-AVERAGE(OFFSET($H$3,0,0,'Données projet'!$E$14+1,1))</f>
        <v>603.52431522262032</v>
      </c>
      <c r="DU10" s="62">
        <f t="shared" si="44"/>
        <v>313.56299786481338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0.9</v>
      </c>
      <c r="EJ10" s="13">
        <f>IF('Données projet'!$A$192&gt;35,EJ9+EI10-ER9,IF(A10&lt;'Données projet'!$A$192,$EG$205^A10,IF(A10='Données projet'!$A$192,'Données projet'!$B$192,EJ9+EI10-ER9)))</f>
        <v>4.6555367217460804</v>
      </c>
      <c r="EK10" s="18">
        <f>EJ10*VLOOKUP('Données projet'!$B$15,Paramètres!$A$1:$I$89,3,0)*VLOOKUP('Données projet'!$B$15,Paramètres!$A$1:$I$89,5,0)</f>
        <v>3.7765713886804204</v>
      </c>
      <c r="EL10" s="14">
        <f t="shared" si="45"/>
        <v>1.490992954829151</v>
      </c>
      <c r="EM10" s="22">
        <f t="shared" si="19"/>
        <v>9.1743412316125035</v>
      </c>
      <c r="EN10" s="62">
        <f t="shared" si="20"/>
        <v>193.29852216734875</v>
      </c>
      <c r="EO10" s="62">
        <f ca="1">AVERAGE(OFFSET($EN$3,0,0,'Données projet'!$E$15+1,1))-AVERAGE(OFFSET($H$3,0,0,'Données projet'!$E$15+1,1))</f>
        <v>272.69564942740931</v>
      </c>
      <c r="EP10" s="62">
        <f t="shared" si="46"/>
        <v>316.57989180609252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>
        <f>EXP(-LN(2)/35)*EV9+(1-EXP(-LN(2)/35))/(LN(2)/35)*ER10*ES10*VLOOKUP('Données projet'!$B$15,Paramètres!$A$1:$I$89,3,0)*0.475*44/12</f>
        <v>0</v>
      </c>
      <c r="EW10" s="23">
        <f>EXP(-LN(2)/25)*EW9+(1-EXP(-LN(2)/25))/(LN(2)/25)*Calculateur!ER10*Calculateur!ET10*VLOOKUP('Données projet'!$B$15,Paramètres!$A$1:$I$89,3,0)*0.475*44/12</f>
        <v>0</v>
      </c>
      <c r="EX10" s="23">
        <f>EXP(-LN(2)/2)*EX9+(1-EXP(-LN(2)/2))/(LN(2)/2)*ER10*EU10*VLOOKUP('Données projet'!$B$15,Paramètres!$A$1:$I$89,3,0)*0.475*44/12</f>
        <v>0</v>
      </c>
      <c r="EY10" s="24">
        <f t="shared" si="21"/>
        <v>0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4.615384615384615</v>
      </c>
      <c r="FE10" s="13">
        <f>IF('Données projet'!$A$218&gt;35,FE9+FD10-FM9,IF(A10&lt;'Données projet'!$A$218,$FB$205^A10,IF(A10='Données projet'!$A$218,'Données projet'!$B$218,FE9+FD10-FM9)))</f>
        <v>14.61993792517019</v>
      </c>
      <c r="FF10" s="18">
        <f>FE10*VLOOKUP('Données projet'!$B$16,Paramètres!$A$1:$I$89,3,0)*VLOOKUP('Données projet'!$B$16,Paramètres!$A$1:$I$89,5,0)</f>
        <v>9.8070543602041642</v>
      </c>
      <c r="FG10" s="14">
        <f t="shared" si="47"/>
        <v>3.464779143364022</v>
      </c>
      <c r="FH10" s="22">
        <f t="shared" si="22"/>
        <v>23.115110018714589</v>
      </c>
      <c r="FI10" s="62">
        <f t="shared" si="23"/>
        <v>207.23929095445084</v>
      </c>
      <c r="FJ10" s="62">
        <f ca="1">AVERAGE(OFFSET($FI$3,0,0,'Données projet'!$E$16+1,1))-AVERAGE(OFFSET($H$3,0,0,'Données projet'!$E$16+1,1))</f>
        <v>440.90856392064205</v>
      </c>
      <c r="FK10" s="62">
        <f t="shared" si="48"/>
        <v>373.33139300970629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>
        <f>EXP(-LN(2)/35)*FQ9+(1-EXP(-LN(2)/35))/(LN(2)/35)*FM10*FN10*VLOOKUP('Données projet'!$B$16,Paramètres!$A$1:$I$89,3,0)*0.475*44/12</f>
        <v>0</v>
      </c>
      <c r="FR10" s="23">
        <f>EXP(-LN(2)/25)*FR9+(1-EXP(-LN(2)/25))/(LN(2)/25)*Calculateur!FM10*Calculateur!FO10*VLOOKUP('Données projet'!$B$16,Paramètres!$A$1:$I$89,3,0)*0.475*44/12</f>
        <v>0</v>
      </c>
      <c r="FS10" s="23">
        <f>EXP(-LN(2)/2)*FS9+(1-EXP(-LN(2)/2))/(LN(2)/2)*FM10*FP10*VLOOKUP('Données projet'!$B$16,Paramètres!$A$1:$I$89,3,0)*0.475*44/12</f>
        <v>0</v>
      </c>
      <c r="FT10" s="24">
        <f t="shared" si="24"/>
        <v>0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70">
        <f t="shared" si="1"/>
        <v>183.33333333333334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3.65</v>
      </c>
      <c r="N11" s="14">
        <f>IF('Données projet'!$A$36&gt;35,N10+M11-V10,IF(A11&lt;'Données projet'!$A$36,$K$205^A11,IF(A11='Données projet'!$A$36,'Données projet'!$B$36,N10+M11-V10)))</f>
        <v>5.563257268920875</v>
      </c>
      <c r="O11" s="14">
        <f>N11*VLOOKUP('Données projet'!$B$9,Paramètres!$A$1:$I$89,3,0)*VLOOKUP('Données projet'!$B$9,Paramètres!$A$1:$I$89,5,0)</f>
        <v>5.0336351769196082</v>
      </c>
      <c r="P11" s="14">
        <f t="shared" si="33"/>
        <v>1.9219176128866391</v>
      </c>
      <c r="Q11" s="22">
        <f t="shared" si="2"/>
        <v>12.11425444224588</v>
      </c>
      <c r="R11" s="62">
        <f t="shared" si="0"/>
        <v>198.86752730846644</v>
      </c>
      <c r="S11" s="62">
        <f ca="1">AVERAGE(OFFSET($R$3,0,0,'Données projet'!$E$9+1,1))-AVERAGE(OFFSET($H$3,0,0,'Données projet'!$E$9+1,1))</f>
        <v>570.08763950759544</v>
      </c>
      <c r="T11" s="62">
        <f t="shared" si="34"/>
        <v>297.32483725004136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4.333333333333333</v>
      </c>
      <c r="AI11" s="14">
        <f>IF('Données projet'!$A$62&gt;35,AI10+AH11-AQ10,IF(A11&lt;'Données projet'!$A$62,$AF$205^A11,IF(A11='Données projet'!$A$62,'Données projet'!$B$62,AI10+AH11-AQ10)))</f>
        <v>9.2658896452214261</v>
      </c>
      <c r="AJ11" s="14">
        <f>AI11*VLOOKUP('Données projet'!$B$10,Paramètres!$A$1:$I$89,3,0)*VLOOKUP('Données projet'!$B$10,Paramètres!$A$1:$I$89,5,0)</f>
        <v>7.3719418017381662</v>
      </c>
      <c r="AK11" s="14">
        <f t="shared" si="35"/>
        <v>2.6924486542908248</v>
      </c>
      <c r="AL11" s="22">
        <f t="shared" si="4"/>
        <v>17.528813377583827</v>
      </c>
      <c r="AM11" s="62">
        <f t="shared" si="5"/>
        <v>204.28208624380437</v>
      </c>
      <c r="AN11" s="62">
        <f ca="1">AVERAGE(OFFSET($AM$3,0,0,'Données projet'!$E$10+1,1))-AVERAGE(OFFSET($H$3,0,0,'Données projet'!$E$10+1,1))</f>
        <v>394.70330963327166</v>
      </c>
      <c r="AO11" s="62">
        <f t="shared" si="36"/>
        <v>424.06445894109982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4.333333333333333</v>
      </c>
      <c r="BD11" s="13">
        <f>IF('Données projet'!$A$88&gt;35,BD10+BC11-BL10,IF(A11&lt;'Données projet'!$A$88,$BA$205^A11,IF(A11='Données projet'!$A$88,'Données projet'!$B$88,BD10+BC11-BL10)))</f>
        <v>9.2658896452214261</v>
      </c>
      <c r="BE11" s="14">
        <f>BD11*VLOOKUP('Données projet'!$B$11,Paramètres!$A$1:$I$89,3,0)*VLOOKUP('Données projet'!$B$11,Paramètres!$A$1:$I$89,5,0)</f>
        <v>6.7937502878763505</v>
      </c>
      <c r="BF11" s="14">
        <f t="shared" si="37"/>
        <v>2.504979001234803</v>
      </c>
      <c r="BG11" s="22">
        <f t="shared" si="7"/>
        <v>16.195286845201924</v>
      </c>
      <c r="BH11" s="62">
        <f t="shared" si="8"/>
        <v>202.94855971142249</v>
      </c>
      <c r="BI11" s="62">
        <f ca="1">AVERAGE(OFFSET($BH$3,0,0,'Données projet'!$E$11+1,1))-AVERAGE(OFFSET($H$3,0,0,'Données projet'!$E$11+1,1))</f>
        <v>368.54671978064204</v>
      </c>
      <c r="BJ11" s="62">
        <f t="shared" si="38"/>
        <v>395.83504504492237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2.6666666666666665</v>
      </c>
      <c r="BY11" s="13">
        <f>IF('Données projet'!$A$114&gt;35,BY10+BX11-CG10,IF(A11&lt;'Données projet'!$A$114,$BV$205^A11,IF(A11='Données projet'!$A$114,'Données projet'!$B$114,BY10+BX11-CG10)))</f>
        <v>7.1520739352994367</v>
      </c>
      <c r="BZ11" s="14">
        <f>BY11*VLOOKUP('Données projet'!$B$12,Paramètres!$A$1:$I$89,3,0)*VLOOKUP('Données projet'!$B$12,Paramètres!$A$1:$I$89,5,0)</f>
        <v>5.5786176695335605</v>
      </c>
      <c r="CA11" s="14">
        <f t="shared" si="39"/>
        <v>2.1046649418345189</v>
      </c>
      <c r="CB11" s="22">
        <f t="shared" si="10"/>
        <v>13.381717214799407</v>
      </c>
      <c r="CC11" s="62">
        <f t="shared" si="11"/>
        <v>200.13499008101996</v>
      </c>
      <c r="CD11" s="62">
        <f ca="1">AVERAGE(OFFSET($CC$3,0,0,'Données projet'!$E$12+1,1))-AVERAGE(OFFSET($H$3,0,0,'Données projet'!$E$12+1,1))</f>
        <v>309.21625451786218</v>
      </c>
      <c r="CE11" s="62">
        <f t="shared" si="40"/>
        <v>302.59481222418219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4.615384615384615</v>
      </c>
      <c r="CT11" s="13">
        <f>IF('Données projet'!$A$140&gt;35,CT10+CS11-DB10,IF(A11&lt;'Données projet'!$A$140,$CQ$205^A11,IF(A11='Données projet'!$A$140,'Données projet'!$B$140,CT10+CS11-DB10)))</f>
        <v>9.5828101412345585</v>
      </c>
      <c r="CU11" s="18">
        <f>CT11*VLOOKUP('Données projet'!$B$13,Paramètres!$A$1:$I$89,3,0)*VLOOKUP('Données projet'!$B$13,Paramètres!$A$1:$I$89,5,0)</f>
        <v>9.1190021303988047</v>
      </c>
      <c r="CV11" s="14">
        <f t="shared" si="41"/>
        <v>3.2490883004261524</v>
      </c>
      <c r="CW11" s="22">
        <f t="shared" si="13"/>
        <v>21.541090833686795</v>
      </c>
      <c r="CX11" s="62">
        <f t="shared" si="14"/>
        <v>208.29436369990736</v>
      </c>
      <c r="CY11" s="62">
        <f ca="1">AVERAGE(OFFSET($CX$3,0,0,'Données projet'!$E$13+1,1))-AVERAGE(OFFSET($H$3,0,0,'Données projet'!$E$13+1,1))</f>
        <v>491.87038198656927</v>
      </c>
      <c r="CZ11" s="62">
        <f t="shared" si="42"/>
        <v>406.49261644949559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3.65</v>
      </c>
      <c r="DO11" s="13">
        <f>IF('Données projet'!$A$166&gt;35,DO10+DN11-DW10,IF(A11&lt;'Données projet'!$A$166,$DL$205^A11,IF(A11='Données projet'!$A$166,'Données projet'!$B$166,DO10+DN11-DW10)))</f>
        <v>5.563257268920875</v>
      </c>
      <c r="DP11" s="18">
        <f>DO11*VLOOKUP('Données projet'!$B$14,Paramètres!$A$1:$I$89,3,0)*VLOOKUP('Données projet'!$B$14,Paramètres!$A$1:$I$89,5,0)</f>
        <v>5.3807824305002701</v>
      </c>
      <c r="DQ11" s="14">
        <f t="shared" si="43"/>
        <v>2.0385768519929188</v>
      </c>
      <c r="DR11" s="22">
        <f t="shared" si="16"/>
        <v>12.922050750342303</v>
      </c>
      <c r="DS11" s="62">
        <f t="shared" si="17"/>
        <v>199.67532361656285</v>
      </c>
      <c r="DT11" s="62">
        <f ca="1">AVERAGE(OFFSET($DS$3,0,0,'Données projet'!$E$14+1,1))-AVERAGE(OFFSET($H$3,0,0,'Données projet'!$E$14+1,1))</f>
        <v>603.52431522262032</v>
      </c>
      <c r="DU11" s="62">
        <f t="shared" si="44"/>
        <v>313.56299786481338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0.9</v>
      </c>
      <c r="EJ11" s="13">
        <f>IF('Données projet'!$A$192&gt;35,EJ10+EI11-ER10,IF(A11&lt;'Données projet'!$A$192,$EG$205^A11,IF(A11='Données projet'!$A$192,'Données projet'!$B$192,EJ10+EI11-ER10)))</f>
        <v>5.7995461347952899</v>
      </c>
      <c r="EK11" s="18">
        <f>EJ11*VLOOKUP('Données projet'!$B$15,Paramètres!$A$1:$I$89,3,0)*VLOOKUP('Données projet'!$B$15,Paramètres!$A$1:$I$89,5,0)</f>
        <v>4.7045918245459397</v>
      </c>
      <c r="EL11" s="14">
        <f t="shared" si="45"/>
        <v>1.8104746967554695</v>
      </c>
      <c r="EM11" s="22">
        <f t="shared" si="19"/>
        <v>11.347074191266621</v>
      </c>
      <c r="EN11" s="62">
        <f t="shared" si="20"/>
        <v>198.10034705748717</v>
      </c>
      <c r="EO11" s="62">
        <f ca="1">AVERAGE(OFFSET($EN$3,0,0,'Données projet'!$E$15+1,1))-AVERAGE(OFFSET($H$3,0,0,'Données projet'!$E$15+1,1))</f>
        <v>272.69564942740931</v>
      </c>
      <c r="EP11" s="62">
        <f t="shared" si="46"/>
        <v>316.57989180609252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>
        <f>EXP(-LN(2)/35)*EV10+(1-EXP(-LN(2)/35))/(LN(2)/35)*ER11*ES11*VLOOKUP('Données projet'!$B$15,Paramètres!$A$1:$I$89,3,0)*0.475*44/12</f>
        <v>0</v>
      </c>
      <c r="EW11" s="23">
        <f>EXP(-LN(2)/25)*EW10+(1-EXP(-LN(2)/25))/(LN(2)/25)*Calculateur!ER11*Calculateur!ET11*VLOOKUP('Données projet'!$B$15,Paramètres!$A$1:$I$89,3,0)*0.475*44/12</f>
        <v>0</v>
      </c>
      <c r="EX11" s="23">
        <f>EXP(-LN(2)/2)*EX10+(1-EXP(-LN(2)/2))/(LN(2)/2)*ER11*EU11*VLOOKUP('Données projet'!$B$15,Paramètres!$A$1:$I$89,3,0)*0.475*44/12</f>
        <v>0</v>
      </c>
      <c r="EY11" s="24">
        <f t="shared" si="21"/>
        <v>0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4.615384615384615</v>
      </c>
      <c r="FE11" s="13">
        <f>IF('Données projet'!$A$218&gt;35,FE10+FD11-FM10,IF(A11&lt;'Données projet'!$A$218,$FB$205^A11,IF(A11='Données projet'!$A$218,'Données projet'!$B$218,FE10+FD11-FM10)))</f>
        <v>21.446988477620856</v>
      </c>
      <c r="FF11" s="18">
        <f>FE11*VLOOKUP('Données projet'!$B$16,Paramètres!$A$1:$I$89,3,0)*VLOOKUP('Données projet'!$B$16,Paramètres!$A$1:$I$89,5,0)</f>
        <v>14.386639870788072</v>
      </c>
      <c r="FG11" s="14">
        <f t="shared" si="47"/>
        <v>4.860992671405536</v>
      </c>
      <c r="FH11" s="22">
        <f t="shared" si="22"/>
        <v>33.522960010987198</v>
      </c>
      <c r="FI11" s="62">
        <f t="shared" si="23"/>
        <v>220.27623287720775</v>
      </c>
      <c r="FJ11" s="62">
        <f ca="1">AVERAGE(OFFSET($FI$3,0,0,'Données projet'!$E$16+1,1))-AVERAGE(OFFSET($H$3,0,0,'Données projet'!$E$16+1,1))</f>
        <v>440.90856392064205</v>
      </c>
      <c r="FK11" s="62">
        <f t="shared" si="48"/>
        <v>373.33139300970629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>
        <f>EXP(-LN(2)/35)*FQ10+(1-EXP(-LN(2)/35))/(LN(2)/35)*FM11*FN11*VLOOKUP('Données projet'!$B$16,Paramètres!$A$1:$I$89,3,0)*0.475*44/12</f>
        <v>0</v>
      </c>
      <c r="FR11" s="23">
        <f>EXP(-LN(2)/25)*FR10+(1-EXP(-LN(2)/25))/(LN(2)/25)*Calculateur!FM11*Calculateur!FO11*VLOOKUP('Données projet'!$B$16,Paramètres!$A$1:$I$89,3,0)*0.475*44/12</f>
        <v>0</v>
      </c>
      <c r="FS11" s="23">
        <f>EXP(-LN(2)/2)*FS10+(1-EXP(-LN(2)/2))/(LN(2)/2)*FM11*FP11*VLOOKUP('Données projet'!$B$16,Paramètres!$A$1:$I$89,3,0)*0.475*44/12</f>
        <v>0</v>
      </c>
      <c r="FT11" s="24">
        <f t="shared" si="24"/>
        <v>0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70">
        <f t="shared" si="1"/>
        <v>183.33333333333334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3.65</v>
      </c>
      <c r="N12" s="14">
        <f>IF('Données projet'!$A$36&gt;35,N11+M12-V11,IF(A12&lt;'Données projet'!$A$36,$K$205^A12,IF(A12='Données projet'!$A$36,'Données projet'!$B$36,N11+M12-V11)))</f>
        <v>6.8943811137639424</v>
      </c>
      <c r="O12" s="14">
        <f>N12*VLOOKUP('Données projet'!$B$9,Paramètres!$A$1:$I$89,3,0)*VLOOKUP('Données projet'!$B$9,Paramètres!$A$1:$I$89,5,0)</f>
        <v>6.2380360317336141</v>
      </c>
      <c r="P12" s="14">
        <f t="shared" si="33"/>
        <v>2.3230383034439352</v>
      </c>
      <c r="Q12" s="22">
        <f t="shared" si="2"/>
        <v>14.910537800434229</v>
      </c>
      <c r="R12" s="62">
        <f t="shared" si="0"/>
        <v>204.26849655299031</v>
      </c>
      <c r="S12" s="62">
        <f ca="1">AVERAGE(OFFSET($R$3,0,0,'Données projet'!$E$9+1,1))-AVERAGE(OFFSET($H$3,0,0,'Données projet'!$E$9+1,1))</f>
        <v>570.08763950759544</v>
      </c>
      <c r="T12" s="62">
        <f t="shared" si="34"/>
        <v>297.32483725004136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4.333333333333333</v>
      </c>
      <c r="AI12" s="14">
        <f>IF('Données projet'!$A$62&gt;35,AI11+AH12-AQ11,IF(A12&lt;'Données projet'!$A$62,$AF$205^A12,IF(A12='Données projet'!$A$62,'Données projet'!$B$62,AI11+AH12-AQ11)))</f>
        <v>12.23905859480781</v>
      </c>
      <c r="AJ12" s="14">
        <f>AI12*VLOOKUP('Données projet'!$B$10,Paramètres!$A$1:$I$89,3,0)*VLOOKUP('Données projet'!$B$10,Paramètres!$A$1:$I$89,5,0)</f>
        <v>9.737395018029094</v>
      </c>
      <c r="AK12" s="14">
        <f t="shared" si="35"/>
        <v>3.4430244972188757</v>
      </c>
      <c r="AL12" s="22">
        <f t="shared" si="4"/>
        <v>22.955897322390214</v>
      </c>
      <c r="AM12" s="62">
        <f t="shared" si="5"/>
        <v>212.31385607494627</v>
      </c>
      <c r="AN12" s="62">
        <f ca="1">AVERAGE(OFFSET($AM$3,0,0,'Données projet'!$E$10+1,1))-AVERAGE(OFFSET($H$3,0,0,'Données projet'!$E$10+1,1))</f>
        <v>394.70330963327166</v>
      </c>
      <c r="AO12" s="62">
        <f t="shared" si="36"/>
        <v>424.06445894109982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4.333333333333333</v>
      </c>
      <c r="BD12" s="13">
        <f>IF('Données projet'!$A$88&gt;35,BD11+BC12-BL11,IF(A12&lt;'Données projet'!$A$88,$BA$205^A12,IF(A12='Données projet'!$A$88,'Données projet'!$B$88,BD11+BC12-BL11)))</f>
        <v>12.23905859480781</v>
      </c>
      <c r="BE12" s="14">
        <f>BD12*VLOOKUP('Données projet'!$B$11,Paramètres!$A$1:$I$89,3,0)*VLOOKUP('Données projet'!$B$11,Paramètres!$A$1:$I$89,5,0)</f>
        <v>8.9736777617130858</v>
      </c>
      <c r="BF12" s="14">
        <f t="shared" si="37"/>
        <v>3.2032937944890896</v>
      </c>
      <c r="BG12" s="22">
        <f t="shared" si="7"/>
        <v>21.208225460385457</v>
      </c>
      <c r="BH12" s="62">
        <f t="shared" si="8"/>
        <v>210.56618421294152</v>
      </c>
      <c r="BI12" s="62">
        <f ca="1">AVERAGE(OFFSET($BH$3,0,0,'Données projet'!$E$11+1,1))-AVERAGE(OFFSET($H$3,0,0,'Données projet'!$E$11+1,1))</f>
        <v>368.54671978064204</v>
      </c>
      <c r="BJ12" s="62">
        <f t="shared" si="38"/>
        <v>395.83504504492237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2.6666666666666665</v>
      </c>
      <c r="BY12" s="13">
        <f>IF('Données projet'!$A$114&gt;35,BY11+BX12-CG11,IF(A12&lt;'Données projet'!$A$114,$BV$205^A12,IF(A12='Données projet'!$A$114,'Données projet'!$B$114,BY11+BX12-CG11)))</f>
        <v>9.1461010385465205</v>
      </c>
      <c r="BZ12" s="14">
        <f>BY12*VLOOKUP('Données projet'!$B$12,Paramètres!$A$1:$I$89,3,0)*VLOOKUP('Données projet'!$B$12,Paramètres!$A$1:$I$89,5,0)</f>
        <v>7.1339588100662858</v>
      </c>
      <c r="CA12" s="14">
        <f t="shared" si="39"/>
        <v>2.6155015444227643</v>
      </c>
      <c r="CB12" s="22">
        <f t="shared" si="10"/>
        <v>16.980310117401761</v>
      </c>
      <c r="CC12" s="62">
        <f t="shared" si="11"/>
        <v>206.33826886995783</v>
      </c>
      <c r="CD12" s="62">
        <f ca="1">AVERAGE(OFFSET($CC$3,0,0,'Données projet'!$E$12+1,1))-AVERAGE(OFFSET($H$3,0,0,'Données projet'!$E$12+1,1))</f>
        <v>309.21625451786218</v>
      </c>
      <c r="CE12" s="62">
        <f t="shared" si="40"/>
        <v>302.59481222418219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4.615384615384615</v>
      </c>
      <c r="CT12" s="13">
        <f>IF('Données projet'!$A$140&gt;35,CT11+CS12-DB11,IF(A12&lt;'Données projet'!$A$140,$CQ$205^A12,IF(A12='Données projet'!$A$140,'Données projet'!$B$140,CT11+CS12-DB11)))</f>
        <v>12.71099343102213</v>
      </c>
      <c r="CU12" s="18">
        <f>CT12*VLOOKUP('Données projet'!$B$13,Paramètres!$A$1:$I$89,3,0)*VLOOKUP('Données projet'!$B$13,Paramètres!$A$1:$I$89,5,0)</f>
        <v>12.095781348960658</v>
      </c>
      <c r="CV12" s="14">
        <f t="shared" si="41"/>
        <v>4.1703010109403191</v>
      </c>
      <c r="CW12" s="22">
        <f t="shared" si="13"/>
        <v>28.330093443494203</v>
      </c>
      <c r="CX12" s="62">
        <f t="shared" si="14"/>
        <v>217.68805219605028</v>
      </c>
      <c r="CY12" s="62">
        <f ca="1">AVERAGE(OFFSET($CX$3,0,0,'Données projet'!$E$13+1,1))-AVERAGE(OFFSET($H$3,0,0,'Données projet'!$E$13+1,1))</f>
        <v>491.87038198656927</v>
      </c>
      <c r="CZ12" s="62">
        <f t="shared" si="42"/>
        <v>406.49261644949559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3.65</v>
      </c>
      <c r="DO12" s="13">
        <f>IF('Données projet'!$A$166&gt;35,DO11+DN12-DW11,IF(A12&lt;'Données projet'!$A$166,$DL$205^A12,IF(A12='Données projet'!$A$166,'Données projet'!$B$166,DO11+DN12-DW11)))</f>
        <v>6.8943811137639424</v>
      </c>
      <c r="DP12" s="18">
        <f>DO12*VLOOKUP('Données projet'!$B$14,Paramètres!$A$1:$I$89,3,0)*VLOOKUP('Données projet'!$B$14,Paramètres!$A$1:$I$89,5,0)</f>
        <v>6.6682454132324853</v>
      </c>
      <c r="DQ12" s="14">
        <f t="shared" si="43"/>
        <v>2.4640453263659414</v>
      </c>
      <c r="DR12" s="22">
        <f t="shared" si="16"/>
        <v>15.905406371467258</v>
      </c>
      <c r="DS12" s="62">
        <f t="shared" si="17"/>
        <v>205.26336512402332</v>
      </c>
      <c r="DT12" s="62">
        <f ca="1">AVERAGE(OFFSET($DS$3,0,0,'Données projet'!$E$14+1,1))-AVERAGE(OFFSET($H$3,0,0,'Données projet'!$E$14+1,1))</f>
        <v>603.52431522262032</v>
      </c>
      <c r="DU12" s="62">
        <f t="shared" si="44"/>
        <v>313.56299786481338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0.9</v>
      </c>
      <c r="EJ12" s="13">
        <f>IF('Données projet'!$A$192&gt;35,EJ11+EI12-ER11,IF(A12&lt;'Données projet'!$A$192,$EG$205^A12,IF(A12='Données projet'!$A$192,'Données projet'!$B$192,EJ11+EI12-ER11)))</f>
        <v>7.2246740558420788</v>
      </c>
      <c r="EK12" s="18">
        <f>EJ12*VLOOKUP('Données projet'!$B$15,Paramètres!$A$1:$I$89,3,0)*VLOOKUP('Données projet'!$B$15,Paramètres!$A$1:$I$89,5,0)</f>
        <v>5.8606555940990948</v>
      </c>
      <c r="EL12" s="14">
        <f t="shared" si="45"/>
        <v>2.1984132231982314</v>
      </c>
      <c r="EM12" s="22">
        <f t="shared" si="19"/>
        <v>14.036211523459508</v>
      </c>
      <c r="EN12" s="62">
        <f t="shared" si="20"/>
        <v>203.39417027601559</v>
      </c>
      <c r="EO12" s="62">
        <f ca="1">AVERAGE(OFFSET($EN$3,0,0,'Données projet'!$E$15+1,1))-AVERAGE(OFFSET($H$3,0,0,'Données projet'!$E$15+1,1))</f>
        <v>272.69564942740931</v>
      </c>
      <c r="EP12" s="62">
        <f t="shared" si="46"/>
        <v>316.57989180609252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>
        <f>EXP(-LN(2)/35)*EV11+(1-EXP(-LN(2)/35))/(LN(2)/35)*ER12*ES12*VLOOKUP('Données projet'!$B$15,Paramètres!$A$1:$I$89,3,0)*0.475*44/12</f>
        <v>0</v>
      </c>
      <c r="EW12" s="23">
        <f>EXP(-LN(2)/25)*EW11+(1-EXP(-LN(2)/25))/(LN(2)/25)*Calculateur!ER12*Calculateur!ET12*VLOOKUP('Données projet'!$B$15,Paramètres!$A$1:$I$89,3,0)*0.475*44/12</f>
        <v>0</v>
      </c>
      <c r="EX12" s="23">
        <f>EXP(-LN(2)/2)*EX11+(1-EXP(-LN(2)/2))/(LN(2)/2)*ER12*EU12*VLOOKUP('Données projet'!$B$15,Paramètres!$A$1:$I$89,3,0)*0.475*44/12</f>
        <v>0</v>
      </c>
      <c r="EY12" s="24">
        <f t="shared" si="21"/>
        <v>0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4.615384615384615</v>
      </c>
      <c r="FE12" s="13">
        <f>IF('Données projet'!$A$218&gt;35,FE11+FD12-FM11,IF(A12&lt;'Données projet'!$A$218,$FB$205^A12,IF(A12='Données projet'!$A$218,'Données projet'!$B$218,FE11+FD12-FM11)))</f>
        <v>31.462056618400265</v>
      </c>
      <c r="FF12" s="18">
        <f>FE12*VLOOKUP('Données projet'!$B$16,Paramètres!$A$1:$I$89,3,0)*VLOOKUP('Données projet'!$B$16,Paramètres!$A$1:$I$89,5,0)</f>
        <v>21.104747579622899</v>
      </c>
      <c r="FG12" s="14">
        <f t="shared" si="47"/>
        <v>6.8198429896216215</v>
      </c>
      <c r="FH12" s="22">
        <f t="shared" si="22"/>
        <v>48.635328574767534</v>
      </c>
      <c r="FI12" s="62">
        <f t="shared" si="23"/>
        <v>237.9932873273236</v>
      </c>
      <c r="FJ12" s="62">
        <f ca="1">AVERAGE(OFFSET($FI$3,0,0,'Données projet'!$E$16+1,1))-AVERAGE(OFFSET($H$3,0,0,'Données projet'!$E$16+1,1))</f>
        <v>440.90856392064205</v>
      </c>
      <c r="FK12" s="62">
        <f t="shared" si="48"/>
        <v>373.33139300970629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>
        <f>EXP(-LN(2)/35)*FQ11+(1-EXP(-LN(2)/35))/(LN(2)/35)*FM12*FN12*VLOOKUP('Données projet'!$B$16,Paramètres!$A$1:$I$89,3,0)*0.475*44/12</f>
        <v>0</v>
      </c>
      <c r="FR12" s="23">
        <f>EXP(-LN(2)/25)*FR11+(1-EXP(-LN(2)/25))/(LN(2)/25)*Calculateur!FM12*Calculateur!FO12*VLOOKUP('Données projet'!$B$16,Paramètres!$A$1:$I$89,3,0)*0.475*44/12</f>
        <v>0</v>
      </c>
      <c r="FS12" s="23">
        <f>EXP(-LN(2)/2)*FS11+(1-EXP(-LN(2)/2))/(LN(2)/2)*FM12*FP12*VLOOKUP('Données projet'!$B$16,Paramètres!$A$1:$I$89,3,0)*0.475*44/12</f>
        <v>0</v>
      </c>
      <c r="FT12" s="24">
        <f t="shared" si="24"/>
        <v>0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70">
        <f t="shared" si="1"/>
        <v>183.33333333333334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3.65</v>
      </c>
      <c r="N13" s="14">
        <f>IF('Données projet'!$A$36&gt;35,N12+M13-V12,IF(A13&lt;'Données projet'!$A$36,$K$205^A13,IF(A13='Données projet'!$A$36,'Données projet'!$B$36,N12+M13-V12)))</f>
        <v>8.5440037453175322</v>
      </c>
      <c r="O13" s="14">
        <f>N13*VLOOKUP('Données projet'!$B$9,Paramètres!$A$1:$I$89,3,0)*VLOOKUP('Données projet'!$B$9,Paramètres!$A$1:$I$89,5,0)</f>
        <v>7.7306145887633031</v>
      </c>
      <c r="P13" s="14">
        <f t="shared" si="33"/>
        <v>2.8078763226288115</v>
      </c>
      <c r="Q13" s="22">
        <f t="shared" si="2"/>
        <v>18.354538337341264</v>
      </c>
      <c r="R13" s="62">
        <f t="shared" si="0"/>
        <v>210.29320032238616</v>
      </c>
      <c r="S13" s="62">
        <f ca="1">AVERAGE(OFFSET($R$3,0,0,'Données projet'!$E$9+1,1))-AVERAGE(OFFSET($H$3,0,0,'Données projet'!$E$9+1,1))</f>
        <v>570.08763950759544</v>
      </c>
      <c r="T13" s="62">
        <f t="shared" si="34"/>
        <v>297.32483725004136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4.333333333333333</v>
      </c>
      <c r="AI13" s="14">
        <f>IF('Données projet'!$A$62&gt;35,AI12+AH13-AQ12,IF(A13&lt;'Données projet'!$A$62,$AF$205^A13,IF(A13='Données projet'!$A$62,'Données projet'!$B$62,AI12+AH13-AQ12)))</f>
        <v>16.166235625781542</v>
      </c>
      <c r="AJ13" s="14">
        <f>AI13*VLOOKUP('Données projet'!$B$10,Paramètres!$A$1:$I$89,3,0)*VLOOKUP('Données projet'!$B$10,Paramètres!$A$1:$I$89,5,0)</f>
        <v>12.861857063871796</v>
      </c>
      <c r="AK13" s="14">
        <f t="shared" si="35"/>
        <v>4.4028389063455258</v>
      </c>
      <c r="AL13" s="22">
        <f t="shared" si="4"/>
        <v>30.069345481461834</v>
      </c>
      <c r="AM13" s="62">
        <f t="shared" si="5"/>
        <v>222.00800746650671</v>
      </c>
      <c r="AN13" s="62">
        <f ca="1">AVERAGE(OFFSET($AM$3,0,0,'Données projet'!$E$10+1,1))-AVERAGE(OFFSET($H$3,0,0,'Données projet'!$E$10+1,1))</f>
        <v>394.70330963327166</v>
      </c>
      <c r="AO13" s="62">
        <f t="shared" si="36"/>
        <v>424.06445894109982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4.333333333333333</v>
      </c>
      <c r="BD13" s="13">
        <f>IF('Données projet'!$A$88&gt;35,BD12+BC13-BL12,IF(A13&lt;'Données projet'!$A$88,$BA$205^A13,IF(A13='Données projet'!$A$88,'Données projet'!$B$88,BD12+BC13-BL12)))</f>
        <v>16.166235625781542</v>
      </c>
      <c r="BE13" s="14">
        <f>BD13*VLOOKUP('Données projet'!$B$11,Paramètres!$A$1:$I$89,3,0)*VLOOKUP('Données projet'!$B$11,Paramètres!$A$1:$I$89,5,0)</f>
        <v>11.853083960823026</v>
      </c>
      <c r="BF13" s="14">
        <f t="shared" si="37"/>
        <v>4.0962783036321726</v>
      </c>
      <c r="BG13" s="22">
        <f t="shared" si="7"/>
        <v>27.778472610592804</v>
      </c>
      <c r="BH13" s="62">
        <f t="shared" si="8"/>
        <v>219.7171345956377</v>
      </c>
      <c r="BI13" s="62">
        <f ca="1">AVERAGE(OFFSET($BH$3,0,0,'Données projet'!$E$11+1,1))-AVERAGE(OFFSET($H$3,0,0,'Données projet'!$E$11+1,1))</f>
        <v>368.54671978064204</v>
      </c>
      <c r="BJ13" s="62">
        <f t="shared" si="38"/>
        <v>395.83504504492237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2.6666666666666665</v>
      </c>
      <c r="BY13" s="13">
        <f>IF('Données projet'!$A$114&gt;35,BY12+BX13-CG12,IF(A13&lt;'Données projet'!$A$114,$BV$205^A13,IF(A13='Données projet'!$A$114,'Données projet'!$B$114,BY12+BX13-CG12)))</f>
        <v>11.696070952851455</v>
      </c>
      <c r="BZ13" s="14">
        <f>BY13*VLOOKUP('Données projet'!$B$12,Paramètres!$A$1:$I$89,3,0)*VLOOKUP('Données projet'!$B$12,Paramètres!$A$1:$I$89,5,0)</f>
        <v>9.1229353432241354</v>
      </c>
      <c r="CA13" s="14">
        <f t="shared" si="39"/>
        <v>3.2503265450485803</v>
      </c>
      <c r="CB13" s="22">
        <f t="shared" si="10"/>
        <v>21.550097788741649</v>
      </c>
      <c r="CC13" s="62">
        <f t="shared" si="11"/>
        <v>213.48875977378654</v>
      </c>
      <c r="CD13" s="62">
        <f ca="1">AVERAGE(OFFSET($CC$3,0,0,'Données projet'!$E$12+1,1))-AVERAGE(OFFSET($H$3,0,0,'Données projet'!$E$12+1,1))</f>
        <v>309.21625451786218</v>
      </c>
      <c r="CE13" s="62">
        <f t="shared" si="40"/>
        <v>302.59481222418219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4.615384615384615</v>
      </c>
      <c r="CT13" s="13">
        <f>IF('Données projet'!$A$140&gt;35,CT12+CS13-DB12,IF(A13&lt;'Données projet'!$A$140,$CQ$205^A13,IF(A13='Données projet'!$A$140,'Données projet'!$B$140,CT12+CS13-DB12)))</f>
        <v>16.860331324760306</v>
      </c>
      <c r="CU13" s="18">
        <f>CT13*VLOOKUP('Données projet'!$B$13,Paramètres!$A$1:$I$89,3,0)*VLOOKUP('Données projet'!$B$13,Paramètres!$A$1:$I$89,5,0)</f>
        <v>16.044291288641908</v>
      </c>
      <c r="CV13" s="14">
        <f t="shared" si="41"/>
        <v>5.3527047940090728</v>
      </c>
      <c r="CW13" s="22">
        <f t="shared" si="13"/>
        <v>37.266434843950456</v>
      </c>
      <c r="CX13" s="62">
        <f t="shared" si="14"/>
        <v>229.20509682899535</v>
      </c>
      <c r="CY13" s="62">
        <f ca="1">AVERAGE(OFFSET($CX$3,0,0,'Données projet'!$E$13+1,1))-AVERAGE(OFFSET($H$3,0,0,'Données projet'!$E$13+1,1))</f>
        <v>491.87038198656927</v>
      </c>
      <c r="CZ13" s="62">
        <f t="shared" si="42"/>
        <v>406.49261644949559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3.65</v>
      </c>
      <c r="DO13" s="13">
        <f>IF('Données projet'!$A$166&gt;35,DO12+DN13-DW12,IF(A13&lt;'Données projet'!$A$166,$DL$205^A13,IF(A13='Données projet'!$A$166,'Données projet'!$B$166,DO12+DN13-DW12)))</f>
        <v>8.5440037453175322</v>
      </c>
      <c r="DP13" s="18">
        <f>DO13*VLOOKUP('Données projet'!$B$14,Paramètres!$A$1:$I$89,3,0)*VLOOKUP('Données projet'!$B$14,Paramètres!$A$1:$I$89,5,0)</f>
        <v>8.2637604224711172</v>
      </c>
      <c r="DQ13" s="14">
        <f t="shared" si="43"/>
        <v>2.9783127206856603</v>
      </c>
      <c r="DR13" s="22">
        <f t="shared" si="16"/>
        <v>19.579944057664719</v>
      </c>
      <c r="DS13" s="62">
        <f t="shared" si="17"/>
        <v>211.51860604270962</v>
      </c>
      <c r="DT13" s="62">
        <f ca="1">AVERAGE(OFFSET($DS$3,0,0,'Données projet'!$E$14+1,1))-AVERAGE(OFFSET($H$3,0,0,'Données projet'!$E$14+1,1))</f>
        <v>603.52431522262032</v>
      </c>
      <c r="DU13" s="62">
        <f t="shared" si="44"/>
        <v>313.56299786481338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0</v>
      </c>
      <c r="ED13" s="24">
        <f t="shared" si="18"/>
        <v>0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>
        <f>VLOOKUP(A13,'Données projet'!$A$191:$I$211,2,0)</f>
        <v>9</v>
      </c>
      <c r="EH13" s="13">
        <f>VLOOKUP(A13,'Données projet'!$A$191:$I$211,9,0)</f>
        <v>0.9</v>
      </c>
      <c r="EI13" s="13">
        <f t="array" ref="EI13">INDEX(EH:EH,MIN(IF(ISNUMBER(EH13:EH209),ROW(EH13:EH209),"")))</f>
        <v>0.9</v>
      </c>
      <c r="EJ13" s="13">
        <f>IF('Données projet'!$A$192&gt;35,EJ12+EI13-ER12,IF(A13&lt;'Données projet'!$A$192,$EG$205^A13,IF(A13='Données projet'!$A$192,'Données projet'!$B$192,EJ12+EI13-ER12)))</f>
        <v>9</v>
      </c>
      <c r="EK13" s="18">
        <f>EJ13*VLOOKUP('Données projet'!$B$15,Paramètres!$A$1:$I$89,3,0)*VLOOKUP('Données projet'!$B$15,Paramètres!$A$1:$I$89,5,0)</f>
        <v>7.3007999999999997</v>
      </c>
      <c r="EL13" s="14">
        <f t="shared" si="45"/>
        <v>2.6694770761469542</v>
      </c>
      <c r="EM13" s="22">
        <f t="shared" si="19"/>
        <v>17.364899240955943</v>
      </c>
      <c r="EN13" s="62">
        <f t="shared" si="20"/>
        <v>209.30356122600082</v>
      </c>
      <c r="EO13" s="62">
        <f ca="1">AVERAGE(OFFSET($EN$3,0,0,'Données projet'!$E$15+1,1))-AVERAGE(OFFSET($H$3,0,0,'Données projet'!$E$15+1,1))</f>
        <v>272.69564942740931</v>
      </c>
      <c r="EP13" s="62">
        <f t="shared" si="46"/>
        <v>316.57989180609252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>
        <f>EXP(-LN(2)/35)*EV12+(1-EXP(-LN(2)/35))/(LN(2)/35)*ER13*ES13*VLOOKUP('Données projet'!$B$15,Paramètres!$A$1:$I$89,3,0)*0.475*44/12</f>
        <v>0</v>
      </c>
      <c r="EW13" s="23">
        <f>EXP(-LN(2)/25)*EW12+(1-EXP(-LN(2)/25))/(LN(2)/25)*Calculateur!ER13*Calculateur!ET13*VLOOKUP('Données projet'!$B$15,Paramètres!$A$1:$I$89,3,0)*0.475*44/12</f>
        <v>0</v>
      </c>
      <c r="EX13" s="23">
        <f>EXP(-LN(2)/2)*EX12+(1-EXP(-LN(2)/2))/(LN(2)/2)*ER13*EU13*VLOOKUP('Données projet'!$B$15,Paramètres!$A$1:$I$89,3,0)*0.475*44/12</f>
        <v>0</v>
      </c>
      <c r="EY13" s="24">
        <f t="shared" si="21"/>
        <v>0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>
        <f>VLOOKUP(A13,'Données projet'!$A$217:$I$237,2,0)</f>
        <v>46.153846153846153</v>
      </c>
      <c r="FC13" s="13">
        <f>VLOOKUP(A13,'Données projet'!$A$217:$I$237,9,0)</f>
        <v>4.615384615384615</v>
      </c>
      <c r="FD13" s="13">
        <f t="array" ref="FD13">INDEX(FC:FC,MIN(IF(ISNUMBER(FC13:FC209),ROW(FC13:FC209),"")))</f>
        <v>4.615384615384615</v>
      </c>
      <c r="FE13" s="13">
        <f>IF('Données projet'!$A$218&gt;35,FE12+FD13-FM12,IF(A13&lt;'Données projet'!$A$218,$FB$205^A13,IF(A13='Données projet'!$A$218,'Données projet'!$B$218,FE12+FD13-FM12)))</f>
        <v>46.153846153846153</v>
      </c>
      <c r="FF13" s="18">
        <f>FE13*VLOOKUP('Données projet'!$B$16,Paramètres!$A$1:$I$89,3,0)*VLOOKUP('Données projet'!$B$16,Paramètres!$A$1:$I$89,5,0)</f>
        <v>30.96</v>
      </c>
      <c r="FG13" s="14">
        <f t="shared" si="47"/>
        <v>9.5680577090117094</v>
      </c>
      <c r="FH13" s="22">
        <f t="shared" si="22"/>
        <v>70.586367176528725</v>
      </c>
      <c r="FI13" s="62">
        <f t="shared" si="23"/>
        <v>262.52502916157363</v>
      </c>
      <c r="FJ13" s="62">
        <f ca="1">AVERAGE(OFFSET($FI$3,0,0,'Données projet'!$E$16+1,1))-AVERAGE(OFFSET($H$3,0,0,'Données projet'!$E$16+1,1))</f>
        <v>440.90856392064205</v>
      </c>
      <c r="FK13" s="62">
        <f t="shared" si="48"/>
        <v>373.33139300970629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>
        <f>EXP(-LN(2)/35)*FQ12+(1-EXP(-LN(2)/35))/(LN(2)/35)*FM13*FN13*VLOOKUP('Données projet'!$B$16,Paramètres!$A$1:$I$89,3,0)*0.475*44/12</f>
        <v>0</v>
      </c>
      <c r="FR13" s="23">
        <f>EXP(-LN(2)/25)*FR12+(1-EXP(-LN(2)/25))/(LN(2)/25)*Calculateur!FM13*Calculateur!FO13*VLOOKUP('Données projet'!$B$16,Paramètres!$A$1:$I$89,3,0)*0.475*44/12</f>
        <v>0</v>
      </c>
      <c r="FS13" s="23">
        <f>EXP(-LN(2)/2)*FS12+(1-EXP(-LN(2)/2))/(LN(2)/2)*FM13*FP13*VLOOKUP('Données projet'!$B$16,Paramètres!$A$1:$I$89,3,0)*0.475*44/12</f>
        <v>0</v>
      </c>
      <c r="FT13" s="24">
        <f t="shared" si="24"/>
        <v>0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70">
        <f t="shared" si="1"/>
        <v>183.33333333333334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3.65</v>
      </c>
      <c r="N14" s="14">
        <f>IF('Données projet'!$A$36&gt;35,N13+M14-V13,IF(A14&lt;'Données projet'!$A$36,$K$205^A14,IF(A14='Données projet'!$A$36,'Données projet'!$B$36,N13+M14-V13)))</f>
        <v>10.588332555950936</v>
      </c>
      <c r="O14" s="14">
        <f>N14*VLOOKUP('Données projet'!$B$9,Paramètres!$A$1:$I$89,3,0)*VLOOKUP('Données projet'!$B$9,Paramètres!$A$1:$I$89,5,0)</f>
        <v>9.5803232966244067</v>
      </c>
      <c r="P14" s="14">
        <f t="shared" si="33"/>
        <v>3.3939041949894282</v>
      </c>
      <c r="Q14" s="22">
        <f t="shared" si="2"/>
        <v>22.596779547894098</v>
      </c>
      <c r="R14" s="62">
        <f t="shared" si="0"/>
        <v>217.09257815700823</v>
      </c>
      <c r="S14" s="62">
        <f ca="1">AVERAGE(OFFSET($R$3,0,0,'Données projet'!$E$9+1,1))-AVERAGE(OFFSET($H$3,0,0,'Données projet'!$E$9+1,1))</f>
        <v>570.08763950759544</v>
      </c>
      <c r="T14" s="62">
        <f t="shared" si="34"/>
        <v>297.32483725004136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4.333333333333333</v>
      </c>
      <c r="AI14" s="14">
        <f>IF('Données projet'!$A$62&gt;35,AI13+AH14-AQ13,IF(A14&lt;'Données projet'!$A$62,$AF$205^A14,IF(A14='Données projet'!$A$62,'Données projet'!$B$62,AI13+AH14-AQ13)))</f>
        <v>21.353535673010011</v>
      </c>
      <c r="AJ14" s="14">
        <f>AI14*VLOOKUP('Données projet'!$B$10,Paramètres!$A$1:$I$89,3,0)*VLOOKUP('Données projet'!$B$10,Paramètres!$A$1:$I$89,5,0)</f>
        <v>16.988872981446764</v>
      </c>
      <c r="AK14" s="14">
        <f t="shared" si="35"/>
        <v>5.6302214668783828</v>
      </c>
      <c r="AL14" s="22">
        <f t="shared" si="4"/>
        <v>39.394922830832961</v>
      </c>
      <c r="AM14" s="62">
        <f t="shared" si="5"/>
        <v>233.8907214399471</v>
      </c>
      <c r="AN14" s="62">
        <f ca="1">AVERAGE(OFFSET($AM$3,0,0,'Données projet'!$E$10+1,1))-AVERAGE(OFFSET($H$3,0,0,'Données projet'!$E$10+1,1))</f>
        <v>394.70330963327166</v>
      </c>
      <c r="AO14" s="62">
        <f t="shared" si="36"/>
        <v>424.06445894109982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4.333333333333333</v>
      </c>
      <c r="BD14" s="13">
        <f>IF('Données projet'!$A$88&gt;35,BD13+BC14-BL13,IF(A14&lt;'Données projet'!$A$88,$BA$205^A14,IF(A14='Données projet'!$A$88,'Données projet'!$B$88,BD13+BC14-BL13)))</f>
        <v>21.353535673010011</v>
      </c>
      <c r="BE14" s="14">
        <f>BD14*VLOOKUP('Données projet'!$B$11,Paramètres!$A$1:$I$89,3,0)*VLOOKUP('Données projet'!$B$11,Paramètres!$A$1:$I$89,5,0)</f>
        <v>15.656412355450939</v>
      </c>
      <c r="BF14" s="14">
        <f t="shared" si="37"/>
        <v>5.2382007450190571</v>
      </c>
      <c r="BG14" s="22">
        <f t="shared" si="7"/>
        <v>36.391451149985244</v>
      </c>
      <c r="BH14" s="62">
        <f t="shared" si="8"/>
        <v>230.88724975909938</v>
      </c>
      <c r="BI14" s="62">
        <f ca="1">AVERAGE(OFFSET($BH$3,0,0,'Données projet'!$E$11+1,1))-AVERAGE(OFFSET($H$3,0,0,'Données projet'!$E$11+1,1))</f>
        <v>368.54671978064204</v>
      </c>
      <c r="BJ14" s="62">
        <f t="shared" si="38"/>
        <v>395.83504504492237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2.6666666666666665</v>
      </c>
      <c r="BY14" s="13">
        <f>IF('Données projet'!$A$114&gt;35,BY13+BX14-CG13,IF(A14&lt;'Données projet'!$A$114,$BV$205^A14,IF(A14='Données projet'!$A$114,'Données projet'!$B$114,BY13+BX14-CG13)))</f>
        <v>14.956982779612416</v>
      </c>
      <c r="BZ14" s="14">
        <f>BY14*VLOOKUP('Données projet'!$B$12,Paramètres!$A$1:$I$89,3,0)*VLOOKUP('Données projet'!$B$12,Paramètres!$A$1:$I$89,5,0)</f>
        <v>11.666446568097685</v>
      </c>
      <c r="CA14" s="14">
        <f t="shared" si="39"/>
        <v>4.0392339557111736</v>
      </c>
      <c r="CB14" s="22">
        <f t="shared" si="10"/>
        <v>27.354060245633761</v>
      </c>
      <c r="CC14" s="62">
        <f t="shared" si="11"/>
        <v>221.84985885474788</v>
      </c>
      <c r="CD14" s="62">
        <f ca="1">AVERAGE(OFFSET($CC$3,0,0,'Données projet'!$E$12+1,1))-AVERAGE(OFFSET($H$3,0,0,'Données projet'!$E$12+1,1))</f>
        <v>309.21625451786218</v>
      </c>
      <c r="CE14" s="62">
        <f t="shared" si="40"/>
        <v>302.59481222418219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4.615384615384615</v>
      </c>
      <c r="CT14" s="13">
        <f>IF('Données projet'!$A$140&gt;35,CT13+CS14-DB13,IF(A14&lt;'Données projet'!$A$140,$CQ$205^A14,IF(A14='Données projet'!$A$140,'Données projet'!$B$140,CT13+CS14-DB13)))</f>
        <v>22.364166414161581</v>
      </c>
      <c r="CU14" s="18">
        <f>CT14*VLOOKUP('Données projet'!$B$13,Paramètres!$A$1:$I$89,3,0)*VLOOKUP('Données projet'!$B$13,Paramètres!$A$1:$I$89,5,0)</f>
        <v>21.281740759716158</v>
      </c>
      <c r="CV14" s="14">
        <f t="shared" si="41"/>
        <v>6.8703550503054363</v>
      </c>
      <c r="CW14" s="22">
        <f t="shared" si="13"/>
        <v>49.03156686912093</v>
      </c>
      <c r="CX14" s="62">
        <f t="shared" si="14"/>
        <v>243.52736547823505</v>
      </c>
      <c r="CY14" s="62">
        <f ca="1">AVERAGE(OFFSET($CX$3,0,0,'Données projet'!$E$13+1,1))-AVERAGE(OFFSET($H$3,0,0,'Données projet'!$E$13+1,1))</f>
        <v>491.87038198656927</v>
      </c>
      <c r="CZ14" s="62">
        <f t="shared" si="42"/>
        <v>406.49261644949559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3.65</v>
      </c>
      <c r="DO14" s="13">
        <f>IF('Données projet'!$A$166&gt;35,DO13+DN14-DW13,IF(A14&lt;'Données projet'!$A$166,$DL$205^A14,IF(A14='Données projet'!$A$166,'Données projet'!$B$166,DO13+DN14-DW13)))</f>
        <v>10.588332555950936</v>
      </c>
      <c r="DP14" s="18">
        <f>DO14*VLOOKUP('Données projet'!$B$14,Paramètres!$A$1:$I$89,3,0)*VLOOKUP('Données projet'!$B$14,Paramètres!$A$1:$I$89,5,0)</f>
        <v>10.241035248115747</v>
      </c>
      <c r="DQ14" s="14">
        <f t="shared" si="43"/>
        <v>3.5999121311945652</v>
      </c>
      <c r="DR14" s="22">
        <f t="shared" si="16"/>
        <v>24.106316685632123</v>
      </c>
      <c r="DS14" s="62">
        <f t="shared" si="17"/>
        <v>218.60211529474626</v>
      </c>
      <c r="DT14" s="62">
        <f ca="1">AVERAGE(OFFSET($DS$3,0,0,'Données projet'!$E$14+1,1))-AVERAGE(OFFSET($H$3,0,0,'Données projet'!$E$14+1,1))</f>
        <v>603.52431522262032</v>
      </c>
      <c r="DU14" s="62">
        <f t="shared" si="44"/>
        <v>313.56299786481338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0</v>
      </c>
      <c r="ED14" s="24">
        <f t="shared" si="18"/>
        <v>0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8</v>
      </c>
      <c r="EJ14" s="13">
        <f>IF('Données projet'!$A$192&gt;35,EJ13+EI14-ER13,IF(A14&lt;'Données projet'!$A$192,$EG$205^A14,IF(A14='Données projet'!$A$192,'Données projet'!$B$192,EJ13+EI14-ER13)))</f>
        <v>17</v>
      </c>
      <c r="EK14" s="18">
        <f>EJ14*VLOOKUP('Données projet'!$B$15,Paramètres!$A$1:$I$89,3,0)*VLOOKUP('Données projet'!$B$15,Paramètres!$A$1:$I$89,5,0)</f>
        <v>13.7904</v>
      </c>
      <c r="EL14" s="14">
        <f t="shared" si="45"/>
        <v>4.6825473896592289</v>
      </c>
      <c r="EM14" s="22">
        <f t="shared" si="19"/>
        <v>32.173716703656488</v>
      </c>
      <c r="EN14" s="62">
        <f t="shared" si="20"/>
        <v>226.66951531277061</v>
      </c>
      <c r="EO14" s="62">
        <f ca="1">AVERAGE(OFFSET($EN$3,0,0,'Données projet'!$E$15+1,1))-AVERAGE(OFFSET($H$3,0,0,'Données projet'!$E$15+1,1))</f>
        <v>272.69564942740931</v>
      </c>
      <c r="EP14" s="62">
        <f t="shared" si="46"/>
        <v>316.57989180609252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>
        <f>EXP(-LN(2)/35)*EV13+(1-EXP(-LN(2)/35))/(LN(2)/35)*ER14*ES14*VLOOKUP('Données projet'!$B$15,Paramètres!$A$1:$I$89,3,0)*0.475*44/12</f>
        <v>0</v>
      </c>
      <c r="EW14" s="23">
        <f>EXP(-LN(2)/25)*EW13+(1-EXP(-LN(2)/25))/(LN(2)/25)*Calculateur!ER14*Calculateur!ET14*VLOOKUP('Données projet'!$B$15,Paramètres!$A$1:$I$89,3,0)*0.475*44/12</f>
        <v>0</v>
      </c>
      <c r="EX14" s="23">
        <f>EXP(-LN(2)/2)*EX13+(1-EXP(-LN(2)/2))/(LN(2)/2)*ER14*EU14*VLOOKUP('Données projet'!$B$15,Paramètres!$A$1:$I$89,3,0)*0.475*44/12</f>
        <v>0</v>
      </c>
      <c r="EY14" s="24">
        <f t="shared" si="21"/>
        <v>0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10.897435897435896</v>
      </c>
      <c r="FE14" s="13">
        <f>IF('Données projet'!$A$218&gt;35,FE13+FD14-FM13,IF(A14&lt;'Données projet'!$A$218,$FB$205^A14,IF(A14='Données projet'!$A$218,'Données projet'!$B$218,FE13+FD14-FM13)))</f>
        <v>57.051282051282051</v>
      </c>
      <c r="FF14" s="18">
        <f>FE14*VLOOKUP('Données projet'!$B$16,Paramètres!$A$1:$I$89,3,0)*VLOOKUP('Données projet'!$B$16,Paramètres!$A$1:$I$89,5,0)</f>
        <v>38.270000000000003</v>
      </c>
      <c r="FG14" s="14">
        <f t="shared" si="47"/>
        <v>11.538936996892089</v>
      </c>
      <c r="FH14" s="22">
        <f t="shared" si="22"/>
        <v>86.750565269587057</v>
      </c>
      <c r="FI14" s="62">
        <f t="shared" si="23"/>
        <v>281.24636387870117</v>
      </c>
      <c r="FJ14" s="62">
        <f ca="1">AVERAGE(OFFSET($FI$3,0,0,'Données projet'!$E$16+1,1))-AVERAGE(OFFSET($H$3,0,0,'Données projet'!$E$16+1,1))</f>
        <v>440.90856392064205</v>
      </c>
      <c r="FK14" s="62">
        <f t="shared" si="48"/>
        <v>373.33139300970629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>
        <f>EXP(-LN(2)/35)*FQ13+(1-EXP(-LN(2)/35))/(LN(2)/35)*FM14*FN14*VLOOKUP('Données projet'!$B$16,Paramètres!$A$1:$I$89,3,0)*0.475*44/12</f>
        <v>0</v>
      </c>
      <c r="FR14" s="23">
        <f>EXP(-LN(2)/25)*FR13+(1-EXP(-LN(2)/25))/(LN(2)/25)*Calculateur!FM14*Calculateur!FO14*VLOOKUP('Données projet'!$B$16,Paramètres!$A$1:$I$89,3,0)*0.475*44/12</f>
        <v>0</v>
      </c>
      <c r="FS14" s="23">
        <f>EXP(-LN(2)/2)*FS13+(1-EXP(-LN(2)/2))/(LN(2)/2)*FM14*FP14*VLOOKUP('Données projet'!$B$16,Paramètres!$A$1:$I$89,3,0)*0.475*44/12</f>
        <v>0</v>
      </c>
      <c r="FT14" s="24">
        <f t="shared" si="24"/>
        <v>0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70">
        <f t="shared" si="1"/>
        <v>183.33333333333334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3.65</v>
      </c>
      <c r="N15" s="14">
        <f>IF('Données projet'!$A$36&gt;35,N14+M15-V14,IF(A15&lt;'Données projet'!$A$36,$K$205^A15,IF(A15='Données projet'!$A$36,'Données projet'!$B$36,N14+M15-V14)))</f>
        <v>13.121809125710287</v>
      </c>
      <c r="O15" s="14">
        <f>N15*VLOOKUP('Données projet'!$B$9,Paramètres!$A$1:$I$89,3,0)*VLOOKUP('Données projet'!$B$9,Paramètres!$A$1:$I$89,5,0)</f>
        <v>11.872612896942668</v>
      </c>
      <c r="P15" s="14">
        <f t="shared" si="33"/>
        <v>4.1022411108131784</v>
      </c>
      <c r="Q15" s="22">
        <f t="shared" si="2"/>
        <v>27.822870730174767</v>
      </c>
      <c r="R15" s="62">
        <f t="shared" si="0"/>
        <v>224.85264818290764</v>
      </c>
      <c r="S15" s="62">
        <f ca="1">AVERAGE(OFFSET($R$3,0,0,'Données projet'!$E$9+1,1))-AVERAGE(OFFSET($H$3,0,0,'Données projet'!$E$9+1,1))</f>
        <v>570.08763950759544</v>
      </c>
      <c r="T15" s="62">
        <f t="shared" si="34"/>
        <v>297.32483725004136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4.333333333333333</v>
      </c>
      <c r="AI15" s="14">
        <f>IF('Données projet'!$A$62&gt;35,AI14+AH15-AQ14,IF(A15&lt;'Données projet'!$A$62,$AF$205^A15,IF(A15='Données projet'!$A$62,'Données projet'!$B$62,AI14+AH15-AQ14)))</f>
        <v>28.205297528345746</v>
      </c>
      <c r="AJ15" s="14">
        <f>AI15*VLOOKUP('Données projet'!$B$10,Paramètres!$A$1:$I$89,3,0)*VLOOKUP('Données projet'!$B$10,Paramètres!$A$1:$I$89,5,0)</f>
        <v>22.440134713551878</v>
      </c>
      <c r="AK15" s="14">
        <f t="shared" si="35"/>
        <v>7.1997623443392129</v>
      </c>
      <c r="AL15" s="22">
        <f t="shared" si="4"/>
        <v>51.622820709160315</v>
      </c>
      <c r="AM15" s="62">
        <f t="shared" si="5"/>
        <v>248.6525981618932</v>
      </c>
      <c r="AN15" s="62">
        <f ca="1">AVERAGE(OFFSET($AM$3,0,0,'Données projet'!$E$10+1,1))-AVERAGE(OFFSET($H$3,0,0,'Données projet'!$E$10+1,1))</f>
        <v>394.70330963327166</v>
      </c>
      <c r="AO15" s="62">
        <f t="shared" si="36"/>
        <v>424.06445894109982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4.333333333333333</v>
      </c>
      <c r="BD15" s="13">
        <f>IF('Données projet'!$A$88&gt;35,BD14+BC15-BL14,IF(A15&lt;'Données projet'!$A$88,$BA$205^A15,IF(A15='Données projet'!$A$88,'Données projet'!$B$88,BD14+BC15-BL14)))</f>
        <v>28.205297528345746</v>
      </c>
      <c r="BE15" s="14">
        <f>BD15*VLOOKUP('Données projet'!$B$11,Paramètres!$A$1:$I$89,3,0)*VLOOKUP('Données projet'!$B$11,Paramètres!$A$1:$I$89,5,0)</f>
        <v>20.680124147783101</v>
      </c>
      <c r="BF15" s="14">
        <f t="shared" si="37"/>
        <v>6.6984577246102246</v>
      </c>
      <c r="BG15" s="22">
        <f t="shared" si="7"/>
        <v>47.684363427751713</v>
      </c>
      <c r="BH15" s="62">
        <f t="shared" si="8"/>
        <v>244.71414088048459</v>
      </c>
      <c r="BI15" s="62">
        <f ca="1">AVERAGE(OFFSET($BH$3,0,0,'Données projet'!$E$11+1,1))-AVERAGE(OFFSET($H$3,0,0,'Données projet'!$E$11+1,1))</f>
        <v>368.54671978064204</v>
      </c>
      <c r="BJ15" s="62">
        <f t="shared" si="38"/>
        <v>395.83504504492237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2.6666666666666665</v>
      </c>
      <c r="BY15" s="13">
        <f>IF('Données projet'!$A$114&gt;35,BY14+BX15-CG14,IF(A15&lt;'Données projet'!$A$114,$BV$205^A15,IF(A15='Données projet'!$A$114,'Données projet'!$B$114,BY14+BX15-CG14)))</f>
        <v>19.127049995800721</v>
      </c>
      <c r="BZ15" s="14">
        <f>BY15*VLOOKUP('Données projet'!$B$12,Paramètres!$A$1:$I$89,3,0)*VLOOKUP('Données projet'!$B$12,Paramètres!$A$1:$I$89,5,0)</f>
        <v>14.919098996724562</v>
      </c>
      <c r="CA15" s="14">
        <f t="shared" si="39"/>
        <v>5.019622097301081</v>
      </c>
      <c r="CB15" s="22">
        <f t="shared" si="10"/>
        <v>34.726605905427995</v>
      </c>
      <c r="CC15" s="62">
        <f t="shared" si="11"/>
        <v>231.75638335816086</v>
      </c>
      <c r="CD15" s="62">
        <f ca="1">AVERAGE(OFFSET($CC$3,0,0,'Données projet'!$E$12+1,1))-AVERAGE(OFFSET($H$3,0,0,'Données projet'!$E$12+1,1))</f>
        <v>309.21625451786218</v>
      </c>
      <c r="CE15" s="62">
        <f t="shared" si="40"/>
        <v>302.59481222418219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4.615384615384615</v>
      </c>
      <c r="CT15" s="13">
        <f>IF('Données projet'!$A$140&gt;35,CT14+CS15-DB14,IF(A15&lt;'Données projet'!$A$140,$CQ$205^A15,IF(A15='Données projet'!$A$140,'Données projet'!$B$140,CT14+CS15-DB14)))</f>
        <v>29.664656629007457</v>
      </c>
      <c r="CU15" s="18">
        <f>CT15*VLOOKUP('Données projet'!$B$13,Paramètres!$A$1:$I$89,3,0)*VLOOKUP('Données projet'!$B$13,Paramètres!$A$1:$I$89,5,0)</f>
        <v>28.228887248163495</v>
      </c>
      <c r="CV15" s="14">
        <f t="shared" si="41"/>
        <v>8.8183040787317974</v>
      </c>
      <c r="CW15" s="22">
        <f t="shared" si="13"/>
        <v>64.523858227675973</v>
      </c>
      <c r="CX15" s="62">
        <f t="shared" si="14"/>
        <v>261.55363568040883</v>
      </c>
      <c r="CY15" s="62">
        <f ca="1">AVERAGE(OFFSET($CX$3,0,0,'Données projet'!$E$13+1,1))-AVERAGE(OFFSET($H$3,0,0,'Données projet'!$E$13+1,1))</f>
        <v>491.87038198656927</v>
      </c>
      <c r="CZ15" s="62">
        <f t="shared" si="42"/>
        <v>406.49261644949559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3.65</v>
      </c>
      <c r="DO15" s="13">
        <f>IF('Données projet'!$A$166&gt;35,DO14+DN15-DW14,IF(A15&lt;'Données projet'!$A$166,$DL$205^A15,IF(A15='Données projet'!$A$166,'Données projet'!$B$166,DO14+DN15-DW14)))</f>
        <v>13.121809125710287</v>
      </c>
      <c r="DP15" s="18">
        <f>DO15*VLOOKUP('Données projet'!$B$14,Paramètres!$A$1:$I$89,3,0)*VLOOKUP('Données projet'!$B$14,Paramètres!$A$1:$I$89,5,0)</f>
        <v>12.69141378638699</v>
      </c>
      <c r="DQ15" s="14">
        <f t="shared" si="43"/>
        <v>4.3512446702837533</v>
      </c>
      <c r="DR15" s="22">
        <f t="shared" si="16"/>
        <v>29.682630145368211</v>
      </c>
      <c r="DS15" s="62">
        <f t="shared" si="17"/>
        <v>226.71240759810109</v>
      </c>
      <c r="DT15" s="62">
        <f ca="1">AVERAGE(OFFSET($DS$3,0,0,'Données projet'!$E$14+1,1))-AVERAGE(OFFSET($H$3,0,0,'Données projet'!$E$14+1,1))</f>
        <v>603.52431522262032</v>
      </c>
      <c r="DU15" s="62">
        <f t="shared" si="44"/>
        <v>313.56299786481338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0</v>
      </c>
      <c r="ED15" s="24">
        <f t="shared" si="18"/>
        <v>0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8</v>
      </c>
      <c r="EJ15" s="13">
        <f>IF('Données projet'!$A$192&gt;35,EJ14+EI15-ER14,IF(A15&lt;'Données projet'!$A$192,$EG$205^A15,IF(A15='Données projet'!$A$192,'Données projet'!$B$192,EJ14+EI15-ER14)))</f>
        <v>25</v>
      </c>
      <c r="EK15" s="18">
        <f>EJ15*VLOOKUP('Données projet'!$B$15,Paramètres!$A$1:$I$89,3,0)*VLOOKUP('Données projet'!$B$15,Paramètres!$A$1:$I$89,5,0)</f>
        <v>20.28</v>
      </c>
      <c r="EL15" s="14">
        <f t="shared" si="45"/>
        <v>6.5838102554415308</v>
      </c>
      <c r="EM15" s="22">
        <f t="shared" si="19"/>
        <v>46.787802861560664</v>
      </c>
      <c r="EN15" s="62">
        <f t="shared" si="20"/>
        <v>243.81758031429354</v>
      </c>
      <c r="EO15" s="62">
        <f ca="1">AVERAGE(OFFSET($EN$3,0,0,'Données projet'!$E$15+1,1))-AVERAGE(OFFSET($H$3,0,0,'Données projet'!$E$15+1,1))</f>
        <v>272.69564942740931</v>
      </c>
      <c r="EP15" s="62">
        <f t="shared" si="46"/>
        <v>316.57989180609252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>
        <f>EXP(-LN(2)/35)*EV14+(1-EXP(-LN(2)/35))/(LN(2)/35)*ER15*ES15*VLOOKUP('Données projet'!$B$15,Paramètres!$A$1:$I$89,3,0)*0.475*44/12</f>
        <v>0</v>
      </c>
      <c r="EW15" s="23">
        <f>EXP(-LN(2)/25)*EW14+(1-EXP(-LN(2)/25))/(LN(2)/25)*Calculateur!ER15*Calculateur!ET15*VLOOKUP('Données projet'!$B$15,Paramètres!$A$1:$I$89,3,0)*0.475*44/12</f>
        <v>0</v>
      </c>
      <c r="EX15" s="23">
        <f>EXP(-LN(2)/2)*EX14+(1-EXP(-LN(2)/2))/(LN(2)/2)*ER15*EU15*VLOOKUP('Données projet'!$B$15,Paramètres!$A$1:$I$89,3,0)*0.475*44/12</f>
        <v>0</v>
      </c>
      <c r="EY15" s="24">
        <f t="shared" si="21"/>
        <v>0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10.897435897435896</v>
      </c>
      <c r="FE15" s="13">
        <f>IF('Données projet'!$A$218&gt;35,FE14+FD15-FM14,IF(A15&lt;'Données projet'!$A$218,$FB$205^A15,IF(A15='Données projet'!$A$218,'Données projet'!$B$218,FE14+FD15-FM14)))</f>
        <v>67.948717948717942</v>
      </c>
      <c r="FF15" s="18">
        <f>FE15*VLOOKUP('Données projet'!$B$16,Paramètres!$A$1:$I$89,3,0)*VLOOKUP('Données projet'!$B$16,Paramètres!$A$1:$I$89,5,0)</f>
        <v>45.58</v>
      </c>
      <c r="FG15" s="14">
        <f t="shared" si="47"/>
        <v>13.466199827793883</v>
      </c>
      <c r="FH15" s="22">
        <f t="shared" si="22"/>
        <v>102.83879803340767</v>
      </c>
      <c r="FI15" s="62">
        <f t="shared" si="23"/>
        <v>299.86857548614057</v>
      </c>
      <c r="FJ15" s="62">
        <f ca="1">AVERAGE(OFFSET($FI$3,0,0,'Données projet'!$E$16+1,1))-AVERAGE(OFFSET($H$3,0,0,'Données projet'!$E$16+1,1))</f>
        <v>440.90856392064205</v>
      </c>
      <c r="FK15" s="62">
        <f t="shared" si="48"/>
        <v>373.33139300970629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>
        <f>EXP(-LN(2)/35)*FQ14+(1-EXP(-LN(2)/35))/(LN(2)/35)*FM15*FN15*VLOOKUP('Données projet'!$B$16,Paramètres!$A$1:$I$89,3,0)*0.475*44/12</f>
        <v>0</v>
      </c>
      <c r="FR15" s="23">
        <f>EXP(-LN(2)/25)*FR14+(1-EXP(-LN(2)/25))/(LN(2)/25)*Calculateur!FM15*Calculateur!FO15*VLOOKUP('Données projet'!$B$16,Paramètres!$A$1:$I$89,3,0)*0.475*44/12</f>
        <v>0</v>
      </c>
      <c r="FS15" s="23">
        <f>EXP(-LN(2)/2)*FS14+(1-EXP(-LN(2)/2))/(LN(2)/2)*FM15*FP15*VLOOKUP('Données projet'!$B$16,Paramètres!$A$1:$I$89,3,0)*0.475*44/12</f>
        <v>0</v>
      </c>
      <c r="FT15" s="24">
        <f t="shared" si="24"/>
        <v>0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70">
        <f t="shared" si="1"/>
        <v>183.33333333333334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3.65</v>
      </c>
      <c r="N16" s="14">
        <f>IF('Données projet'!$A$36&gt;35,N15+M16-V15,IF(A16&lt;'Données projet'!$A$36,$K$205^A16,IF(A16='Données projet'!$A$36,'Données projet'!$B$36,N15+M16-V15)))</f>
        <v>16.261472127148366</v>
      </c>
      <c r="O16" s="14">
        <f>N16*VLOOKUP('Données projet'!$B$9,Paramètres!$A$1:$I$89,3,0)*VLOOKUP('Données projet'!$B$9,Paramètres!$A$1:$I$89,5,0)</f>
        <v>14.713379980643843</v>
      </c>
      <c r="P16" s="14">
        <f t="shared" si="33"/>
        <v>4.9584140165447881</v>
      </c>
      <c r="Q16" s="22">
        <f t="shared" si="2"/>
        <v>34.261707878436859</v>
      </c>
      <c r="R16" s="62">
        <f t="shared" si="0"/>
        <v>233.80270813005566</v>
      </c>
      <c r="S16" s="62">
        <f ca="1">AVERAGE(OFFSET($R$3,0,0,'Données projet'!$E$9+1,1))-AVERAGE(OFFSET($H$3,0,0,'Données projet'!$E$9+1,1))</f>
        <v>570.08763950759544</v>
      </c>
      <c r="T16" s="62">
        <f t="shared" si="34"/>
        <v>297.32483725004136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4.333333333333333</v>
      </c>
      <c r="AI16" s="14">
        <f>IF('Données projet'!$A$62&gt;35,AI15+AH16-AQ15,IF(A16&lt;'Données projet'!$A$62,$AF$205^A16,IF(A16='Données projet'!$A$62,'Données projet'!$B$62,AI15+AH16-AQ15)))</f>
        <v>37.255601172785397</v>
      </c>
      <c r="AJ16" s="14">
        <f>AI16*VLOOKUP('Données projet'!$B$10,Paramètres!$A$1:$I$89,3,0)*VLOOKUP('Données projet'!$B$10,Paramètres!$A$1:$I$89,5,0)</f>
        <v>29.640556293068066</v>
      </c>
      <c r="AK16" s="14">
        <f t="shared" si="35"/>
        <v>9.2068452582035114</v>
      </c>
      <c r="AL16" s="22">
        <f t="shared" si="4"/>
        <v>67.659224368464649</v>
      </c>
      <c r="AM16" s="62">
        <f t="shared" si="5"/>
        <v>267.20022462008347</v>
      </c>
      <c r="AN16" s="62">
        <f ca="1">AVERAGE(OFFSET($AM$3,0,0,'Données projet'!$E$10+1,1))-AVERAGE(OFFSET($H$3,0,0,'Données projet'!$E$10+1,1))</f>
        <v>394.70330963327166</v>
      </c>
      <c r="AO16" s="62">
        <f t="shared" si="36"/>
        <v>424.06445894109982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4.333333333333333</v>
      </c>
      <c r="BD16" s="13">
        <f>IF('Données projet'!$A$88&gt;35,BD15+BC16-BL15,IF(A16&lt;'Données projet'!$A$88,$BA$205^A16,IF(A16='Données projet'!$A$88,'Données projet'!$B$88,BD15+BC16-BL15)))</f>
        <v>37.255601172785397</v>
      </c>
      <c r="BE16" s="14">
        <f>BD16*VLOOKUP('Données projet'!$B$11,Paramètres!$A$1:$I$89,3,0)*VLOOKUP('Données projet'!$B$11,Paramètres!$A$1:$I$89,5,0)</f>
        <v>27.315806779886252</v>
      </c>
      <c r="BF16" s="14">
        <f t="shared" si="37"/>
        <v>8.5657915899951185</v>
      </c>
      <c r="BG16" s="22">
        <f t="shared" si="7"/>
        <v>62.493783827543389</v>
      </c>
      <c r="BH16" s="62">
        <f t="shared" si="8"/>
        <v>262.03478407916219</v>
      </c>
      <c r="BI16" s="62">
        <f ca="1">AVERAGE(OFFSET($BH$3,0,0,'Données projet'!$E$11+1,1))-AVERAGE(OFFSET($H$3,0,0,'Données projet'!$E$11+1,1))</f>
        <v>368.54671978064204</v>
      </c>
      <c r="BJ16" s="62">
        <f t="shared" si="38"/>
        <v>395.83504504492237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2.6666666666666665</v>
      </c>
      <c r="BY16" s="13">
        <f>IF('Données projet'!$A$114&gt;35,BY15+BX16-CG15,IF(A16&lt;'Données projet'!$A$114,$BV$205^A16,IF(A16='Données projet'!$A$114,'Données projet'!$B$114,BY15+BX16-CG15)))</f>
        <v>24.459748796430759</v>
      </c>
      <c r="BZ16" s="14">
        <f>BY16*VLOOKUP('Données projet'!$B$12,Paramètres!$A$1:$I$89,3,0)*VLOOKUP('Données projet'!$B$12,Paramètres!$A$1:$I$89,5,0)</f>
        <v>19.078604061215994</v>
      </c>
      <c r="CA16" s="14">
        <f t="shared" si="39"/>
        <v>6.2379664748280286</v>
      </c>
      <c r="CB16" s="22">
        <f t="shared" si="10"/>
        <v>44.093027016943331</v>
      </c>
      <c r="CC16" s="62">
        <f t="shared" si="11"/>
        <v>243.63402726856214</v>
      </c>
      <c r="CD16" s="62">
        <f ca="1">AVERAGE(OFFSET($CC$3,0,0,'Données projet'!$E$12+1,1))-AVERAGE(OFFSET($H$3,0,0,'Données projet'!$E$12+1,1))</f>
        <v>309.21625451786218</v>
      </c>
      <c r="CE16" s="62">
        <f t="shared" si="40"/>
        <v>302.59481222418219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4.615384615384615</v>
      </c>
      <c r="CT16" s="13">
        <f>IF('Données projet'!$A$140&gt;35,CT15+CS16-DB15,IF(A16&lt;'Données projet'!$A$140,$CQ$205^A16,IF(A16='Données projet'!$A$140,'Données projet'!$B$140,CT15+CS16-DB15)))</f>
        <v>39.348296583935358</v>
      </c>
      <c r="CU16" s="18">
        <f>CT16*VLOOKUP('Données projet'!$B$13,Paramètres!$A$1:$I$89,3,0)*VLOOKUP('Données projet'!$B$13,Paramètres!$A$1:$I$89,5,0)</f>
        <v>37.443839029272887</v>
      </c>
      <c r="CV16" s="14">
        <f t="shared" si="41"/>
        <v>11.318554318604061</v>
      </c>
      <c r="CW16" s="22">
        <f t="shared" si="13"/>
        <v>84.927835080885686</v>
      </c>
      <c r="CX16" s="62">
        <f t="shared" si="14"/>
        <v>284.46883533250451</v>
      </c>
      <c r="CY16" s="62">
        <f ca="1">AVERAGE(OFFSET($CX$3,0,0,'Données projet'!$E$13+1,1))-AVERAGE(OFFSET($H$3,0,0,'Données projet'!$E$13+1,1))</f>
        <v>491.87038198656927</v>
      </c>
      <c r="CZ16" s="62">
        <f t="shared" si="42"/>
        <v>406.49261644949559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3.65</v>
      </c>
      <c r="DO16" s="13">
        <f>IF('Données projet'!$A$166&gt;35,DO15+DN16-DW15,IF(A16&lt;'Données projet'!$A$166,$DL$205^A16,IF(A16='Données projet'!$A$166,'Données projet'!$B$166,DO15+DN16-DW15)))</f>
        <v>16.261472127148366</v>
      </c>
      <c r="DP16" s="18">
        <f>DO16*VLOOKUP('Données projet'!$B$14,Paramètres!$A$1:$I$89,3,0)*VLOOKUP('Données projet'!$B$14,Paramètres!$A$1:$I$89,5,0)</f>
        <v>15.728095841377899</v>
      </c>
      <c r="DQ16" s="14">
        <f t="shared" si="43"/>
        <v>5.2593867546400634</v>
      </c>
      <c r="DR16" s="22">
        <f t="shared" si="16"/>
        <v>36.553198854731285</v>
      </c>
      <c r="DS16" s="62">
        <f t="shared" si="17"/>
        <v>236.09419910635009</v>
      </c>
      <c r="DT16" s="62">
        <f ca="1">AVERAGE(OFFSET($DS$3,0,0,'Données projet'!$E$14+1,1))-AVERAGE(OFFSET($H$3,0,0,'Données projet'!$E$14+1,1))</f>
        <v>603.52431522262032</v>
      </c>
      <c r="DU16" s="62">
        <f t="shared" si="44"/>
        <v>313.56299786481338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0</v>
      </c>
      <c r="ED16" s="24">
        <f t="shared" si="18"/>
        <v>0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8</v>
      </c>
      <c r="EJ16" s="13">
        <f>IF('Données projet'!$A$192&gt;35,EJ15+EI16-ER15,IF(A16&lt;'Données projet'!$A$192,$EG$205^A16,IF(A16='Données projet'!$A$192,'Données projet'!$B$192,EJ15+EI16-ER15)))</f>
        <v>33</v>
      </c>
      <c r="EK16" s="18">
        <f>EJ16*VLOOKUP('Données projet'!$B$15,Paramètres!$A$1:$I$89,3,0)*VLOOKUP('Données projet'!$B$15,Paramètres!$A$1:$I$89,5,0)</f>
        <v>26.769600000000001</v>
      </c>
      <c r="EL16" s="14">
        <f t="shared" si="45"/>
        <v>8.4142697673415618</v>
      </c>
      <c r="EM16" s="22">
        <f t="shared" si="19"/>
        <v>61.278573178119878</v>
      </c>
      <c r="EN16" s="62">
        <f t="shared" si="20"/>
        <v>260.81957342973868</v>
      </c>
      <c r="EO16" s="62">
        <f ca="1">AVERAGE(OFFSET($EN$3,0,0,'Données projet'!$E$15+1,1))-AVERAGE(OFFSET($H$3,0,0,'Données projet'!$E$15+1,1))</f>
        <v>272.69564942740931</v>
      </c>
      <c r="EP16" s="62">
        <f t="shared" si="46"/>
        <v>316.57989180609252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>
        <f>EXP(-LN(2)/35)*EV15+(1-EXP(-LN(2)/35))/(LN(2)/35)*ER16*ES16*VLOOKUP('Données projet'!$B$15,Paramètres!$A$1:$I$89,3,0)*0.475*44/12</f>
        <v>0</v>
      </c>
      <c r="EW16" s="23">
        <f>EXP(-LN(2)/25)*EW15+(1-EXP(-LN(2)/25))/(LN(2)/25)*Calculateur!ER16*Calculateur!ET16*VLOOKUP('Données projet'!$B$15,Paramètres!$A$1:$I$89,3,0)*0.475*44/12</f>
        <v>0</v>
      </c>
      <c r="EX16" s="23">
        <f>EXP(-LN(2)/2)*EX15+(1-EXP(-LN(2)/2))/(LN(2)/2)*ER16*EU16*VLOOKUP('Données projet'!$B$15,Paramètres!$A$1:$I$89,3,0)*0.475*44/12</f>
        <v>0</v>
      </c>
      <c r="EY16" s="24">
        <f t="shared" si="21"/>
        <v>0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10.897435897435896</v>
      </c>
      <c r="FE16" s="13">
        <f>IF('Données projet'!$A$218&gt;35,FE15+FD16-FM15,IF(A16&lt;'Données projet'!$A$218,$FB$205^A16,IF(A16='Données projet'!$A$218,'Données projet'!$B$218,FE15+FD16-FM15)))</f>
        <v>78.84615384615384</v>
      </c>
      <c r="FF16" s="18">
        <f>FE16*VLOOKUP('Données projet'!$B$16,Paramètres!$A$1:$I$89,3,0)*VLOOKUP('Données projet'!$B$16,Paramètres!$A$1:$I$89,5,0)</f>
        <v>52.89</v>
      </c>
      <c r="FG16" s="14">
        <f t="shared" si="47"/>
        <v>15.357656466675607</v>
      </c>
      <c r="FH16" s="22">
        <f t="shared" si="22"/>
        <v>118.86466834612668</v>
      </c>
      <c r="FI16" s="62">
        <f t="shared" si="23"/>
        <v>318.40566859774549</v>
      </c>
      <c r="FJ16" s="62">
        <f ca="1">AVERAGE(OFFSET($FI$3,0,0,'Données projet'!$E$16+1,1))-AVERAGE(OFFSET($H$3,0,0,'Données projet'!$E$16+1,1))</f>
        <v>440.90856392064205</v>
      </c>
      <c r="FK16" s="62">
        <f t="shared" si="48"/>
        <v>373.33139300970629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>
        <f>EXP(-LN(2)/35)*FQ15+(1-EXP(-LN(2)/35))/(LN(2)/35)*FM16*FN16*VLOOKUP('Données projet'!$B$16,Paramètres!$A$1:$I$89,3,0)*0.475*44/12</f>
        <v>0</v>
      </c>
      <c r="FR16" s="23">
        <f>EXP(-LN(2)/25)*FR15+(1-EXP(-LN(2)/25))/(LN(2)/25)*Calculateur!FM16*Calculateur!FO16*VLOOKUP('Données projet'!$B$16,Paramètres!$A$1:$I$89,3,0)*0.475*44/12</f>
        <v>0</v>
      </c>
      <c r="FS16" s="23">
        <f>EXP(-LN(2)/2)*FS15+(1-EXP(-LN(2)/2))/(LN(2)/2)*FM16*FP16*VLOOKUP('Données projet'!$B$16,Paramètres!$A$1:$I$89,3,0)*0.475*44/12</f>
        <v>0</v>
      </c>
      <c r="FT16" s="24">
        <f t="shared" si="24"/>
        <v>0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70">
        <f t="shared" si="1"/>
        <v>183.33333333333334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3.65</v>
      </c>
      <c r="N17" s="14">
        <f>IF('Données projet'!$A$36&gt;35,N16+M17-V16,IF(A17&lt;'Données projet'!$A$36,$K$205^A17,IF(A17='Données projet'!$A$36,'Données projet'!$B$36,N16+M17-V16)))</f>
        <v>20.152364144963837</v>
      </c>
      <c r="O17" s="14">
        <f>N17*VLOOKUP('Données projet'!$B$9,Paramètres!$A$1:$I$89,3,0)*VLOOKUP('Données projet'!$B$9,Paramètres!$A$1:$I$89,5,0)</f>
        <v>18.233859078363277</v>
      </c>
      <c r="P17" s="14">
        <f t="shared" si="33"/>
        <v>5.9932775513027368</v>
      </c>
      <c r="Q17" s="22">
        <f t="shared" si="2"/>
        <v>42.195596296668306</v>
      </c>
      <c r="R17" s="62">
        <f t="shared" si="0"/>
        <v>244.22545806894149</v>
      </c>
      <c r="S17" s="62">
        <f ca="1">AVERAGE(OFFSET($R$3,0,0,'Données projet'!$E$9+1,1))-AVERAGE(OFFSET($H$3,0,0,'Données projet'!$E$9+1,1))</f>
        <v>570.08763950759544</v>
      </c>
      <c r="T17" s="62">
        <f t="shared" si="34"/>
        <v>297.32483725004136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4.333333333333333</v>
      </c>
      <c r="AI17" s="14">
        <f>IF('Données projet'!$A$62&gt;35,AI16+AH17-AQ16,IF(A17&lt;'Données projet'!$A$62,$AF$205^A17,IF(A17='Données projet'!$A$62,'Données projet'!$B$62,AI16+AH17-AQ16)))</f>
        <v>49.209898153024547</v>
      </c>
      <c r="AJ17" s="14">
        <f>AI17*VLOOKUP('Données projet'!$B$10,Paramètres!$A$1:$I$89,3,0)*VLOOKUP('Données projet'!$B$10,Paramètres!$A$1:$I$89,5,0)</f>
        <v>39.151394970546335</v>
      </c>
      <c r="AK17" s="14">
        <f t="shared" si="35"/>
        <v>11.773444115853561</v>
      </c>
      <c r="AL17" s="22">
        <f t="shared" si="4"/>
        <v>88.69409474214649</v>
      </c>
      <c r="AM17" s="62">
        <f t="shared" si="5"/>
        <v>290.72395651441968</v>
      </c>
      <c r="AN17" s="62">
        <f ca="1">AVERAGE(OFFSET($AM$3,0,0,'Données projet'!$E$10+1,1))-AVERAGE(OFFSET($H$3,0,0,'Données projet'!$E$10+1,1))</f>
        <v>394.70330963327166</v>
      </c>
      <c r="AO17" s="62">
        <f t="shared" si="36"/>
        <v>424.06445894109982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4.333333333333333</v>
      </c>
      <c r="BD17" s="13">
        <f>IF('Données projet'!$A$88&gt;35,BD16+BC17-BL16,IF(A17&lt;'Données projet'!$A$88,$BA$205^A17,IF(A17='Données projet'!$A$88,'Données projet'!$B$88,BD16+BC17-BL16)))</f>
        <v>49.209898153024547</v>
      </c>
      <c r="BE17" s="14">
        <f>BD17*VLOOKUP('Données projet'!$B$11,Paramètres!$A$1:$I$89,3,0)*VLOOKUP('Données projet'!$B$11,Paramètres!$A$1:$I$89,5,0)</f>
        <v>36.080697325797594</v>
      </c>
      <c r="BF17" s="14">
        <f t="shared" si="37"/>
        <v>10.953683456664727</v>
      </c>
      <c r="BG17" s="22">
        <f t="shared" si="7"/>
        <v>81.918213196121869</v>
      </c>
      <c r="BH17" s="62">
        <f t="shared" si="8"/>
        <v>283.94807496839508</v>
      </c>
      <c r="BI17" s="62">
        <f ca="1">AVERAGE(OFFSET($BH$3,0,0,'Données projet'!$E$11+1,1))-AVERAGE(OFFSET($H$3,0,0,'Données projet'!$E$11+1,1))</f>
        <v>368.54671978064204</v>
      </c>
      <c r="BJ17" s="62">
        <f t="shared" si="38"/>
        <v>395.83504504492237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2.6666666666666665</v>
      </c>
      <c r="BY17" s="13">
        <f>IF('Données projet'!$A$114&gt;35,BY16+BX17-CG16,IF(A17&lt;'Données projet'!$A$114,$BV$205^A17,IF(A17='Données projet'!$A$114,'Données projet'!$B$114,BY16+BX17-CG16)))</f>
        <v>31.279225563578599</v>
      </c>
      <c r="BZ17" s="14">
        <f>BY17*VLOOKUP('Données projet'!$B$12,Paramètres!$A$1:$I$89,3,0)*VLOOKUP('Données projet'!$B$12,Paramètres!$A$1:$I$89,5,0)</f>
        <v>24.397795939591308</v>
      </c>
      <c r="CA17" s="14">
        <f t="shared" si="39"/>
        <v>7.75202295846145</v>
      </c>
      <c r="CB17" s="22">
        <f t="shared" si="10"/>
        <v>55.994267914108548</v>
      </c>
      <c r="CC17" s="62">
        <f t="shared" si="11"/>
        <v>258.02412968638174</v>
      </c>
      <c r="CD17" s="62">
        <f ca="1">AVERAGE(OFFSET($CC$3,0,0,'Données projet'!$E$12+1,1))-AVERAGE(OFFSET($H$3,0,0,'Données projet'!$E$12+1,1))</f>
        <v>309.21625451786218</v>
      </c>
      <c r="CE17" s="62">
        <f t="shared" si="40"/>
        <v>302.59481222418219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4.615384615384615</v>
      </c>
      <c r="CT17" s="13">
        <f>IF('Données projet'!$A$140&gt;35,CT16+CS17-DB16,IF(A17&lt;'Données projet'!$A$140,$CQ$205^A17,IF(A17='Données projet'!$A$140,'Données projet'!$B$140,CT16+CS17-DB16)))</f>
        <v>52.193034405237363</v>
      </c>
      <c r="CU17" s="18">
        <f>CT17*VLOOKUP('Données projet'!$B$13,Paramètres!$A$1:$I$89,3,0)*VLOOKUP('Données projet'!$B$13,Paramètres!$A$1:$I$89,5,0)</f>
        <v>49.666891540023876</v>
      </c>
      <c r="CV17" s="14">
        <f t="shared" si="41"/>
        <v>14.527699512218989</v>
      </c>
      <c r="CW17" s="22">
        <f t="shared" si="13"/>
        <v>111.80557941598965</v>
      </c>
      <c r="CX17" s="62">
        <f t="shared" si="14"/>
        <v>313.83544118826285</v>
      </c>
      <c r="CY17" s="62">
        <f ca="1">AVERAGE(OFFSET($CX$3,0,0,'Données projet'!$E$13+1,1))-AVERAGE(OFFSET($H$3,0,0,'Données projet'!$E$13+1,1))</f>
        <v>491.87038198656927</v>
      </c>
      <c r="CZ17" s="62">
        <f t="shared" si="42"/>
        <v>406.49261644949559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3.65</v>
      </c>
      <c r="DO17" s="13">
        <f>IF('Données projet'!$A$166&gt;35,DO16+DN17-DW16,IF(A17&lt;'Données projet'!$A$166,$DL$205^A17,IF(A17='Données projet'!$A$166,'Données projet'!$B$166,DO16+DN17-DW16)))</f>
        <v>20.152364144963837</v>
      </c>
      <c r="DP17" s="18">
        <f>DO17*VLOOKUP('Données projet'!$B$14,Paramètres!$A$1:$I$89,3,0)*VLOOKUP('Données projet'!$B$14,Paramètres!$A$1:$I$89,5,0)</f>
        <v>19.491366601009023</v>
      </c>
      <c r="DQ17" s="14">
        <f t="shared" si="43"/>
        <v>6.3570658813537859</v>
      </c>
      <c r="DR17" s="22">
        <f t="shared" si="16"/>
        <v>45.01935324011523</v>
      </c>
      <c r="DS17" s="62">
        <f t="shared" si="17"/>
        <v>247.04921501238843</v>
      </c>
      <c r="DT17" s="62">
        <f ca="1">AVERAGE(OFFSET($DS$3,0,0,'Données projet'!$E$14+1,1))-AVERAGE(OFFSET($H$3,0,0,'Données projet'!$E$14+1,1))</f>
        <v>603.52431522262032</v>
      </c>
      <c r="DU17" s="62">
        <f t="shared" si="44"/>
        <v>313.56299786481338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0</v>
      </c>
      <c r="ED17" s="24">
        <f t="shared" si="18"/>
        <v>0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8</v>
      </c>
      <c r="EJ17" s="13">
        <f>IF('Données projet'!$A$192&gt;35,EJ16+EI17-ER16,IF(A17&lt;'Données projet'!$A$192,$EG$205^A17,IF(A17='Données projet'!$A$192,'Données projet'!$B$192,EJ16+EI17-ER16)))</f>
        <v>41</v>
      </c>
      <c r="EK17" s="18">
        <f>EJ17*VLOOKUP('Données projet'!$B$15,Paramètres!$A$1:$I$89,3,0)*VLOOKUP('Données projet'!$B$15,Paramètres!$A$1:$I$89,5,0)</f>
        <v>33.2592</v>
      </c>
      <c r="EL17" s="14">
        <f t="shared" si="45"/>
        <v>10.193265358024187</v>
      </c>
      <c r="EM17" s="22">
        <f t="shared" si="19"/>
        <v>75.679710498558791</v>
      </c>
      <c r="EN17" s="62">
        <f t="shared" si="20"/>
        <v>277.70957227083198</v>
      </c>
      <c r="EO17" s="62">
        <f ca="1">AVERAGE(OFFSET($EN$3,0,0,'Données projet'!$E$15+1,1))-AVERAGE(OFFSET($H$3,0,0,'Données projet'!$E$15+1,1))</f>
        <v>272.69564942740931</v>
      </c>
      <c r="EP17" s="62">
        <f t="shared" si="46"/>
        <v>316.57989180609252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>
        <f>EXP(-LN(2)/35)*EV16+(1-EXP(-LN(2)/35))/(LN(2)/35)*ER17*ES17*VLOOKUP('Données projet'!$B$15,Paramètres!$A$1:$I$89,3,0)*0.475*44/12</f>
        <v>0</v>
      </c>
      <c r="EW17" s="23">
        <f>EXP(-LN(2)/25)*EW16+(1-EXP(-LN(2)/25))/(LN(2)/25)*Calculateur!ER17*Calculateur!ET17*VLOOKUP('Données projet'!$B$15,Paramètres!$A$1:$I$89,3,0)*0.475*44/12</f>
        <v>0</v>
      </c>
      <c r="EX17" s="23">
        <f>EXP(-LN(2)/2)*EX16+(1-EXP(-LN(2)/2))/(LN(2)/2)*ER17*EU17*VLOOKUP('Données projet'!$B$15,Paramètres!$A$1:$I$89,3,0)*0.475*44/12</f>
        <v>0</v>
      </c>
      <c r="EY17" s="24">
        <f t="shared" si="21"/>
        <v>0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10.897435897435896</v>
      </c>
      <c r="FE17" s="13">
        <f>IF('Données projet'!$A$218&gt;35,FE16+FD17-FM16,IF(A17&lt;'Données projet'!$A$218,$FB$205^A17,IF(A17='Données projet'!$A$218,'Données projet'!$B$218,FE16+FD17-FM16)))</f>
        <v>89.743589743589737</v>
      </c>
      <c r="FF17" s="18">
        <f>FE17*VLOOKUP('Données projet'!$B$16,Paramètres!$A$1:$I$89,3,0)*VLOOKUP('Données projet'!$B$16,Paramètres!$A$1:$I$89,5,0)</f>
        <v>60.199999999999996</v>
      </c>
      <c r="FG17" s="14">
        <f t="shared" si="47"/>
        <v>17.21882548978526</v>
      </c>
      <c r="FH17" s="22">
        <f t="shared" si="22"/>
        <v>134.83778772804266</v>
      </c>
      <c r="FI17" s="62">
        <f t="shared" si="23"/>
        <v>336.86764950031585</v>
      </c>
      <c r="FJ17" s="62">
        <f ca="1">AVERAGE(OFFSET($FI$3,0,0,'Données projet'!$E$16+1,1))-AVERAGE(OFFSET($H$3,0,0,'Données projet'!$E$16+1,1))</f>
        <v>440.90856392064205</v>
      </c>
      <c r="FK17" s="62">
        <f t="shared" si="48"/>
        <v>373.33139300970629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>
        <f>EXP(-LN(2)/35)*FQ16+(1-EXP(-LN(2)/35))/(LN(2)/35)*FM17*FN17*VLOOKUP('Données projet'!$B$16,Paramètres!$A$1:$I$89,3,0)*0.475*44/12</f>
        <v>0</v>
      </c>
      <c r="FR17" s="23">
        <f>EXP(-LN(2)/25)*FR16+(1-EXP(-LN(2)/25))/(LN(2)/25)*Calculateur!FM17*Calculateur!FO17*VLOOKUP('Données projet'!$B$16,Paramètres!$A$1:$I$89,3,0)*0.475*44/12</f>
        <v>0</v>
      </c>
      <c r="FS17" s="23">
        <f>EXP(-LN(2)/2)*FS16+(1-EXP(-LN(2)/2))/(LN(2)/2)*FM17*FP17*VLOOKUP('Données projet'!$B$16,Paramètres!$A$1:$I$89,3,0)*0.475*44/12</f>
        <v>0</v>
      </c>
      <c r="FT17" s="24">
        <f t="shared" si="24"/>
        <v>0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70">
        <f t="shared" si="1"/>
        <v>183.33333333333334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3.65</v>
      </c>
      <c r="N18" s="14">
        <f>IF('Données projet'!$A$36&gt;35,N17+M18-V17,IF(A18&lt;'Données projet'!$A$36,$K$205^A18,IF(A18='Données projet'!$A$36,'Données projet'!$B$36,N17+M18-V17)))</f>
        <v>24.974232188561476</v>
      </c>
      <c r="O18" s="14">
        <f>N18*VLOOKUP('Données projet'!$B$9,Paramètres!$A$1:$I$89,3,0)*VLOOKUP('Données projet'!$B$9,Paramètres!$A$1:$I$89,5,0)</f>
        <v>22.596685284210423</v>
      </c>
      <c r="P18" s="14">
        <f t="shared" si="33"/>
        <v>7.2441259820371586</v>
      </c>
      <c r="Q18" s="22">
        <f t="shared" si="2"/>
        <v>51.972746288714539</v>
      </c>
      <c r="R18" s="62">
        <f t="shared" si="0"/>
        <v>256.46949622159559</v>
      </c>
      <c r="S18" s="62">
        <f ca="1">AVERAGE(OFFSET($R$3,0,0,'Données projet'!$E$9+1,1))-AVERAGE(OFFSET($H$3,0,0,'Données projet'!$E$9+1,1))</f>
        <v>570.08763950759544</v>
      </c>
      <c r="T18" s="62">
        <f t="shared" si="34"/>
        <v>297.32483725004136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>
        <f>VLOOKUP(A18,'Données projet'!$A$61:$I$81,2,0)</f>
        <v>65</v>
      </c>
      <c r="AG18" s="13">
        <f>VLOOKUP(A18,'Données projet'!$A$61:$I$81,9,0)</f>
        <v>4.333333333333333</v>
      </c>
      <c r="AH18" s="13">
        <f t="array" ref="AH18">INDEX(AG:AG,MIN(IF(ISNUMBER(AG18:AG214),ROW(AG18:AG214),"")))</f>
        <v>4.333333333333333</v>
      </c>
      <c r="AI18" s="14">
        <f>IF('Données projet'!$A$62&gt;35,AI17+AH18-AQ17,IF(A18&lt;'Données projet'!$A$62,$AF$205^A18,IF(A18='Données projet'!$A$62,'Données projet'!$B$62,AI17+AH18-AQ17)))</f>
        <v>65</v>
      </c>
      <c r="AJ18" s="14">
        <f>AI18*VLOOKUP('Données projet'!$B$10,Paramètres!$A$1:$I$89,3,0)*VLOOKUP('Données projet'!$B$10,Paramètres!$A$1:$I$89,5,0)</f>
        <v>51.713999999999999</v>
      </c>
      <c r="AK18" s="14">
        <f t="shared" si="35"/>
        <v>15.055535578337075</v>
      </c>
      <c r="AL18" s="22">
        <f t="shared" si="4"/>
        <v>116.29027446560372</v>
      </c>
      <c r="AM18" s="62">
        <f t="shared" si="5"/>
        <v>320.78702439848473</v>
      </c>
      <c r="AN18" s="62">
        <f ca="1">AVERAGE(OFFSET($AM$3,0,0,'Données projet'!$E$10+1,1))-AVERAGE(OFFSET($H$3,0,0,'Données projet'!$E$10+1,1))</f>
        <v>394.70330963327166</v>
      </c>
      <c r="AO18" s="62">
        <f t="shared" si="36"/>
        <v>424.06445894109982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>
        <f>VLOOKUP(A18,'Données projet'!$A$87:$I$107,2,0)</f>
        <v>65</v>
      </c>
      <c r="BB18" s="13">
        <f>VLOOKUP(A18,'Données projet'!$A$87:$I$107,9,0)</f>
        <v>4.333333333333333</v>
      </c>
      <c r="BC18" s="13">
        <f t="array" ref="BC18">INDEX(BB:BB,MIN(IF(ISNUMBER(BB18:BB214),ROW(BB18:BB214),"")))</f>
        <v>4.333333333333333</v>
      </c>
      <c r="BD18" s="13">
        <f>IF('Données projet'!$A$88&gt;35,BD17+BC18-BL17,IF(A18&lt;'Données projet'!$A$88,$BA$205^A18,IF(A18='Données projet'!$A$88,'Données projet'!$B$88,BD17+BC18-BL17)))</f>
        <v>65</v>
      </c>
      <c r="BE18" s="14">
        <f>BD18*VLOOKUP('Données projet'!$B$11,Paramètres!$A$1:$I$89,3,0)*VLOOKUP('Données projet'!$B$11,Paramètres!$A$1:$I$89,5,0)</f>
        <v>47.657999999999994</v>
      </c>
      <c r="BF18" s="14">
        <f t="shared" si="37"/>
        <v>14.007249652087213</v>
      </c>
      <c r="BG18" s="22">
        <f t="shared" si="7"/>
        <v>107.40030981071855</v>
      </c>
      <c r="BH18" s="62">
        <f t="shared" si="8"/>
        <v>311.89705974359958</v>
      </c>
      <c r="BI18" s="62">
        <f ca="1">AVERAGE(OFFSET($BH$3,0,0,'Données projet'!$E$11+1,1))-AVERAGE(OFFSET($H$3,0,0,'Données projet'!$E$11+1,1))</f>
        <v>368.54671978064204</v>
      </c>
      <c r="BJ18" s="62">
        <f t="shared" si="38"/>
        <v>395.83504504492237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>
        <f>VLOOKUP(A18,'Données projet'!$A$113:$I$133,2,0)</f>
        <v>40</v>
      </c>
      <c r="BW18" s="13">
        <f>VLOOKUP(A18,'Données projet'!$A$113:$I$133,9,0)</f>
        <v>2.6666666666666665</v>
      </c>
      <c r="BX18" s="13">
        <f t="array" ref="BX18">INDEX(BW:BW,MIN(IF(ISNUMBER(BW18:BW214),ROW(BW18:BW214),"")))</f>
        <v>2.6666666666666665</v>
      </c>
      <c r="BY18" s="13">
        <f>IF('Données projet'!$A$114&gt;35,BY17+BX18-CG17,IF(A18&lt;'Données projet'!$A$114,$BV$205^A18,IF(A18='Données projet'!$A$114,'Données projet'!$B$114,BY17+BX18-CG17)))</f>
        <v>40</v>
      </c>
      <c r="BZ18" s="14">
        <f>BY18*VLOOKUP('Données projet'!$B$12,Paramètres!$A$1:$I$89,3,0)*VLOOKUP('Données projet'!$B$12,Paramètres!$A$1:$I$89,5,0)</f>
        <v>31.200000000000003</v>
      </c>
      <c r="CA18" s="14">
        <f t="shared" si="39"/>
        <v>9.6335657126419925</v>
      </c>
      <c r="CB18" s="22">
        <f t="shared" si="10"/>
        <v>71.118460282851473</v>
      </c>
      <c r="CC18" s="62">
        <f t="shared" si="11"/>
        <v>275.61521021573253</v>
      </c>
      <c r="CD18" s="62">
        <f ca="1">AVERAGE(OFFSET($CC$3,0,0,'Données projet'!$E$12+1,1))-AVERAGE(OFFSET($H$3,0,0,'Données projet'!$E$12+1,1))</f>
        <v>309.21625451786218</v>
      </c>
      <c r="CE18" s="62">
        <f t="shared" si="40"/>
        <v>302.59481222418219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>
        <f>VLOOKUP(A18,'Données projet'!$A$139:$I$159,2,0)</f>
        <v>69.230769230769226</v>
      </c>
      <c r="CR18" s="13">
        <f>VLOOKUP(A18,'Données projet'!$A$139:$I$159,9,0)</f>
        <v>4.615384615384615</v>
      </c>
      <c r="CS18" s="13">
        <f t="array" ref="CS18">INDEX(CR:CR,MIN(IF(ISNUMBER(CR18:CR214),ROW(CR18:CR214),"")))</f>
        <v>4.615384615384615</v>
      </c>
      <c r="CT18" s="13">
        <f>IF('Données projet'!$A$140&gt;35,CT17+CS18-DB17,IF(A18&lt;'Données projet'!$A$140,$CQ$205^A18,IF(A18='Données projet'!$A$140,'Données projet'!$B$140,CT17+CS18-DB17)))</f>
        <v>69.230769230769226</v>
      </c>
      <c r="CU18" s="18">
        <f>CT18*VLOOKUP('Données projet'!$B$13,Paramètres!$A$1:$I$89,3,0)*VLOOKUP('Données projet'!$B$13,Paramètres!$A$1:$I$89,5,0)</f>
        <v>65.88</v>
      </c>
      <c r="CV18" s="14">
        <f t="shared" si="41"/>
        <v>18.64673236319793</v>
      </c>
      <c r="CW18" s="22">
        <f t="shared" si="13"/>
        <v>147.21739219923637</v>
      </c>
      <c r="CX18" s="62">
        <f t="shared" si="14"/>
        <v>351.71414213211744</v>
      </c>
      <c r="CY18" s="62">
        <f ca="1">AVERAGE(OFFSET($CX$3,0,0,'Données projet'!$E$13+1,1))-AVERAGE(OFFSET($H$3,0,0,'Données projet'!$E$13+1,1))</f>
        <v>491.87038198656927</v>
      </c>
      <c r="CZ18" s="62">
        <f t="shared" si="42"/>
        <v>406.49261644949559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3.65</v>
      </c>
      <c r="DO18" s="13">
        <f>IF('Données projet'!$A$166&gt;35,DO17+DN18-DW17,IF(A18&lt;'Données projet'!$A$166,$DL$205^A18,IF(A18='Données projet'!$A$166,'Données projet'!$B$166,DO17+DN18-DW17)))</f>
        <v>24.974232188561476</v>
      </c>
      <c r="DP18" s="18">
        <f>DO18*VLOOKUP('Données projet'!$B$14,Paramètres!$A$1:$I$89,3,0)*VLOOKUP('Données projet'!$B$14,Paramètres!$A$1:$I$89,5,0)</f>
        <v>24.155077372776663</v>
      </c>
      <c r="DQ18" s="14">
        <f t="shared" si="43"/>
        <v>7.6838400568695304</v>
      </c>
      <c r="DR18" s="22">
        <f t="shared" si="16"/>
        <v>55.452781189967119</v>
      </c>
      <c r="DS18" s="62">
        <f t="shared" si="17"/>
        <v>259.94953112284816</v>
      </c>
      <c r="DT18" s="62">
        <f ca="1">AVERAGE(OFFSET($DS$3,0,0,'Données projet'!$E$14+1,1))-AVERAGE(OFFSET($H$3,0,0,'Données projet'!$E$14+1,1))</f>
        <v>603.52431522262032</v>
      </c>
      <c r="DU18" s="62">
        <f t="shared" si="44"/>
        <v>313.56299786481338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projet'!$B$14,Paramètres!$A$1:$I$89,3,0)*0.475*44/12</f>
        <v>0</v>
      </c>
      <c r="EB18" s="23">
        <f>EXP(-LN(2)/25)*EB17+(1-EXP(-LN(2)/25))/(LN(2)/25)*Calculateur!DW18*Calculateur!DY18*VLOOKUP('Données projet'!$B$14,Paramètres!$A$1:$I$89,3,0)*0.475*44/12</f>
        <v>0</v>
      </c>
      <c r="EC18" s="23">
        <f>EXP(-LN(2)/2)*EC17+(1-EXP(-LN(2)/2))/(LN(2)/2)*DW18*DZ18*VLOOKUP('Données projet'!$B$14,Paramètres!$A$1:$I$89,3,0)*0.475*44/12</f>
        <v>0</v>
      </c>
      <c r="ED18" s="24">
        <f t="shared" si="18"/>
        <v>0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>
        <f>VLOOKUP(A18,'Données projet'!$A$191:$I$211,2,0)</f>
        <v>49</v>
      </c>
      <c r="EH18" s="13">
        <f>VLOOKUP(A18,'Données projet'!$A$191:$I$211,9,0)</f>
        <v>8</v>
      </c>
      <c r="EI18" s="13">
        <f t="array" ref="EI18">INDEX(EH:EH,MIN(IF(ISNUMBER(EH18:EH214),ROW(EH18:EH214),"")))</f>
        <v>8</v>
      </c>
      <c r="EJ18" s="13">
        <f>IF('Données projet'!$A$192&gt;35,EJ17+EI18-ER17,IF(A18&lt;'Données projet'!$A$192,$EG$205^A18,IF(A18='Données projet'!$A$192,'Données projet'!$B$192,EJ17+EI18-ER17)))</f>
        <v>49</v>
      </c>
      <c r="EK18" s="18">
        <f>EJ18*VLOOKUP('Données projet'!$B$15,Paramètres!$A$1:$I$89,3,0)*VLOOKUP('Données projet'!$B$15,Paramètres!$A$1:$I$89,5,0)</f>
        <v>39.748800000000003</v>
      </c>
      <c r="EL18" s="14">
        <f t="shared" si="45"/>
        <v>11.932041927023215</v>
      </c>
      <c r="EM18" s="22">
        <f t="shared" si="19"/>
        <v>90.010799689565431</v>
      </c>
      <c r="EN18" s="62">
        <f t="shared" si="20"/>
        <v>294.5075496224465</v>
      </c>
      <c r="EO18" s="62">
        <f ca="1">AVERAGE(OFFSET($EN$3,0,0,'Données projet'!$E$15+1,1))-AVERAGE(OFFSET($H$3,0,0,'Données projet'!$E$15+1,1))</f>
        <v>272.69564942740931</v>
      </c>
      <c r="EP18" s="62">
        <f t="shared" si="46"/>
        <v>316.57989180609252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>
        <f>EXP(-LN(2)/35)*EV17+(1-EXP(-LN(2)/35))/(LN(2)/35)*ER18*ES18*VLOOKUP('Données projet'!$B$15,Paramètres!$A$1:$I$89,3,0)*0.475*44/12</f>
        <v>0</v>
      </c>
      <c r="EW18" s="23">
        <f>EXP(-LN(2)/25)*EW17+(1-EXP(-LN(2)/25))/(LN(2)/25)*Calculateur!ER18*Calculateur!ET18*VLOOKUP('Données projet'!$B$15,Paramètres!$A$1:$I$89,3,0)*0.475*44/12</f>
        <v>0</v>
      </c>
      <c r="EX18" s="23">
        <f>EXP(-LN(2)/2)*EX17+(1-EXP(-LN(2)/2))/(LN(2)/2)*ER18*EU18*VLOOKUP('Données projet'!$B$15,Paramètres!$A$1:$I$89,3,0)*0.475*44/12</f>
        <v>0</v>
      </c>
      <c r="EY18" s="24">
        <f t="shared" si="21"/>
        <v>0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>
        <f>VLOOKUP(A18,'Données projet'!$A$217:$I$237,2,0)</f>
        <v>100.64102564102564</v>
      </c>
      <c r="FC18" s="13">
        <f>VLOOKUP(A18,'Données projet'!$A$217:$I$237,9,0)</f>
        <v>10.897435897435896</v>
      </c>
      <c r="FD18" s="13">
        <f t="array" ref="FD18">INDEX(FC:FC,MIN(IF(ISNUMBER(FC18:FC214),ROW(FC18:FC214),"")))</f>
        <v>10.897435897435896</v>
      </c>
      <c r="FE18" s="13">
        <f>IF('Données projet'!$A$218&gt;35,FE17+FD18-FM17,IF(A18&lt;'Données projet'!$A$218,$FB$205^A18,IF(A18='Données projet'!$A$218,'Données projet'!$B$218,FE17+FD18-FM17)))</f>
        <v>100.64102564102564</v>
      </c>
      <c r="FF18" s="18">
        <f>FE18*VLOOKUP('Données projet'!$B$16,Paramètres!$A$1:$I$89,3,0)*VLOOKUP('Données projet'!$B$16,Paramètres!$A$1:$I$89,5,0)</f>
        <v>67.509999999999991</v>
      </c>
      <c r="FG18" s="14">
        <f t="shared" si="47"/>
        <v>19.053805387418848</v>
      </c>
      <c r="FH18" s="22">
        <f t="shared" si="22"/>
        <v>150.76529438308779</v>
      </c>
      <c r="FI18" s="62">
        <f t="shared" si="23"/>
        <v>355.26204431596886</v>
      </c>
      <c r="FJ18" s="62">
        <f ca="1">AVERAGE(OFFSET($FI$3,0,0,'Données projet'!$E$16+1,1))-AVERAGE(OFFSET($H$3,0,0,'Données projet'!$E$16+1,1))</f>
        <v>440.90856392064205</v>
      </c>
      <c r="FK18" s="62">
        <f t="shared" si="48"/>
        <v>373.33139300970629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>
        <f>EXP(-LN(2)/35)*FQ17+(1-EXP(-LN(2)/35))/(LN(2)/35)*FM18*FN18*VLOOKUP('Données projet'!$B$16,Paramètres!$A$1:$I$89,3,0)*0.475*44/12</f>
        <v>0</v>
      </c>
      <c r="FR18" s="23">
        <f>EXP(-LN(2)/25)*FR17+(1-EXP(-LN(2)/25))/(LN(2)/25)*Calculateur!FM18*Calculateur!FO18*VLOOKUP('Données projet'!$B$16,Paramètres!$A$1:$I$89,3,0)*0.475*44/12</f>
        <v>0</v>
      </c>
      <c r="FS18" s="23">
        <f>EXP(-LN(2)/2)*FS17+(1-EXP(-LN(2)/2))/(LN(2)/2)*FM18*FP18*VLOOKUP('Données projet'!$B$16,Paramètres!$A$1:$I$89,3,0)*0.475*44/12</f>
        <v>0</v>
      </c>
      <c r="FT18" s="24">
        <f t="shared" si="24"/>
        <v>0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70">
        <f t="shared" si="1"/>
        <v>183.33333333333334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3.65</v>
      </c>
      <c r="N19" s="14">
        <f>IF('Données projet'!$A$36&gt;35,N18+M19-V18,IF(A19&lt;'Données projet'!$A$36,$K$205^A19,IF(A19='Données projet'!$A$36,'Données projet'!$B$36,N18+M19-V18)))</f>
        <v>30.949831440200953</v>
      </c>
      <c r="O19" s="14">
        <f>N19*VLOOKUP('Données projet'!$B$9,Paramètres!$A$1:$I$89,3,0)*VLOOKUP('Données projet'!$B$9,Paramètres!$A$1:$I$89,5,0)</f>
        <v>28.003407487093821</v>
      </c>
      <c r="P19" s="14">
        <f t="shared" si="33"/>
        <v>8.7560372090925433</v>
      </c>
      <c r="Q19" s="22">
        <f t="shared" si="2"/>
        <v>64.022699512524582</v>
      </c>
      <c r="R19" s="62">
        <f t="shared" si="0"/>
        <v>270.96474543463864</v>
      </c>
      <c r="S19" s="62">
        <f ca="1">AVERAGE(OFFSET($R$3,0,0,'Données projet'!$E$9+1,1))-AVERAGE(OFFSET($H$3,0,0,'Données projet'!$E$9+1,1))</f>
        <v>570.08763950759544</v>
      </c>
      <c r="T19" s="62">
        <f t="shared" si="34"/>
        <v>297.32483725004136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13.8</v>
      </c>
      <c r="AI19" s="14">
        <f>IF('Données projet'!$A$62&gt;35,AI18+AH19-AQ18,IF(A19&lt;'Données projet'!$A$62,$AF$205^A19,IF(A19='Données projet'!$A$62,'Données projet'!$B$62,AI18+AH19-AQ18)))</f>
        <v>78.8</v>
      </c>
      <c r="AJ19" s="14">
        <f>AI19*VLOOKUP('Données projet'!$B$10,Paramètres!$A$1:$I$89,3,0)*VLOOKUP('Données projet'!$B$10,Paramètres!$A$1:$I$89,5,0)</f>
        <v>62.693280000000009</v>
      </c>
      <c r="AK19" s="14">
        <f t="shared" si="35"/>
        <v>17.847464769732898</v>
      </c>
      <c r="AL19" s="22">
        <f t="shared" si="4"/>
        <v>140.27513047395146</v>
      </c>
      <c r="AM19" s="62">
        <f t="shared" si="5"/>
        <v>347.2171763960655</v>
      </c>
      <c r="AN19" s="62">
        <f ca="1">AVERAGE(OFFSET($AM$3,0,0,'Données projet'!$E$10+1,1))-AVERAGE(OFFSET($H$3,0,0,'Données projet'!$E$10+1,1))</f>
        <v>394.70330963327166</v>
      </c>
      <c r="AO19" s="62">
        <f t="shared" si="36"/>
        <v>424.06445894109982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13.8</v>
      </c>
      <c r="BD19" s="13">
        <f>IF('Données projet'!$A$88&gt;35,BD18+BC19-BL18,IF(A19&lt;'Données projet'!$A$88,$BA$205^A19,IF(A19='Données projet'!$A$88,'Données projet'!$B$88,BD18+BC19-BL18)))</f>
        <v>78.8</v>
      </c>
      <c r="BE19" s="14">
        <f>BD19*VLOOKUP('Données projet'!$B$11,Paramètres!$A$1:$I$89,3,0)*VLOOKUP('Données projet'!$B$11,Paramètres!$A$1:$I$89,5,0)</f>
        <v>57.77615999999999</v>
      </c>
      <c r="BF19" s="14">
        <f t="shared" si="37"/>
        <v>16.604782565569302</v>
      </c>
      <c r="BG19" s="22">
        <f t="shared" si="7"/>
        <v>129.54680830169983</v>
      </c>
      <c r="BH19" s="62">
        <f t="shared" si="8"/>
        <v>336.48885422381386</v>
      </c>
      <c r="BI19" s="62">
        <f ca="1">AVERAGE(OFFSET($BH$3,0,0,'Données projet'!$E$11+1,1))-AVERAGE(OFFSET($H$3,0,0,'Données projet'!$E$11+1,1))</f>
        <v>368.54671978064204</v>
      </c>
      <c r="BJ19" s="62">
        <f t="shared" si="38"/>
        <v>395.83504504492237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9.6</v>
      </c>
      <c r="BY19" s="13">
        <f>IF('Données projet'!$A$114&gt;35,BY18+BX19-CG18,IF(A19&lt;'Données projet'!$A$114,$BV$205^A19,IF(A19='Données projet'!$A$114,'Données projet'!$B$114,BY18+BX19-CG18)))</f>
        <v>49.6</v>
      </c>
      <c r="BZ19" s="14">
        <f>BY19*VLOOKUP('Données projet'!$B$12,Paramètres!$A$1:$I$89,3,0)*VLOOKUP('Données projet'!$B$12,Paramètres!$A$1:$I$89,5,0)</f>
        <v>38.688000000000002</v>
      </c>
      <c r="CA19" s="14">
        <f t="shared" si="39"/>
        <v>11.650229083154354</v>
      </c>
      <c r="CB19" s="22">
        <f t="shared" si="10"/>
        <v>87.672415653160499</v>
      </c>
      <c r="CC19" s="62">
        <f t="shared" si="11"/>
        <v>294.61446157527456</v>
      </c>
      <c r="CD19" s="62">
        <f ca="1">AVERAGE(OFFSET($CC$3,0,0,'Données projet'!$E$12+1,1))-AVERAGE(OFFSET($H$3,0,0,'Données projet'!$E$12+1,1))</f>
        <v>309.21625451786218</v>
      </c>
      <c r="CE19" s="62">
        <f t="shared" si="40"/>
        <v>302.59481222418219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9.1025641025641022</v>
      </c>
      <c r="CT19" s="13">
        <f>IF('Données projet'!$A$140&gt;35,CT18+CS19-DB18,IF(A19&lt;'Données projet'!$A$140,$CQ$205^A19,IF(A19='Données projet'!$A$140,'Données projet'!$B$140,CT18+CS19-DB18)))</f>
        <v>78.333333333333329</v>
      </c>
      <c r="CU19" s="18">
        <f>CT19*VLOOKUP('Données projet'!$B$13,Paramètres!$A$1:$I$89,3,0)*VLOOKUP('Données projet'!$B$13,Paramètres!$A$1:$I$89,5,0)</f>
        <v>74.542000000000002</v>
      </c>
      <c r="CV19" s="14">
        <f t="shared" si="41"/>
        <v>20.797236217950161</v>
      </c>
      <c r="CW19" s="22">
        <f t="shared" si="13"/>
        <v>166.04916974626317</v>
      </c>
      <c r="CX19" s="62">
        <f t="shared" si="14"/>
        <v>372.99121566837721</v>
      </c>
      <c r="CY19" s="62">
        <f ca="1">AVERAGE(OFFSET($CX$3,0,0,'Données projet'!$E$13+1,1))-AVERAGE(OFFSET($H$3,0,0,'Données projet'!$E$13+1,1))</f>
        <v>491.87038198656927</v>
      </c>
      <c r="CZ19" s="62">
        <f t="shared" si="42"/>
        <v>406.49261644949559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3.65</v>
      </c>
      <c r="DO19" s="13">
        <f>IF('Données projet'!$A$166&gt;35,DO18+DN19-DW18,IF(A19&lt;'Données projet'!$A$166,$DL$205^A19,IF(A19='Données projet'!$A$166,'Données projet'!$B$166,DO18+DN19-DW18)))</f>
        <v>30.949831440200953</v>
      </c>
      <c r="DP19" s="18">
        <f>DO19*VLOOKUP('Données projet'!$B$14,Paramètres!$A$1:$I$89,3,0)*VLOOKUP('Données projet'!$B$14,Paramètres!$A$1:$I$89,5,0)</f>
        <v>29.934676968962361</v>
      </c>
      <c r="DQ19" s="14">
        <f t="shared" si="43"/>
        <v>9.2875233828754098</v>
      </c>
      <c r="DR19" s="22">
        <f t="shared" si="16"/>
        <v>68.311998946117441</v>
      </c>
      <c r="DS19" s="62">
        <f t="shared" si="17"/>
        <v>275.25404486823152</v>
      </c>
      <c r="DT19" s="62">
        <f ca="1">AVERAGE(OFFSET($DS$3,0,0,'Données projet'!$E$14+1,1))-AVERAGE(OFFSET($H$3,0,0,'Données projet'!$E$14+1,1))</f>
        <v>603.52431522262032</v>
      </c>
      <c r="DU19" s="62">
        <f t="shared" si="44"/>
        <v>313.56299786481338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projet'!$B$14,Paramètres!$A$1:$I$89,3,0)*0.475*44/12</f>
        <v>0</v>
      </c>
      <c r="EB19" s="23">
        <f>EXP(-LN(2)/25)*EB18+(1-EXP(-LN(2)/25))/(LN(2)/25)*Calculateur!DW19*Calculateur!DY19*VLOOKUP('Données projet'!$B$14,Paramètres!$A$1:$I$89,3,0)*0.475*44/12</f>
        <v>0</v>
      </c>
      <c r="EC19" s="23">
        <f>EXP(-LN(2)/2)*EC18+(1-EXP(-LN(2)/2))/(LN(2)/2)*DW19*DZ19*VLOOKUP('Données projet'!$B$14,Paramètres!$A$1:$I$89,3,0)*0.475*44/12</f>
        <v>0</v>
      </c>
      <c r="ED19" s="24">
        <f t="shared" si="18"/>
        <v>0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10</v>
      </c>
      <c r="EJ19" s="13">
        <f>IF('Données projet'!$A$192&gt;35,EJ18+EI19-ER18,IF(A19&lt;'Données projet'!$A$192,$EG$205^A19,IF(A19='Données projet'!$A$192,'Données projet'!$B$192,EJ18+EI19-ER18)))</f>
        <v>59</v>
      </c>
      <c r="EK19" s="18">
        <f>EJ19*VLOOKUP('Données projet'!$B$15,Paramètres!$A$1:$I$89,3,0)*VLOOKUP('Données projet'!$B$15,Paramètres!$A$1:$I$89,5,0)</f>
        <v>47.860800000000005</v>
      </c>
      <c r="EL19" s="14">
        <f t="shared" si="45"/>
        <v>14.059903887836867</v>
      </c>
      <c r="EM19" s="22">
        <f t="shared" si="19"/>
        <v>107.84522593798255</v>
      </c>
      <c r="EN19" s="62">
        <f t="shared" si="20"/>
        <v>314.78727186009661</v>
      </c>
      <c r="EO19" s="62">
        <f ca="1">AVERAGE(OFFSET($EN$3,0,0,'Données projet'!$E$15+1,1))-AVERAGE(OFFSET($H$3,0,0,'Données projet'!$E$15+1,1))</f>
        <v>272.69564942740931</v>
      </c>
      <c r="EP19" s="62">
        <f t="shared" si="46"/>
        <v>316.57989180609252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>
        <f>EXP(-LN(2)/35)*EV18+(1-EXP(-LN(2)/35))/(LN(2)/35)*ER19*ES19*VLOOKUP('Données projet'!$B$15,Paramètres!$A$1:$I$89,3,0)*0.475*44/12</f>
        <v>0</v>
      </c>
      <c r="EW19" s="23">
        <f>EXP(-LN(2)/25)*EW18+(1-EXP(-LN(2)/25))/(LN(2)/25)*Calculateur!ER19*Calculateur!ET19*VLOOKUP('Données projet'!$B$15,Paramètres!$A$1:$I$89,3,0)*0.475*44/12</f>
        <v>0</v>
      </c>
      <c r="EX19" s="23">
        <f>EXP(-LN(2)/2)*EX18+(1-EXP(-LN(2)/2))/(LN(2)/2)*ER19*EU19*VLOOKUP('Données projet'!$B$15,Paramètres!$A$1:$I$89,3,0)*0.475*44/12</f>
        <v>0</v>
      </c>
      <c r="EY19" s="24">
        <f t="shared" si="21"/>
        <v>0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11.538461538461537</v>
      </c>
      <c r="FE19" s="13">
        <f>IF('Données projet'!$A$218&gt;35,FE18+FD19-FM18,IF(A19&lt;'Données projet'!$A$218,$FB$205^A19,IF(A19='Données projet'!$A$218,'Données projet'!$B$218,FE18+FD19-FM18)))</f>
        <v>112.17948717948717</v>
      </c>
      <c r="FF19" s="18">
        <f>FE19*VLOOKUP('Données projet'!$B$16,Paramètres!$A$1:$I$89,3,0)*VLOOKUP('Données projet'!$B$16,Paramètres!$A$1:$I$89,5,0)</f>
        <v>75.25</v>
      </c>
      <c r="FG19" s="14">
        <f t="shared" si="47"/>
        <v>20.971679502814343</v>
      </c>
      <c r="FH19" s="22">
        <f t="shared" si="22"/>
        <v>167.58609180073498</v>
      </c>
      <c r="FI19" s="62">
        <f t="shared" si="23"/>
        <v>374.52813772284901</v>
      </c>
      <c r="FJ19" s="62">
        <f ca="1">AVERAGE(OFFSET($FI$3,0,0,'Données projet'!$E$16+1,1))-AVERAGE(OFFSET($H$3,0,0,'Données projet'!$E$16+1,1))</f>
        <v>440.90856392064205</v>
      </c>
      <c r="FK19" s="62">
        <f t="shared" si="48"/>
        <v>373.33139300970629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>
        <f>EXP(-LN(2)/35)*FQ18+(1-EXP(-LN(2)/35))/(LN(2)/35)*FM19*FN19*VLOOKUP('Données projet'!$B$16,Paramètres!$A$1:$I$89,3,0)*0.475*44/12</f>
        <v>0</v>
      </c>
      <c r="FR19" s="23">
        <f>EXP(-LN(2)/25)*FR18+(1-EXP(-LN(2)/25))/(LN(2)/25)*Calculateur!FM19*Calculateur!FO19*VLOOKUP('Données projet'!$B$16,Paramètres!$A$1:$I$89,3,0)*0.475*44/12</f>
        <v>0</v>
      </c>
      <c r="FS19" s="23">
        <f>EXP(-LN(2)/2)*FS18+(1-EXP(-LN(2)/2))/(LN(2)/2)*FM19*FP19*VLOOKUP('Données projet'!$B$16,Paramètres!$A$1:$I$89,3,0)*0.475*44/12</f>
        <v>0</v>
      </c>
      <c r="FT19" s="24">
        <f t="shared" si="24"/>
        <v>0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70">
        <f t="shared" si="1"/>
        <v>183.33333333333334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3.65</v>
      </c>
      <c r="N20" s="14">
        <f>IF('Données projet'!$A$36&gt;35,N19+M20-V19,IF(A20&lt;'Données projet'!$A$36,$K$205^A20,IF(A20='Données projet'!$A$36,'Données projet'!$B$36,N19+M20-V19)))</f>
        <v>38.355215845858055</v>
      </c>
      <c r="O20" s="14">
        <f>N20*VLOOKUP('Données projet'!$B$9,Paramètres!$A$1:$I$89,3,0)*VLOOKUP('Données projet'!$B$9,Paramètres!$A$1:$I$89,5,0)</f>
        <v>34.703799297332367</v>
      </c>
      <c r="P20" s="14">
        <f t="shared" si="33"/>
        <v>10.583497277259243</v>
      </c>
      <c r="Q20" s="22">
        <f t="shared" si="2"/>
        <v>78.875374867413711</v>
      </c>
      <c r="R20" s="62">
        <f t="shared" si="0"/>
        <v>288.24149918328646</v>
      </c>
      <c r="S20" s="62">
        <f ca="1">AVERAGE(OFFSET($R$3,0,0,'Données projet'!$E$9+1,1))-AVERAGE(OFFSET($H$3,0,0,'Données projet'!$E$9+1,1))</f>
        <v>570.08763950759544</v>
      </c>
      <c r="T20" s="62">
        <f t="shared" si="34"/>
        <v>297.32483725004136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13.8</v>
      </c>
      <c r="AI20" s="14">
        <f>IF('Données projet'!$A$62&gt;35,AI19+AH20-AQ19,IF(A20&lt;'Données projet'!$A$62,$AF$205^A20,IF(A20='Données projet'!$A$62,'Données projet'!$B$62,AI19+AH20-AQ19)))</f>
        <v>92.6</v>
      </c>
      <c r="AJ20" s="14">
        <f>AI20*VLOOKUP('Données projet'!$B$10,Paramètres!$A$1:$I$89,3,0)*VLOOKUP('Données projet'!$B$10,Paramètres!$A$1:$I$89,5,0)</f>
        <v>73.672560000000004</v>
      </c>
      <c r="AK20" s="14">
        <f t="shared" si="35"/>
        <v>20.582751720906476</v>
      </c>
      <c r="AL20" s="22">
        <f t="shared" si="4"/>
        <v>164.16133458057877</v>
      </c>
      <c r="AM20" s="62">
        <f t="shared" si="5"/>
        <v>373.52745889645149</v>
      </c>
      <c r="AN20" s="62">
        <f ca="1">AVERAGE(OFFSET($AM$3,0,0,'Données projet'!$E$10+1,1))-AVERAGE(OFFSET($H$3,0,0,'Données projet'!$E$10+1,1))</f>
        <v>394.70330963327166</v>
      </c>
      <c r="AO20" s="62">
        <f t="shared" si="36"/>
        <v>424.06445894109982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13.8</v>
      </c>
      <c r="BD20" s="13">
        <f>IF('Données projet'!$A$88&gt;35,BD19+BC20-BL19,IF(A20&lt;'Données projet'!$A$88,$BA$205^A20,IF(A20='Données projet'!$A$88,'Données projet'!$B$88,BD19+BC20-BL19)))</f>
        <v>92.6</v>
      </c>
      <c r="BE20" s="14">
        <f>BD20*VLOOKUP('Données projet'!$B$11,Paramètres!$A$1:$I$89,3,0)*VLOOKUP('Données projet'!$B$11,Paramètres!$A$1:$I$89,5,0)</f>
        <v>67.894319999999993</v>
      </c>
      <c r="BF20" s="14">
        <f t="shared" si="37"/>
        <v>19.149617121326546</v>
      </c>
      <c r="BG20" s="22">
        <f t="shared" si="7"/>
        <v>151.60152381964372</v>
      </c>
      <c r="BH20" s="62">
        <f t="shared" si="8"/>
        <v>360.96764813551647</v>
      </c>
      <c r="BI20" s="62">
        <f ca="1">AVERAGE(OFFSET($BH$3,0,0,'Données projet'!$E$11+1,1))-AVERAGE(OFFSET($H$3,0,0,'Données projet'!$E$11+1,1))</f>
        <v>368.54671978064204</v>
      </c>
      <c r="BJ20" s="62">
        <f t="shared" si="38"/>
        <v>395.83504504492237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9.6</v>
      </c>
      <c r="BY20" s="13">
        <f>IF('Données projet'!$A$114&gt;35,BY19+BX20-CG19,IF(A20&lt;'Données projet'!$A$114,$BV$205^A20,IF(A20='Données projet'!$A$114,'Données projet'!$B$114,BY19+BX20-CG19)))</f>
        <v>59.2</v>
      </c>
      <c r="BZ20" s="14">
        <f>BY20*VLOOKUP('Données projet'!$B$12,Paramètres!$A$1:$I$89,3,0)*VLOOKUP('Données projet'!$B$12,Paramètres!$A$1:$I$89,5,0)</f>
        <v>46.176000000000002</v>
      </c>
      <c r="CA20" s="14">
        <f t="shared" si="39"/>
        <v>13.621668778540489</v>
      </c>
      <c r="CB20" s="22">
        <f t="shared" si="10"/>
        <v>104.14760645595801</v>
      </c>
      <c r="CC20" s="62">
        <f t="shared" si="11"/>
        <v>313.51373077183075</v>
      </c>
      <c r="CD20" s="62">
        <f ca="1">AVERAGE(OFFSET($CC$3,0,0,'Données projet'!$E$12+1,1))-AVERAGE(OFFSET($H$3,0,0,'Données projet'!$E$12+1,1))</f>
        <v>309.21625451786218</v>
      </c>
      <c r="CE20" s="62">
        <f t="shared" si="40"/>
        <v>302.59481222418219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9.1025641025641022</v>
      </c>
      <c r="CT20" s="13">
        <f>IF('Données projet'!$A$140&gt;35,CT19+CS20-DB19,IF(A20&lt;'Données projet'!$A$140,$CQ$205^A20,IF(A20='Données projet'!$A$140,'Données projet'!$B$140,CT19+CS20-DB19)))</f>
        <v>87.435897435897431</v>
      </c>
      <c r="CU20" s="18">
        <f>CT20*VLOOKUP('Données projet'!$B$13,Paramètres!$A$1:$I$89,3,0)*VLOOKUP('Données projet'!$B$13,Paramètres!$A$1:$I$89,5,0)</f>
        <v>83.203999999999994</v>
      </c>
      <c r="CV20" s="14">
        <f t="shared" si="41"/>
        <v>22.918779415103987</v>
      </c>
      <c r="CW20" s="22">
        <f t="shared" si="13"/>
        <v>184.83050748130609</v>
      </c>
      <c r="CX20" s="62">
        <f t="shared" si="14"/>
        <v>394.19663179717884</v>
      </c>
      <c r="CY20" s="62">
        <f ca="1">AVERAGE(OFFSET($CX$3,0,0,'Données projet'!$E$13+1,1))-AVERAGE(OFFSET($H$3,0,0,'Données projet'!$E$13+1,1))</f>
        <v>491.87038198656927</v>
      </c>
      <c r="CZ20" s="62">
        <f t="shared" si="42"/>
        <v>406.49261644949559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3.65</v>
      </c>
      <c r="DO20" s="13">
        <f>IF('Données projet'!$A$166&gt;35,DO19+DN20-DW19,IF(A20&lt;'Données projet'!$A$166,$DL$205^A20,IF(A20='Données projet'!$A$166,'Données projet'!$B$166,DO19+DN20-DW19)))</f>
        <v>38.355215845858055</v>
      </c>
      <c r="DP20" s="18">
        <f>DO20*VLOOKUP('Données projet'!$B$14,Paramètres!$A$1:$I$89,3,0)*VLOOKUP('Données projet'!$B$14,Paramètres!$A$1:$I$89,5,0)</f>
        <v>37.097164766113913</v>
      </c>
      <c r="DQ20" s="14">
        <f t="shared" si="43"/>
        <v>11.225909174194843</v>
      </c>
      <c r="DR20" s="22">
        <f t="shared" si="16"/>
        <v>84.162687112704418</v>
      </c>
      <c r="DS20" s="62">
        <f t="shared" si="17"/>
        <v>293.52881142857711</v>
      </c>
      <c r="DT20" s="62">
        <f ca="1">AVERAGE(OFFSET($DS$3,0,0,'Données projet'!$E$14+1,1))-AVERAGE(OFFSET($H$3,0,0,'Données projet'!$E$14+1,1))</f>
        <v>603.52431522262032</v>
      </c>
      <c r="DU20" s="62">
        <f t="shared" si="44"/>
        <v>313.56299786481338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projet'!$B$14,Paramètres!$A$1:$I$89,3,0)*0.475*44/12</f>
        <v>0</v>
      </c>
      <c r="EB20" s="23">
        <f>EXP(-LN(2)/25)*EB19+(1-EXP(-LN(2)/25))/(LN(2)/25)*Calculateur!DW20*Calculateur!DY20*VLOOKUP('Données projet'!$B$14,Paramètres!$A$1:$I$89,3,0)*0.475*44/12</f>
        <v>0</v>
      </c>
      <c r="EC20" s="23">
        <f>EXP(-LN(2)/2)*EC19+(1-EXP(-LN(2)/2))/(LN(2)/2)*DW20*DZ20*VLOOKUP('Données projet'!$B$14,Paramètres!$A$1:$I$89,3,0)*0.475*44/12</f>
        <v>0</v>
      </c>
      <c r="ED20" s="24">
        <f t="shared" si="18"/>
        <v>0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10</v>
      </c>
      <c r="EJ20" s="13">
        <f>IF('Données projet'!$A$192&gt;35,EJ19+EI20-ER19,IF(A20&lt;'Données projet'!$A$192,$EG$205^A20,IF(A20='Données projet'!$A$192,'Données projet'!$B$192,EJ19+EI20-ER19)))</f>
        <v>69</v>
      </c>
      <c r="EK20" s="18">
        <f>EJ20*VLOOKUP('Données projet'!$B$15,Paramètres!$A$1:$I$89,3,0)*VLOOKUP('Données projet'!$B$15,Paramètres!$A$1:$I$89,5,0)</f>
        <v>55.972800000000007</v>
      </c>
      <c r="EL20" s="14">
        <f t="shared" si="45"/>
        <v>16.145985978099571</v>
      </c>
      <c r="EM20" s="22">
        <f t="shared" si="19"/>
        <v>125.60688557852342</v>
      </c>
      <c r="EN20" s="62">
        <f t="shared" si="20"/>
        <v>334.97300989439611</v>
      </c>
      <c r="EO20" s="62">
        <f ca="1">AVERAGE(OFFSET($EN$3,0,0,'Données projet'!$E$15+1,1))-AVERAGE(OFFSET($H$3,0,0,'Données projet'!$E$15+1,1))</f>
        <v>272.69564942740931</v>
      </c>
      <c r="EP20" s="62">
        <f t="shared" si="46"/>
        <v>316.57989180609252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>
        <f>EXP(-LN(2)/35)*EV19+(1-EXP(-LN(2)/35))/(LN(2)/35)*ER20*ES20*VLOOKUP('Données projet'!$B$15,Paramètres!$A$1:$I$89,3,0)*0.475*44/12</f>
        <v>0</v>
      </c>
      <c r="EW20" s="23">
        <f>EXP(-LN(2)/25)*EW19+(1-EXP(-LN(2)/25))/(LN(2)/25)*Calculateur!ER20*Calculateur!ET20*VLOOKUP('Données projet'!$B$15,Paramètres!$A$1:$I$89,3,0)*0.475*44/12</f>
        <v>0</v>
      </c>
      <c r="EX20" s="23">
        <f>EXP(-LN(2)/2)*EX19+(1-EXP(-LN(2)/2))/(LN(2)/2)*ER20*EU20*VLOOKUP('Données projet'!$B$15,Paramètres!$A$1:$I$89,3,0)*0.475*44/12</f>
        <v>0</v>
      </c>
      <c r="EY20" s="24">
        <f t="shared" si="21"/>
        <v>0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11.538461538461537</v>
      </c>
      <c r="FE20" s="13">
        <f>IF('Données projet'!$A$218&gt;35,FE19+FD20-FM19,IF(A20&lt;'Données projet'!$A$218,$FB$205^A20,IF(A20='Données projet'!$A$218,'Données projet'!$B$218,FE19+FD20-FM19)))</f>
        <v>123.7179487179487</v>
      </c>
      <c r="FF20" s="18">
        <f>FE20*VLOOKUP('Données projet'!$B$16,Paramètres!$A$1:$I$89,3,0)*VLOOKUP('Données projet'!$B$16,Paramètres!$A$1:$I$89,5,0)</f>
        <v>82.99</v>
      </c>
      <c r="FG20" s="14">
        <f t="shared" si="47"/>
        <v>22.866686120271659</v>
      </c>
      <c r="FH20" s="22">
        <f t="shared" si="22"/>
        <v>184.36706165947314</v>
      </c>
      <c r="FI20" s="62">
        <f t="shared" si="23"/>
        <v>393.73318597534586</v>
      </c>
      <c r="FJ20" s="62">
        <f ca="1">AVERAGE(OFFSET($FI$3,0,0,'Données projet'!$E$16+1,1))-AVERAGE(OFFSET($H$3,0,0,'Données projet'!$E$16+1,1))</f>
        <v>440.90856392064205</v>
      </c>
      <c r="FK20" s="62">
        <f t="shared" si="48"/>
        <v>373.33139300970629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>
        <f>EXP(-LN(2)/35)*FQ19+(1-EXP(-LN(2)/35))/(LN(2)/35)*FM20*FN20*VLOOKUP('Données projet'!$B$16,Paramètres!$A$1:$I$89,3,0)*0.475*44/12</f>
        <v>0</v>
      </c>
      <c r="FR20" s="23">
        <f>EXP(-LN(2)/25)*FR19+(1-EXP(-LN(2)/25))/(LN(2)/25)*Calculateur!FM20*Calculateur!FO20*VLOOKUP('Données projet'!$B$16,Paramètres!$A$1:$I$89,3,0)*0.475*44/12</f>
        <v>0</v>
      </c>
      <c r="FS20" s="23">
        <f>EXP(-LN(2)/2)*FS19+(1-EXP(-LN(2)/2))/(LN(2)/2)*FM20*FP20*VLOOKUP('Données projet'!$B$16,Paramètres!$A$1:$I$89,3,0)*0.475*44/12</f>
        <v>0</v>
      </c>
      <c r="FT20" s="24">
        <f t="shared" si="24"/>
        <v>0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70">
        <f t="shared" si="1"/>
        <v>183.33333333333334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3.65</v>
      </c>
      <c r="N21" s="14">
        <f>IF('Données projet'!$A$36&gt;35,N20+M21-V20,IF(A21&lt;'Données projet'!$A$36,$K$205^A21,IF(A21='Données projet'!$A$36,'Données projet'!$B$36,N20+M21-V20)))</f>
        <v>47.532490941824946</v>
      </c>
      <c r="O21" s="14">
        <f>N21*VLOOKUP('Données projet'!$B$9,Paramètres!$A$1:$I$89,3,0)*VLOOKUP('Données projet'!$B$9,Paramètres!$A$1:$I$89,5,0)</f>
        <v>43.007397804163212</v>
      </c>
      <c r="P21" s="14">
        <f t="shared" si="33"/>
        <v>12.792363936215189</v>
      </c>
      <c r="Q21" s="22">
        <f t="shared" si="2"/>
        <v>97.184585031159045</v>
      </c>
      <c r="R21" s="62">
        <f t="shared" si="0"/>
        <v>308.95393822316214</v>
      </c>
      <c r="S21" s="62">
        <f ca="1">AVERAGE(OFFSET($R$3,0,0,'Données projet'!$E$9+1,1))-AVERAGE(OFFSET($H$3,0,0,'Données projet'!$E$9+1,1))</f>
        <v>570.08763950759544</v>
      </c>
      <c r="T21" s="62">
        <f t="shared" si="34"/>
        <v>297.32483725004136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13.8</v>
      </c>
      <c r="AI21" s="14">
        <f>IF('Données projet'!$A$62&gt;35,AI20+AH21-AQ20,IF(A21&lt;'Données projet'!$A$62,$AF$205^A21,IF(A21='Données projet'!$A$62,'Données projet'!$B$62,AI20+AH21-AQ20)))</f>
        <v>106.39999999999999</v>
      </c>
      <c r="AJ21" s="14">
        <f>AI21*VLOOKUP('Données projet'!$B$10,Paramètres!$A$1:$I$89,3,0)*VLOOKUP('Données projet'!$B$10,Paramètres!$A$1:$I$89,5,0)</f>
        <v>84.651839999999993</v>
      </c>
      <c r="AK21" s="14">
        <f t="shared" si="35"/>
        <v>23.2708148096863</v>
      </c>
      <c r="AL21" s="22">
        <f t="shared" si="4"/>
        <v>187.96529046020362</v>
      </c>
      <c r="AM21" s="62">
        <f t="shared" si="5"/>
        <v>399.73464365220673</v>
      </c>
      <c r="AN21" s="62">
        <f ca="1">AVERAGE(OFFSET($AM$3,0,0,'Données projet'!$E$10+1,1))-AVERAGE(OFFSET($H$3,0,0,'Données projet'!$E$10+1,1))</f>
        <v>394.70330963327166</v>
      </c>
      <c r="AO21" s="62">
        <f t="shared" si="36"/>
        <v>424.06445894109982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13.8</v>
      </c>
      <c r="BD21" s="13">
        <f>IF('Données projet'!$A$88&gt;35,BD20+BC21-BL20,IF(A21&lt;'Données projet'!$A$88,$BA$205^A21,IF(A21='Données projet'!$A$88,'Données projet'!$B$88,BD20+BC21-BL20)))</f>
        <v>106.39999999999999</v>
      </c>
      <c r="BE21" s="14">
        <f>BD21*VLOOKUP('Données projet'!$B$11,Paramètres!$A$1:$I$89,3,0)*VLOOKUP('Données projet'!$B$11,Paramètres!$A$1:$I$89,5,0)</f>
        <v>78.012479999999996</v>
      </c>
      <c r="BF21" s="14">
        <f t="shared" si="37"/>
        <v>21.650515914942144</v>
      </c>
      <c r="BG21" s="22">
        <f t="shared" si="7"/>
        <v>173.57971788519089</v>
      </c>
      <c r="BH21" s="62">
        <f t="shared" si="8"/>
        <v>385.34907107719403</v>
      </c>
      <c r="BI21" s="62">
        <f ca="1">AVERAGE(OFFSET($BH$3,0,0,'Données projet'!$E$11+1,1))-AVERAGE(OFFSET($H$3,0,0,'Données projet'!$E$11+1,1))</f>
        <v>368.54671978064204</v>
      </c>
      <c r="BJ21" s="62">
        <f t="shared" si="38"/>
        <v>395.83504504492237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9.6</v>
      </c>
      <c r="BY21" s="13">
        <f>IF('Données projet'!$A$114&gt;35,BY20+BX21-CG20,IF(A21&lt;'Données projet'!$A$114,$BV$205^A21,IF(A21='Données projet'!$A$114,'Données projet'!$B$114,BY20+BX21-CG20)))</f>
        <v>68.8</v>
      </c>
      <c r="BZ21" s="14">
        <f>BY21*VLOOKUP('Données projet'!$B$12,Paramètres!$A$1:$I$89,3,0)*VLOOKUP('Données projet'!$B$12,Paramètres!$A$1:$I$89,5,0)</f>
        <v>53.664000000000001</v>
      </c>
      <c r="CA21" s="14">
        <f t="shared" si="39"/>
        <v>15.556073979202782</v>
      </c>
      <c r="CB21" s="22">
        <f t="shared" si="10"/>
        <v>120.55829551377816</v>
      </c>
      <c r="CC21" s="62">
        <f t="shared" si="11"/>
        <v>332.32764870578126</v>
      </c>
      <c r="CD21" s="62">
        <f ca="1">AVERAGE(OFFSET($CC$3,0,0,'Données projet'!$E$12+1,1))-AVERAGE(OFFSET($H$3,0,0,'Données projet'!$E$12+1,1))</f>
        <v>309.21625451786218</v>
      </c>
      <c r="CE21" s="62">
        <f t="shared" si="40"/>
        <v>302.59481222418219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9.1025641025641022</v>
      </c>
      <c r="CT21" s="13">
        <f>IF('Données projet'!$A$140&gt;35,CT20+CS21-DB20,IF(A21&lt;'Données projet'!$A$140,$CQ$205^A21,IF(A21='Données projet'!$A$140,'Données projet'!$B$140,CT20+CS21-DB20)))</f>
        <v>96.538461538461533</v>
      </c>
      <c r="CU21" s="18">
        <f>CT21*VLOOKUP('Données projet'!$B$13,Paramètres!$A$1:$I$89,3,0)*VLOOKUP('Données projet'!$B$13,Paramètres!$A$1:$I$89,5,0)</f>
        <v>91.866</v>
      </c>
      <c r="CV21" s="14">
        <f t="shared" si="41"/>
        <v>25.014720357915166</v>
      </c>
      <c r="CW21" s="22">
        <f t="shared" si="13"/>
        <v>203.56725462336894</v>
      </c>
      <c r="CX21" s="62">
        <f t="shared" si="14"/>
        <v>415.33660781537208</v>
      </c>
      <c r="CY21" s="62">
        <f ca="1">AVERAGE(OFFSET($CX$3,0,0,'Données projet'!$E$13+1,1))-AVERAGE(OFFSET($H$3,0,0,'Données projet'!$E$13+1,1))</f>
        <v>491.87038198656927</v>
      </c>
      <c r="CZ21" s="62">
        <f t="shared" si="42"/>
        <v>406.49261644949559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3.65</v>
      </c>
      <c r="DO21" s="13">
        <f>IF('Données projet'!$A$166&gt;35,DO20+DN21-DW20,IF(A21&lt;'Données projet'!$A$166,$DL$205^A21,IF(A21='Données projet'!$A$166,'Données projet'!$B$166,DO20+DN21-DW20)))</f>
        <v>47.532490941824946</v>
      </c>
      <c r="DP21" s="18">
        <f>DO21*VLOOKUP('Données projet'!$B$14,Paramètres!$A$1:$I$89,3,0)*VLOOKUP('Données projet'!$B$14,Paramètres!$A$1:$I$89,5,0)</f>
        <v>45.973425238933089</v>
      </c>
      <c r="DQ21" s="14">
        <f t="shared" si="43"/>
        <v>13.56885270616201</v>
      </c>
      <c r="DR21" s="22">
        <f t="shared" si="16"/>
        <v>103.70280075437397</v>
      </c>
      <c r="DS21" s="62">
        <f t="shared" si="17"/>
        <v>315.47215394637709</v>
      </c>
      <c r="DT21" s="62">
        <f ca="1">AVERAGE(OFFSET($DS$3,0,0,'Données projet'!$E$14+1,1))-AVERAGE(OFFSET($H$3,0,0,'Données projet'!$E$14+1,1))</f>
        <v>603.52431522262032</v>
      </c>
      <c r="DU21" s="62">
        <f t="shared" si="44"/>
        <v>313.56299786481338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projet'!$B$14,Paramètres!$A$1:$I$89,3,0)*0.475*44/12</f>
        <v>0</v>
      </c>
      <c r="EB21" s="23">
        <f>EXP(-LN(2)/25)*EB20+(1-EXP(-LN(2)/25))/(LN(2)/25)*Calculateur!DW21*Calculateur!DY21*VLOOKUP('Données projet'!$B$14,Paramètres!$A$1:$I$89,3,0)*0.475*44/12</f>
        <v>0</v>
      </c>
      <c r="EC21" s="23">
        <f>EXP(-LN(2)/2)*EC20+(1-EXP(-LN(2)/2))/(LN(2)/2)*DW21*DZ21*VLOOKUP('Données projet'!$B$14,Paramètres!$A$1:$I$89,3,0)*0.475*44/12</f>
        <v>0</v>
      </c>
      <c r="ED21" s="24">
        <f t="shared" si="18"/>
        <v>0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10</v>
      </c>
      <c r="EJ21" s="13">
        <f>IF('Données projet'!$A$192&gt;35,EJ20+EI21-ER20,IF(A21&lt;'Données projet'!$A$192,$EG$205^A21,IF(A21='Données projet'!$A$192,'Données projet'!$B$192,EJ20+EI21-ER20)))</f>
        <v>79</v>
      </c>
      <c r="EK21" s="18">
        <f>EJ21*VLOOKUP('Données projet'!$B$15,Paramètres!$A$1:$I$89,3,0)*VLOOKUP('Données projet'!$B$15,Paramètres!$A$1:$I$89,5,0)</f>
        <v>64.084800000000001</v>
      </c>
      <c r="EL21" s="14">
        <f t="shared" si="45"/>
        <v>18.197042620605469</v>
      </c>
      <c r="EM21" s="22">
        <f t="shared" si="19"/>
        <v>143.30754256422119</v>
      </c>
      <c r="EN21" s="62">
        <f t="shared" si="20"/>
        <v>355.0768957562243</v>
      </c>
      <c r="EO21" s="62">
        <f ca="1">AVERAGE(OFFSET($EN$3,0,0,'Données projet'!$E$15+1,1))-AVERAGE(OFFSET($H$3,0,0,'Données projet'!$E$15+1,1))</f>
        <v>272.69564942740931</v>
      </c>
      <c r="EP21" s="62">
        <f t="shared" si="46"/>
        <v>316.57989180609252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>
        <f>EXP(-LN(2)/35)*EV20+(1-EXP(-LN(2)/35))/(LN(2)/35)*ER21*ES21*VLOOKUP('Données projet'!$B$15,Paramètres!$A$1:$I$89,3,0)*0.475*44/12</f>
        <v>0</v>
      </c>
      <c r="EW21" s="23">
        <f>EXP(-LN(2)/25)*EW20+(1-EXP(-LN(2)/25))/(LN(2)/25)*Calculateur!ER21*Calculateur!ET21*VLOOKUP('Données projet'!$B$15,Paramètres!$A$1:$I$89,3,0)*0.475*44/12</f>
        <v>0</v>
      </c>
      <c r="EX21" s="23">
        <f>EXP(-LN(2)/2)*EX20+(1-EXP(-LN(2)/2))/(LN(2)/2)*ER21*EU21*VLOOKUP('Données projet'!$B$15,Paramètres!$A$1:$I$89,3,0)*0.475*44/12</f>
        <v>0</v>
      </c>
      <c r="EY21" s="24">
        <f t="shared" si="21"/>
        <v>0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11.538461538461537</v>
      </c>
      <c r="FE21" s="13">
        <f>IF('Données projet'!$A$218&gt;35,FE20+FD21-FM20,IF(A21&lt;'Données projet'!$A$218,$FB$205^A21,IF(A21='Données projet'!$A$218,'Données projet'!$B$218,FE20+FD21-FM20)))</f>
        <v>135.25641025641025</v>
      </c>
      <c r="FF21" s="18">
        <f>FE21*VLOOKUP('Données projet'!$B$16,Paramètres!$A$1:$I$89,3,0)*VLOOKUP('Données projet'!$B$16,Paramètres!$A$1:$I$89,5,0)</f>
        <v>90.73</v>
      </c>
      <c r="FG21" s="14">
        <f t="shared" si="47"/>
        <v>24.741200554027884</v>
      </c>
      <c r="FH21" s="22">
        <f t="shared" si="22"/>
        <v>201.11234096493192</v>
      </c>
      <c r="FI21" s="62">
        <f t="shared" si="23"/>
        <v>412.88169415693505</v>
      </c>
      <c r="FJ21" s="62">
        <f ca="1">AVERAGE(OFFSET($FI$3,0,0,'Données projet'!$E$16+1,1))-AVERAGE(OFFSET($H$3,0,0,'Données projet'!$E$16+1,1))</f>
        <v>440.90856392064205</v>
      </c>
      <c r="FK21" s="62">
        <f t="shared" si="48"/>
        <v>373.33139300970629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>
        <f>EXP(-LN(2)/35)*FQ20+(1-EXP(-LN(2)/35))/(LN(2)/35)*FM21*FN21*VLOOKUP('Données projet'!$B$16,Paramètres!$A$1:$I$89,3,0)*0.475*44/12</f>
        <v>0</v>
      </c>
      <c r="FR21" s="23">
        <f>EXP(-LN(2)/25)*FR20+(1-EXP(-LN(2)/25))/(LN(2)/25)*Calculateur!FM21*Calculateur!FO21*VLOOKUP('Données projet'!$B$16,Paramètres!$A$1:$I$89,3,0)*0.475*44/12</f>
        <v>0</v>
      </c>
      <c r="FS21" s="23">
        <f>EXP(-LN(2)/2)*FS20+(1-EXP(-LN(2)/2))/(LN(2)/2)*FM21*FP21*VLOOKUP('Données projet'!$B$16,Paramètres!$A$1:$I$89,3,0)*0.475*44/12</f>
        <v>0</v>
      </c>
      <c r="FT21" s="24">
        <f t="shared" si="24"/>
        <v>0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70">
        <f t="shared" si="1"/>
        <v>183.33333333333334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3.65</v>
      </c>
      <c r="N22" s="14">
        <f>IF('Données projet'!$A$36&gt;35,N21+M22-V21,IF(A22&lt;'Données projet'!$A$36,$K$205^A22,IF(A22='Données projet'!$A$36,'Données projet'!$B$36,N21+M22-V21)))</f>
        <v>58.90561805764559</v>
      </c>
      <c r="O22" s="14">
        <f>N22*VLOOKUP('Données projet'!$B$9,Paramètres!$A$1:$I$89,3,0)*VLOOKUP('Données projet'!$B$9,Paramètres!$A$1:$I$89,5,0)</f>
        <v>53.297803218557732</v>
      </c>
      <c r="P22" s="14">
        <f t="shared" si="33"/>
        <v>15.462240012873817</v>
      </c>
      <c r="Q22" s="22">
        <f t="shared" si="2"/>
        <v>119.75707529474329</v>
      </c>
      <c r="R22" s="62">
        <f t="shared" si="0"/>
        <v>333.90916953776684</v>
      </c>
      <c r="S22" s="62">
        <f ca="1">AVERAGE(OFFSET($R$3,0,0,'Données projet'!$E$9+1,1))-AVERAGE(OFFSET($H$3,0,0,'Données projet'!$E$9+1,1))</f>
        <v>570.08763950759544</v>
      </c>
      <c r="T22" s="62">
        <f t="shared" si="34"/>
        <v>297.32483725004136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13.8</v>
      </c>
      <c r="AI22" s="14">
        <f>IF('Données projet'!$A$62&gt;35,AI21+AH22-AQ21,IF(A22&lt;'Données projet'!$A$62,$AF$205^A22,IF(A22='Données projet'!$A$62,'Données projet'!$B$62,AI21+AH22-AQ21)))</f>
        <v>120.19999999999999</v>
      </c>
      <c r="AJ22" s="14">
        <f>AI22*VLOOKUP('Données projet'!$B$10,Paramètres!$A$1:$I$89,3,0)*VLOOKUP('Données projet'!$B$10,Paramètres!$A$1:$I$89,5,0)</f>
        <v>95.631119999999996</v>
      </c>
      <c r="AK22" s="14">
        <f t="shared" si="35"/>
        <v>25.918481589892259</v>
      </c>
      <c r="AL22" s="22">
        <f t="shared" si="4"/>
        <v>211.698889435729</v>
      </c>
      <c r="AM22" s="62">
        <f t="shared" si="5"/>
        <v>425.85098367875253</v>
      </c>
      <c r="AN22" s="62">
        <f ca="1">AVERAGE(OFFSET($AM$3,0,0,'Données projet'!$E$10+1,1))-AVERAGE(OFFSET($H$3,0,0,'Données projet'!$E$10+1,1))</f>
        <v>394.70330963327166</v>
      </c>
      <c r="AO22" s="62">
        <f t="shared" si="36"/>
        <v>424.06445894109982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13.8</v>
      </c>
      <c r="BD22" s="13">
        <f>IF('Données projet'!$A$88&gt;35,BD21+BC22-BL21,IF(A22&lt;'Données projet'!$A$88,$BA$205^A22,IF(A22='Données projet'!$A$88,'Données projet'!$B$88,BD21+BC22-BL21)))</f>
        <v>120.19999999999999</v>
      </c>
      <c r="BE22" s="14">
        <f>BD22*VLOOKUP('Données projet'!$B$11,Paramètres!$A$1:$I$89,3,0)*VLOOKUP('Données projet'!$B$11,Paramètres!$A$1:$I$89,5,0)</f>
        <v>88.130639999999985</v>
      </c>
      <c r="BF22" s="14">
        <f t="shared" si="37"/>
        <v>24.113831111728981</v>
      </c>
      <c r="BG22" s="22">
        <f t="shared" si="7"/>
        <v>195.49245385292795</v>
      </c>
      <c r="BH22" s="62">
        <f t="shared" si="8"/>
        <v>409.64454809595145</v>
      </c>
      <c r="BI22" s="62">
        <f ca="1">AVERAGE(OFFSET($BH$3,0,0,'Données projet'!$E$11+1,1))-AVERAGE(OFFSET($H$3,0,0,'Données projet'!$E$11+1,1))</f>
        <v>368.54671978064204</v>
      </c>
      <c r="BJ22" s="62">
        <f t="shared" si="38"/>
        <v>395.83504504492237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9.6</v>
      </c>
      <c r="BY22" s="13">
        <f>IF('Données projet'!$A$114&gt;35,BY21+BX22-CG21,IF(A22&lt;'Données projet'!$A$114,$BV$205^A22,IF(A22='Données projet'!$A$114,'Données projet'!$B$114,BY21+BX22-CG21)))</f>
        <v>78.399999999999991</v>
      </c>
      <c r="BZ22" s="14">
        <f>BY22*VLOOKUP('Données projet'!$B$12,Paramètres!$A$1:$I$89,3,0)*VLOOKUP('Données projet'!$B$12,Paramètres!$A$1:$I$89,5,0)</f>
        <v>61.151999999999994</v>
      </c>
      <c r="CA22" s="14">
        <f t="shared" si="39"/>
        <v>17.459207591071255</v>
      </c>
      <c r="CB22" s="22">
        <f t="shared" si="10"/>
        <v>136.9145198877824</v>
      </c>
      <c r="CC22" s="62">
        <f t="shared" si="11"/>
        <v>351.06661413080593</v>
      </c>
      <c r="CD22" s="62">
        <f ca="1">AVERAGE(OFFSET($CC$3,0,0,'Données projet'!$E$12+1,1))-AVERAGE(OFFSET($H$3,0,0,'Données projet'!$E$12+1,1))</f>
        <v>309.21625451786218</v>
      </c>
      <c r="CE22" s="62">
        <f t="shared" si="40"/>
        <v>302.59481222418219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9.1025641025641022</v>
      </c>
      <c r="CT22" s="13">
        <f>IF('Données projet'!$A$140&gt;35,CT21+CS22-DB21,IF(A22&lt;'Données projet'!$A$140,$CQ$205^A22,IF(A22='Données projet'!$A$140,'Données projet'!$B$140,CT21+CS22-DB21)))</f>
        <v>105.64102564102564</v>
      </c>
      <c r="CU22" s="18">
        <f>CT22*VLOOKUP('Données projet'!$B$13,Paramètres!$A$1:$I$89,3,0)*VLOOKUP('Données projet'!$B$13,Paramètres!$A$1:$I$89,5,0)</f>
        <v>100.52799999999999</v>
      </c>
      <c r="CV22" s="14">
        <f t="shared" si="41"/>
        <v>27.087747688777924</v>
      </c>
      <c r="CW22" s="22">
        <f t="shared" si="13"/>
        <v>222.26409389128818</v>
      </c>
      <c r="CX22" s="62">
        <f t="shared" si="14"/>
        <v>436.41618813431171</v>
      </c>
      <c r="CY22" s="62">
        <f ca="1">AVERAGE(OFFSET($CX$3,0,0,'Données projet'!$E$13+1,1))-AVERAGE(OFFSET($H$3,0,0,'Données projet'!$E$13+1,1))</f>
        <v>491.87038198656927</v>
      </c>
      <c r="CZ22" s="62">
        <f t="shared" si="42"/>
        <v>406.49261644949559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3.65</v>
      </c>
      <c r="DO22" s="13">
        <f>IF('Données projet'!$A$166&gt;35,DO21+DN22-DW21,IF(A22&lt;'Données projet'!$A$166,$DL$205^A22,IF(A22='Données projet'!$A$166,'Données projet'!$B$166,DO21+DN22-DW21)))</f>
        <v>58.90561805764559</v>
      </c>
      <c r="DP22" s="18">
        <f>DO22*VLOOKUP('Données projet'!$B$14,Paramètres!$A$1:$I$89,3,0)*VLOOKUP('Données projet'!$B$14,Paramètres!$A$1:$I$89,5,0)</f>
        <v>56.973513785354818</v>
      </c>
      <c r="DQ22" s="14">
        <f t="shared" si="43"/>
        <v>16.400788649238766</v>
      </c>
      <c r="DR22" s="22">
        <f t="shared" si="16"/>
        <v>127.7935767402505</v>
      </c>
      <c r="DS22" s="62">
        <f t="shared" si="17"/>
        <v>341.945670983274</v>
      </c>
      <c r="DT22" s="62">
        <f ca="1">AVERAGE(OFFSET($DS$3,0,0,'Données projet'!$E$14+1,1))-AVERAGE(OFFSET($H$3,0,0,'Données projet'!$E$14+1,1))</f>
        <v>603.52431522262032</v>
      </c>
      <c r="DU22" s="62">
        <f t="shared" si="44"/>
        <v>313.56299786481338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projet'!$B$14,Paramètres!$A$1:$I$89,3,0)*0.475*44/12</f>
        <v>0</v>
      </c>
      <c r="EB22" s="23">
        <f>EXP(-LN(2)/25)*EB21+(1-EXP(-LN(2)/25))/(LN(2)/25)*Calculateur!DW22*Calculateur!DY22*VLOOKUP('Données projet'!$B$14,Paramètres!$A$1:$I$89,3,0)*0.475*44/12</f>
        <v>0</v>
      </c>
      <c r="EC22" s="23">
        <f>EXP(-LN(2)/2)*EC21+(1-EXP(-LN(2)/2))/(LN(2)/2)*DW22*DZ22*VLOOKUP('Données projet'!$B$14,Paramètres!$A$1:$I$89,3,0)*0.475*44/12</f>
        <v>0</v>
      </c>
      <c r="ED22" s="24">
        <f t="shared" si="18"/>
        <v>0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10</v>
      </c>
      <c r="EJ22" s="13">
        <f>IF('Données projet'!$A$192&gt;35,EJ21+EI22-ER21,IF(A22&lt;'Données projet'!$A$192,$EG$205^A22,IF(A22='Données projet'!$A$192,'Données projet'!$B$192,EJ21+EI22-ER21)))</f>
        <v>89</v>
      </c>
      <c r="EK22" s="18">
        <f>EJ22*VLOOKUP('Données projet'!$B$15,Paramètres!$A$1:$I$89,3,0)*VLOOKUP('Données projet'!$B$15,Paramètres!$A$1:$I$89,5,0)</f>
        <v>72.19680000000001</v>
      </c>
      <c r="EL22" s="14">
        <f t="shared" si="45"/>
        <v>20.218015459285922</v>
      </c>
      <c r="EM22" s="22">
        <f t="shared" si="19"/>
        <v>160.95580359158967</v>
      </c>
      <c r="EN22" s="62">
        <f t="shared" si="20"/>
        <v>375.1078978346132</v>
      </c>
      <c r="EO22" s="62">
        <f ca="1">AVERAGE(OFFSET($EN$3,0,0,'Données projet'!$E$15+1,1))-AVERAGE(OFFSET($H$3,0,0,'Données projet'!$E$15+1,1))</f>
        <v>272.69564942740931</v>
      </c>
      <c r="EP22" s="62">
        <f t="shared" si="46"/>
        <v>316.57989180609252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>
        <f>EXP(-LN(2)/35)*EV21+(1-EXP(-LN(2)/35))/(LN(2)/35)*ER22*ES22*VLOOKUP('Données projet'!$B$15,Paramètres!$A$1:$I$89,3,0)*0.475*44/12</f>
        <v>0</v>
      </c>
      <c r="EW22" s="23">
        <f>EXP(-LN(2)/25)*EW21+(1-EXP(-LN(2)/25))/(LN(2)/25)*Calculateur!ER22*Calculateur!ET22*VLOOKUP('Données projet'!$B$15,Paramètres!$A$1:$I$89,3,0)*0.475*44/12</f>
        <v>0</v>
      </c>
      <c r="EX22" s="23">
        <f>EXP(-LN(2)/2)*EX21+(1-EXP(-LN(2)/2))/(LN(2)/2)*ER22*EU22*VLOOKUP('Données projet'!$B$15,Paramètres!$A$1:$I$89,3,0)*0.475*44/12</f>
        <v>0</v>
      </c>
      <c r="EY22" s="24">
        <f t="shared" si="21"/>
        <v>0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11.538461538461537</v>
      </c>
      <c r="FE22" s="13">
        <f>IF('Données projet'!$A$218&gt;35,FE21+FD22-FM21,IF(A22&lt;'Données projet'!$A$218,$FB$205^A22,IF(A22='Données projet'!$A$218,'Données projet'!$B$218,FE21+FD22-FM21)))</f>
        <v>146.7948717948718</v>
      </c>
      <c r="FF22" s="18">
        <f>FE22*VLOOKUP('Données projet'!$B$16,Paramètres!$A$1:$I$89,3,0)*VLOOKUP('Données projet'!$B$16,Paramètres!$A$1:$I$89,5,0)</f>
        <v>98.47</v>
      </c>
      <c r="FG22" s="14">
        <f t="shared" si="47"/>
        <v>26.597169709505504</v>
      </c>
      <c r="FH22" s="22">
        <f t="shared" si="22"/>
        <v>217.82532057738877</v>
      </c>
      <c r="FI22" s="62">
        <f t="shared" si="23"/>
        <v>431.97741482041226</v>
      </c>
      <c r="FJ22" s="62">
        <f ca="1">AVERAGE(OFFSET($FI$3,0,0,'Données projet'!$E$16+1,1))-AVERAGE(OFFSET($H$3,0,0,'Données projet'!$E$16+1,1))</f>
        <v>440.90856392064205</v>
      </c>
      <c r="FK22" s="62">
        <f t="shared" si="48"/>
        <v>373.33139300970629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>
        <f>EXP(-LN(2)/35)*FQ21+(1-EXP(-LN(2)/35))/(LN(2)/35)*FM22*FN22*VLOOKUP('Données projet'!$B$16,Paramètres!$A$1:$I$89,3,0)*0.475*44/12</f>
        <v>0</v>
      </c>
      <c r="FR22" s="23">
        <f>EXP(-LN(2)/25)*FR21+(1-EXP(-LN(2)/25))/(LN(2)/25)*Calculateur!FM22*Calculateur!FO22*VLOOKUP('Données projet'!$B$16,Paramètres!$A$1:$I$89,3,0)*0.475*44/12</f>
        <v>0</v>
      </c>
      <c r="FS22" s="23">
        <f>EXP(-LN(2)/2)*FS21+(1-EXP(-LN(2)/2))/(LN(2)/2)*FM22*FP22*VLOOKUP('Données projet'!$B$16,Paramètres!$A$1:$I$89,3,0)*0.475*44/12</f>
        <v>0</v>
      </c>
      <c r="FT22" s="24">
        <f t="shared" si="24"/>
        <v>0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70">
        <f t="shared" si="1"/>
        <v>183.33333333333334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73</v>
      </c>
      <c r="L23" s="13">
        <f>VLOOKUP(A23,'Données projet'!$A$35:$I$55,9,0)</f>
        <v>3.65</v>
      </c>
      <c r="M23" s="13">
        <f t="array" ref="M23">INDEX(L:L,MIN(IF(ISNUMBER(L23:L219),ROW(L23:L219),"")))</f>
        <v>3.65</v>
      </c>
      <c r="N23" s="14">
        <f>IF('Données projet'!$A$36&gt;35,N22+M23-V22,IF(A23&lt;'Données projet'!$A$36,$K$205^A23,IF(A23='Données projet'!$A$36,'Données projet'!$B$36,N22+M23-V22)))</f>
        <v>73</v>
      </c>
      <c r="O23" s="14">
        <f>N23*VLOOKUP('Données projet'!$B$9,Paramètres!$A$1:$I$89,3,0)*VLOOKUP('Données projet'!$B$9,Paramètres!$A$1:$I$89,5,0)</f>
        <v>66.050399999999996</v>
      </c>
      <c r="P23" s="14">
        <f t="shared" si="33"/>
        <v>18.689342126897891</v>
      </c>
      <c r="Q23" s="22">
        <f t="shared" si="2"/>
        <v>147.58838420434714</v>
      </c>
      <c r="R23" s="62">
        <f t="shared" si="0"/>
        <v>364.10308709124286</v>
      </c>
      <c r="S23" s="62">
        <f ca="1">AVERAGE(OFFSET($R$3,0,0,'Données projet'!$E$9+1,1))-AVERAGE(OFFSET($H$3,0,0,'Données projet'!$E$9+1,1))</f>
        <v>570.08763950759544</v>
      </c>
      <c r="T23" s="62">
        <f t="shared" si="34"/>
        <v>297.32483725004136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134</v>
      </c>
      <c r="AG23" s="13">
        <f>VLOOKUP(A23,'Données projet'!$A$61:$I$81,9,0)</f>
        <v>13.8</v>
      </c>
      <c r="AH23" s="13">
        <f t="array" ref="AH23">INDEX(AG:AG,MIN(IF(ISNUMBER(AG23:AG219),ROW(AG23:AG219),"")))</f>
        <v>13.8</v>
      </c>
      <c r="AI23" s="14">
        <f>IF('Données projet'!$A$62&gt;35,AI22+AH23-AQ22,IF(A23&lt;'Données projet'!$A$62,$AF$205^A23,IF(A23='Données projet'!$A$62,'Données projet'!$B$62,AI22+AH23-AQ22)))</f>
        <v>134</v>
      </c>
      <c r="AJ23" s="14">
        <f>AI23*VLOOKUP('Données projet'!$B$10,Paramètres!$A$1:$I$89,3,0)*VLOOKUP('Données projet'!$B$10,Paramètres!$A$1:$I$89,5,0)</f>
        <v>106.61040000000001</v>
      </c>
      <c r="AK23" s="14">
        <f t="shared" si="35"/>
        <v>28.530919434405451</v>
      </c>
      <c r="AL23" s="22">
        <f t="shared" si="4"/>
        <v>235.3711313482562</v>
      </c>
      <c r="AM23" s="62">
        <f t="shared" si="5"/>
        <v>451.88583423515195</v>
      </c>
      <c r="AN23" s="62">
        <f ca="1">AVERAGE(OFFSET($AM$3,0,0,'Données projet'!$E$10+1,1))-AVERAGE(OFFSET($H$3,0,0,'Données projet'!$E$10+1,1))</f>
        <v>394.70330963327166</v>
      </c>
      <c r="AO23" s="62">
        <f t="shared" si="36"/>
        <v>424.06445894109982</v>
      </c>
      <c r="AP23" s="16">
        <f>IF(ISNA(VLOOKUP(A23,'Données projet'!$A$61:$I$81,3,0)),0,VLOOKUP(A23,'Données projet'!$A$61:$I$81,3,0))</f>
        <v>1</v>
      </c>
      <c r="AQ23" s="16">
        <f>IF(ISNA(VLOOKUP(A23,'Données projet'!$A$61:$I$81,4,0)),0,VLOOKUP(A23,'Données projet'!$A$61:$I$81,4,0))</f>
        <v>67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134</v>
      </c>
      <c r="BB23" s="13">
        <f>VLOOKUP(A23,'Données projet'!$A$87:$I$107,9,0)</f>
        <v>13.8</v>
      </c>
      <c r="BC23" s="13">
        <f t="array" ref="BC23">INDEX(BB:BB,MIN(IF(ISNUMBER(BB23:BB219),ROW(BB23:BB219),"")))</f>
        <v>13.8</v>
      </c>
      <c r="BD23" s="13">
        <f>IF('Données projet'!$A$88&gt;35,BD22+BC23-BL22,IF(A23&lt;'Données projet'!$A$88,$BA$205^A23,IF(A23='Données projet'!$A$88,'Données projet'!$B$88,BD22+BC23-BL22)))</f>
        <v>134</v>
      </c>
      <c r="BE23" s="14">
        <f>BD23*VLOOKUP('Données projet'!$B$11,Paramètres!$A$1:$I$89,3,0)*VLOOKUP('Données projet'!$B$11,Paramètres!$A$1:$I$89,5,0)</f>
        <v>98.248800000000003</v>
      </c>
      <c r="BF23" s="14">
        <f t="shared" si="37"/>
        <v>26.544370291039833</v>
      </c>
      <c r="BG23" s="22">
        <f t="shared" si="7"/>
        <v>217.34810492356107</v>
      </c>
      <c r="BH23" s="62">
        <f t="shared" si="8"/>
        <v>433.86280781045679</v>
      </c>
      <c r="BI23" s="62">
        <f ca="1">AVERAGE(OFFSET($BH$3,0,0,'Données projet'!$E$11+1,1))-AVERAGE(OFFSET($H$3,0,0,'Données projet'!$E$11+1,1))</f>
        <v>368.54671978064204</v>
      </c>
      <c r="BJ23" s="62">
        <f t="shared" si="38"/>
        <v>395.83504504492237</v>
      </c>
      <c r="BK23" s="16">
        <f>IF(ISNA(VLOOKUP(A23,'Données projet'!$A$87:$I$107,3,0)),0,VLOOKUP(A23,'Données projet'!$A$87:$I$107,3,0))</f>
        <v>1</v>
      </c>
      <c r="BL23" s="16">
        <f>IF(ISNA(VLOOKUP(A23,'Données projet'!$A$87:$I$107,4,0)),0,VLOOKUP(A23,'Données projet'!$A$87:$I$107,4,0))</f>
        <v>67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88</v>
      </c>
      <c r="BW23" s="13">
        <f>VLOOKUP(A23,'Données projet'!$A$113:$I$133,9,0)</f>
        <v>9.6</v>
      </c>
      <c r="BX23" s="13">
        <f t="array" ref="BX23">INDEX(BW:BW,MIN(IF(ISNUMBER(BW23:BW219),ROW(BW23:BW219),"")))</f>
        <v>9.6</v>
      </c>
      <c r="BY23" s="13">
        <f>IF('Données projet'!$A$114&gt;35,BY22+BX23-CG22,IF(A23&lt;'Données projet'!$A$114,$BV$205^A23,IF(A23='Données projet'!$A$114,'Données projet'!$B$114,BY22+BX23-CG22)))</f>
        <v>87.999999999999986</v>
      </c>
      <c r="BZ23" s="14">
        <f>BY23*VLOOKUP('Données projet'!$B$12,Paramètres!$A$1:$I$89,3,0)*VLOOKUP('Données projet'!$B$12,Paramètres!$A$1:$I$89,5,0)</f>
        <v>68.639999999999986</v>
      </c>
      <c r="CA23" s="14">
        <f t="shared" si="39"/>
        <v>19.335336956640202</v>
      </c>
      <c r="CB23" s="22">
        <f t="shared" si="10"/>
        <v>153.22371186614834</v>
      </c>
      <c r="CC23" s="62">
        <f t="shared" si="11"/>
        <v>369.73841475304403</v>
      </c>
      <c r="CD23" s="62">
        <f ca="1">AVERAGE(OFFSET($CC$3,0,0,'Données projet'!$E$12+1,1))-AVERAGE(OFFSET($H$3,0,0,'Données projet'!$E$12+1,1))</f>
        <v>309.21625451786218</v>
      </c>
      <c r="CE23" s="62">
        <f t="shared" si="40"/>
        <v>302.59481222418219</v>
      </c>
      <c r="CF23" s="16">
        <f>IF(ISNA(VLOOKUP(A23,'Données projet'!$A$113:$I$133,3,0)),0,VLOOKUP(A23,'Données projet'!$A$113:$I$133,3,0))</f>
        <v>1</v>
      </c>
      <c r="CG23" s="16">
        <f>IF(ISNA(VLOOKUP(A23,'Données projet'!$A$113:$I$133,4,0)),0,VLOOKUP(A23,'Données projet'!$A$113:$I$133,4,0))</f>
        <v>28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>
        <f>VLOOKUP(A23,'Données projet'!$A$139:$I$159,2,0)</f>
        <v>114.74358974358974</v>
      </c>
      <c r="CR23" s="13">
        <f>VLOOKUP(A23,'Données projet'!$A$139:$I$159,9,0)</f>
        <v>9.1025641025641022</v>
      </c>
      <c r="CS23" s="13">
        <f t="array" ref="CS23">INDEX(CR:CR,MIN(IF(ISNUMBER(CR23:CR219),ROW(CR23:CR219),"")))</f>
        <v>9.1025641025641022</v>
      </c>
      <c r="CT23" s="13">
        <f>IF('Données projet'!$A$140&gt;35,CT22+CS23-DB22,IF(A23&lt;'Données projet'!$A$140,$CQ$205^A23,IF(A23='Données projet'!$A$140,'Données projet'!$B$140,CT22+CS23-DB22)))</f>
        <v>114.74358974358974</v>
      </c>
      <c r="CU23" s="18">
        <f>CT23*VLOOKUP('Données projet'!$B$13,Paramètres!$A$1:$I$89,3,0)*VLOOKUP('Données projet'!$B$13,Paramètres!$A$1:$I$89,5,0)</f>
        <v>109.19</v>
      </c>
      <c r="CV23" s="14">
        <f t="shared" si="41"/>
        <v>29.1400602417173</v>
      </c>
      <c r="CW23" s="22">
        <f t="shared" si="13"/>
        <v>240.92485492099092</v>
      </c>
      <c r="CX23" s="62">
        <f t="shared" si="14"/>
        <v>457.43955780788667</v>
      </c>
      <c r="CY23" s="62">
        <f ca="1">AVERAGE(OFFSET($CX$3,0,0,'Données projet'!$E$13+1,1))-AVERAGE(OFFSET($H$3,0,0,'Données projet'!$E$13+1,1))</f>
        <v>491.87038198656927</v>
      </c>
      <c r="CZ23" s="62">
        <f t="shared" si="42"/>
        <v>406.49261644949559</v>
      </c>
      <c r="DA23" s="16">
        <f>IF(ISNA(VLOOKUP(A23,'Données projet'!$A$139:$I$159,3,0)),0,VLOOKUP(A23,'Données projet'!$A$139:$I$159,3,0))</f>
        <v>1</v>
      </c>
      <c r="DB23" s="16">
        <f>IF(ISNA(VLOOKUP(A23,'Données projet'!$A$139:$I$159,4,0)),0,VLOOKUP(A23,'Données projet'!$A$139:$I$159,4,0))</f>
        <v>34.615384615384613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>
        <f>VLOOKUP(A23,'Données projet'!$A$165:$I$185,2,0)</f>
        <v>73</v>
      </c>
      <c r="DM23" s="13">
        <f>VLOOKUP(A23,'Données projet'!$A$165:$I$185,9,0)</f>
        <v>3.65</v>
      </c>
      <c r="DN23" s="13">
        <f t="array" ref="DN23">INDEX(DM:DM,MIN(IF(ISNUMBER(DM23:DM219),ROW(DM23:DM219),"")))</f>
        <v>3.65</v>
      </c>
      <c r="DO23" s="13">
        <f>IF('Données projet'!$A$166&gt;35,DO22+DN23-DW22,IF(A23&lt;'Données projet'!$A$166,$DL$205^A23,IF(A23='Données projet'!$A$166,'Données projet'!$B$166,DO22+DN23-DW22)))</f>
        <v>73</v>
      </c>
      <c r="DP23" s="18">
        <f>DO23*VLOOKUP('Données projet'!$B$14,Paramètres!$A$1:$I$89,3,0)*VLOOKUP('Données projet'!$B$14,Paramètres!$A$1:$I$89,5,0)</f>
        <v>70.605599999999995</v>
      </c>
      <c r="DQ23" s="14">
        <f t="shared" si="43"/>
        <v>19.823773913828742</v>
      </c>
      <c r="DR23" s="22">
        <f t="shared" si="16"/>
        <v>157.49782623325171</v>
      </c>
      <c r="DS23" s="62">
        <f t="shared" si="17"/>
        <v>374.01252912014741</v>
      </c>
      <c r="DT23" s="62">
        <f ca="1">AVERAGE(OFFSET($DS$3,0,0,'Données projet'!$E$14+1,1))-AVERAGE(OFFSET($H$3,0,0,'Données projet'!$E$14+1,1))</f>
        <v>603.52431522262032</v>
      </c>
      <c r="DU23" s="62">
        <f t="shared" si="44"/>
        <v>313.56299786481338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projet'!$B$14,Paramètres!$A$1:$I$89,3,0)*0.475*44/12</f>
        <v>0</v>
      </c>
      <c r="EB23" s="23">
        <f>EXP(-LN(2)/25)*EB22+(1-EXP(-LN(2)/25))/(LN(2)/25)*Calculateur!DW23*Calculateur!DY23*VLOOKUP('Données projet'!$B$14,Paramètres!$A$1:$I$89,3,0)*0.475*44/12</f>
        <v>0</v>
      </c>
      <c r="EC23" s="23">
        <f>EXP(-LN(2)/2)*EC22+(1-EXP(-LN(2)/2))/(LN(2)/2)*DW23*DZ23*VLOOKUP('Données projet'!$B$14,Paramètres!$A$1:$I$89,3,0)*0.475*44/12</f>
        <v>0</v>
      </c>
      <c r="ED23" s="24">
        <f t="shared" si="18"/>
        <v>0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>
        <f>VLOOKUP(A23,'Données projet'!$A$191:$I$211,2,0)</f>
        <v>99</v>
      </c>
      <c r="EH23" s="13">
        <f>VLOOKUP(A23,'Données projet'!$A$191:$I$211,9,0)</f>
        <v>10</v>
      </c>
      <c r="EI23" s="13">
        <f t="array" ref="EI23">INDEX(EH:EH,MIN(IF(ISNUMBER(EH23:EH219),ROW(EH23:EH219),"")))</f>
        <v>10</v>
      </c>
      <c r="EJ23" s="13">
        <f>IF('Données projet'!$A$192&gt;35,EJ22+EI23-ER22,IF(A23&lt;'Données projet'!$A$192,$EG$205^A23,IF(A23='Données projet'!$A$192,'Données projet'!$B$192,EJ22+EI23-ER22)))</f>
        <v>99</v>
      </c>
      <c r="EK23" s="18">
        <f>EJ23*VLOOKUP('Données projet'!$B$15,Paramètres!$A$1:$I$89,3,0)*VLOOKUP('Données projet'!$B$15,Paramètres!$A$1:$I$89,5,0)</f>
        <v>80.308800000000005</v>
      </c>
      <c r="EL23" s="14">
        <f t="shared" si="45"/>
        <v>22.212670396389218</v>
      </c>
      <c r="EM23" s="22">
        <f t="shared" si="19"/>
        <v>178.55822760704453</v>
      </c>
      <c r="EN23" s="62">
        <f t="shared" si="20"/>
        <v>395.07293049394025</v>
      </c>
      <c r="EO23" s="62">
        <f ca="1">AVERAGE(OFFSET($EN$3,0,0,'Données projet'!$E$15+1,1))-AVERAGE(OFFSET($H$3,0,0,'Données projet'!$E$15+1,1))</f>
        <v>272.69564942740931</v>
      </c>
      <c r="EP23" s="62">
        <f t="shared" si="46"/>
        <v>316.57989180609252</v>
      </c>
      <c r="EQ23" s="16">
        <f>IF(ISNA(VLOOKUP(A23,'Données projet'!$A$191:$I$211,3,0)),0,VLOOKUP(A23,'Données projet'!$A$191:$I$211,3,0))</f>
        <v>1</v>
      </c>
      <c r="ER23" s="16">
        <f>IF(ISNA(VLOOKUP(A23,'Données projet'!$A$191:$I$211,4,0)),0,VLOOKUP(A23,'Données projet'!$A$191:$I$211,4,0))</f>
        <v>40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>
        <f>EXP(-LN(2)/35)*EV22+(1-EXP(-LN(2)/35))/(LN(2)/35)*ER23*ES23*VLOOKUP('Données projet'!$B$15,Paramètres!$A$1:$I$89,3,0)*0.475*44/12</f>
        <v>0</v>
      </c>
      <c r="EW23" s="23">
        <f>EXP(-LN(2)/25)*EW22+(1-EXP(-LN(2)/25))/(LN(2)/25)*Calculateur!ER23*Calculateur!ET23*VLOOKUP('Données projet'!$B$15,Paramètres!$A$1:$I$89,3,0)*0.475*44/12</f>
        <v>0</v>
      </c>
      <c r="EX23" s="23">
        <f>EXP(-LN(2)/2)*EX22+(1-EXP(-LN(2)/2))/(LN(2)/2)*ER23*EU23*VLOOKUP('Données projet'!$B$15,Paramètres!$A$1:$I$89,3,0)*0.475*44/12</f>
        <v>0</v>
      </c>
      <c r="EY23" s="24">
        <f t="shared" si="21"/>
        <v>0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>
        <f>VLOOKUP(A23,'Données projet'!$A$217:$I$237,2,0)</f>
        <v>158.33333333333331</v>
      </c>
      <c r="FC23" s="13">
        <f>VLOOKUP(A23,'Données projet'!$A$217:$I$237,9,0)</f>
        <v>11.538461538461537</v>
      </c>
      <c r="FD23" s="13">
        <f t="array" ref="FD23">INDEX(FC:FC,MIN(IF(ISNUMBER(FC23:FC219),ROW(FC23:FC219),"")))</f>
        <v>11.538461538461537</v>
      </c>
      <c r="FE23" s="13">
        <f>IF('Données projet'!$A$218&gt;35,FE22+FD23-FM22,IF(A23&lt;'Données projet'!$A$218,$FB$205^A23,IF(A23='Données projet'!$A$218,'Données projet'!$B$218,FE22+FD23-FM22)))</f>
        <v>158.33333333333334</v>
      </c>
      <c r="FF23" s="18">
        <f>FE23*VLOOKUP('Données projet'!$B$16,Paramètres!$A$1:$I$89,3,0)*VLOOKUP('Données projet'!$B$16,Paramètres!$A$1:$I$89,5,0)</f>
        <v>106.21000000000002</v>
      </c>
      <c r="FG23" s="14">
        <f t="shared" si="47"/>
        <v>28.436217026228483</v>
      </c>
      <c r="FH23" s="22">
        <f t="shared" si="22"/>
        <v>234.50882798734798</v>
      </c>
      <c r="FI23" s="62">
        <f t="shared" si="23"/>
        <v>451.0235308742437</v>
      </c>
      <c r="FJ23" s="62">
        <f ca="1">AVERAGE(OFFSET($FI$3,0,0,'Données projet'!$E$16+1,1))-AVERAGE(OFFSET($H$3,0,0,'Données projet'!$E$16+1,1))</f>
        <v>440.90856392064205</v>
      </c>
      <c r="FK23" s="62">
        <f t="shared" si="48"/>
        <v>373.33139300970629</v>
      </c>
      <c r="FL23" s="16">
        <f>IF(ISNA(VLOOKUP(A23,'Données projet'!$A$217:$I$237,3,0)),0,VLOOKUP(A23,'Données projet'!$A$217:$I$237,3,0))</f>
        <v>1</v>
      </c>
      <c r="FM23" s="16">
        <f>IF(ISNA(VLOOKUP(A23,'Données projet'!$A$217:$I$237,4,0)),0,VLOOKUP(A23,'Données projet'!$A$217:$I$237,4,0))</f>
        <v>48.717948717948715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>
        <f>EXP(-LN(2)/35)*FQ22+(1-EXP(-LN(2)/35))/(LN(2)/35)*FM23*FN23*VLOOKUP('Données projet'!$B$16,Paramètres!$A$1:$I$89,3,0)*0.475*44/12</f>
        <v>0</v>
      </c>
      <c r="FR23" s="23">
        <f>EXP(-LN(2)/25)*FR22+(1-EXP(-LN(2)/25))/(LN(2)/25)*Calculateur!FM23*Calculateur!FO23*VLOOKUP('Données projet'!$B$16,Paramètres!$A$1:$I$89,3,0)*0.475*44/12</f>
        <v>0</v>
      </c>
      <c r="FS23" s="23">
        <f>EXP(-LN(2)/2)*FS22+(1-EXP(-LN(2)/2))/(LN(2)/2)*FM23*FP23*VLOOKUP('Données projet'!$B$16,Paramètres!$A$1:$I$89,3,0)*0.475*44/12</f>
        <v>0</v>
      </c>
      <c r="FT23" s="24">
        <f t="shared" si="24"/>
        <v>0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70">
        <f t="shared" si="1"/>
        <v>183.33333333333334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7.2</v>
      </c>
      <c r="N24" s="14">
        <f>IF('Données projet'!$A$36&gt;35,N23+M24-V23,IF(A24&lt;'Données projet'!$A$36,$K$205^A24,IF(A24='Données projet'!$A$36,'Données projet'!$B$36,N23+M24-V23)))</f>
        <v>80.2</v>
      </c>
      <c r="O24" s="14">
        <f>N24*VLOOKUP('Données projet'!$B$9,Paramètres!$A$1:$I$89,3,0)*VLOOKUP('Données projet'!$B$9,Paramètres!$A$1:$I$89,5,0)</f>
        <v>72.564959999999999</v>
      </c>
      <c r="P24" s="14">
        <f t="shared" si="33"/>
        <v>20.30908732150932</v>
      </c>
      <c r="Q24" s="22">
        <f t="shared" si="2"/>
        <v>161.75563241829539</v>
      </c>
      <c r="R24" s="62">
        <f t="shared" si="0"/>
        <v>380.61316079416974</v>
      </c>
      <c r="S24" s="62">
        <f ca="1">AVERAGE(OFFSET($R$3,0,0,'Données projet'!$E$9+1,1))-AVERAGE(OFFSET($H$3,0,0,'Données projet'!$E$9+1,1))</f>
        <v>570.08763950759544</v>
      </c>
      <c r="T24" s="62">
        <f t="shared" si="34"/>
        <v>297.32483725004136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14.8</v>
      </c>
      <c r="AI24" s="14">
        <f>IF('Données projet'!$A$62&gt;35,AI23+AH24-AQ23,IF(A24&lt;'Données projet'!$A$62,$AF$205^A24,IF(A24='Données projet'!$A$62,'Données projet'!$B$62,AI23+AH24-AQ23)))</f>
        <v>81.800000000000011</v>
      </c>
      <c r="AJ24" s="14">
        <f>AI24*VLOOKUP('Données projet'!$B$10,Paramètres!$A$1:$I$89,3,0)*VLOOKUP('Données projet'!$B$10,Paramètres!$A$1:$I$89,5,0)</f>
        <v>65.080080000000009</v>
      </c>
      <c r="AK24" s="14">
        <f t="shared" si="35"/>
        <v>18.44653442602603</v>
      </c>
      <c r="AL24" s="22">
        <f t="shared" si="4"/>
        <v>145.47552012532867</v>
      </c>
      <c r="AM24" s="62">
        <f t="shared" si="5"/>
        <v>364.33304850120305</v>
      </c>
      <c r="AN24" s="62">
        <f ca="1">AVERAGE(OFFSET($AM$3,0,0,'Données projet'!$E$10+1,1))-AVERAGE(OFFSET($H$3,0,0,'Données projet'!$E$10+1,1))</f>
        <v>394.70330963327166</v>
      </c>
      <c r="AO24" s="62">
        <f t="shared" si="36"/>
        <v>424.06445894109982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14.8</v>
      </c>
      <c r="BD24" s="13">
        <f>IF('Données projet'!$A$88&gt;35,BD23+BC24-BL23,IF(A24&lt;'Données projet'!$A$88,$BA$205^A24,IF(A24='Données projet'!$A$88,'Données projet'!$B$88,BD23+BC24-BL23)))</f>
        <v>81.800000000000011</v>
      </c>
      <c r="BE24" s="14">
        <f>BD24*VLOOKUP('Données projet'!$B$11,Paramètres!$A$1:$I$89,3,0)*VLOOKUP('Données projet'!$B$11,Paramètres!$A$1:$I$89,5,0)</f>
        <v>59.975760000000008</v>
      </c>
      <c r="BF24" s="14">
        <f t="shared" si="37"/>
        <v>17.162140235844557</v>
      </c>
      <c r="BG24" s="22">
        <f t="shared" si="7"/>
        <v>134.34850957742927</v>
      </c>
      <c r="BH24" s="62">
        <f t="shared" si="8"/>
        <v>353.20603795330362</v>
      </c>
      <c r="BI24" s="62">
        <f ca="1">AVERAGE(OFFSET($BH$3,0,0,'Données projet'!$E$11+1,1))-AVERAGE(OFFSET($H$3,0,0,'Données projet'!$E$11+1,1))</f>
        <v>368.54671978064204</v>
      </c>
      <c r="BJ24" s="62">
        <f t="shared" si="38"/>
        <v>395.83504504492237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10.6</v>
      </c>
      <c r="BY24" s="13">
        <f>IF('Données projet'!$A$114&gt;35,BY23+BX24-CG23,IF(A24&lt;'Données projet'!$A$114,$BV$205^A24,IF(A24='Données projet'!$A$114,'Données projet'!$B$114,BY23+BX24-CG23)))</f>
        <v>70.59999999999998</v>
      </c>
      <c r="BZ24" s="14">
        <f>BY24*VLOOKUP('Données projet'!$B$12,Paramètres!$A$1:$I$89,3,0)*VLOOKUP('Données projet'!$B$12,Paramètres!$A$1:$I$89,5,0)</f>
        <v>55.067999999999984</v>
      </c>
      <c r="CA24" s="14">
        <f t="shared" si="39"/>
        <v>15.915148294580479</v>
      </c>
      <c r="CB24" s="22">
        <f t="shared" si="10"/>
        <v>123.62898327972762</v>
      </c>
      <c r="CC24" s="62">
        <f t="shared" si="11"/>
        <v>342.48651165560199</v>
      </c>
      <c r="CD24" s="62">
        <f ca="1">AVERAGE(OFFSET($CC$3,0,0,'Données projet'!$E$12+1,1))-AVERAGE(OFFSET($H$3,0,0,'Données projet'!$E$12+1,1))</f>
        <v>309.21625451786218</v>
      </c>
      <c r="CE24" s="62">
        <f t="shared" si="40"/>
        <v>302.59481222418219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8.9743589743589745</v>
      </c>
      <c r="CT24" s="13">
        <f>IF('Données projet'!$A$140&gt;35,CT23+CS24-DB23,IF(A24&lt;'Données projet'!$A$140,$CQ$205^A24,IF(A24='Données projet'!$A$140,'Données projet'!$B$140,CT23+CS24-DB23)))</f>
        <v>89.102564102564102</v>
      </c>
      <c r="CU24" s="18">
        <f>CT24*VLOOKUP('Données projet'!$B$13,Paramètres!$A$1:$I$89,3,0)*VLOOKUP('Données projet'!$B$13,Paramètres!$A$1:$I$89,5,0)</f>
        <v>84.79</v>
      </c>
      <c r="CV24" s="14">
        <f t="shared" si="41"/>
        <v>23.304370949070556</v>
      </c>
      <c r="CW24" s="22">
        <f t="shared" si="13"/>
        <v>188.2643627362979</v>
      </c>
      <c r="CX24" s="62">
        <f t="shared" si="14"/>
        <v>407.12189111217231</v>
      </c>
      <c r="CY24" s="62">
        <f ca="1">AVERAGE(OFFSET($CX$3,0,0,'Données projet'!$E$13+1,1))-AVERAGE(OFFSET($H$3,0,0,'Données projet'!$E$13+1,1))</f>
        <v>491.87038198656927</v>
      </c>
      <c r="CZ24" s="62">
        <f t="shared" si="42"/>
        <v>406.49261644949559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7.2</v>
      </c>
      <c r="DO24" s="13">
        <f>IF('Données projet'!$A$166&gt;35,DO23+DN24-DW23,IF(A24&lt;'Données projet'!$A$166,$DL$205^A24,IF(A24='Données projet'!$A$166,'Données projet'!$B$166,DO23+DN24-DW23)))</f>
        <v>80.2</v>
      </c>
      <c r="DP24" s="18">
        <f>DO24*VLOOKUP('Données projet'!$B$14,Paramètres!$A$1:$I$89,3,0)*VLOOKUP('Données projet'!$B$14,Paramètres!$A$1:$I$89,5,0)</f>
        <v>77.569440000000014</v>
      </c>
      <c r="DQ24" s="14">
        <f t="shared" si="43"/>
        <v>21.541836664136856</v>
      </c>
      <c r="DR24" s="22">
        <f t="shared" si="16"/>
        <v>172.61880685670505</v>
      </c>
      <c r="DS24" s="62">
        <f t="shared" si="17"/>
        <v>391.47633523257946</v>
      </c>
      <c r="DT24" s="62">
        <f ca="1">AVERAGE(OFFSET($DS$3,0,0,'Données projet'!$E$14+1,1))-AVERAGE(OFFSET($H$3,0,0,'Données projet'!$E$14+1,1))</f>
        <v>603.52431522262032</v>
      </c>
      <c r="DU24" s="62">
        <f t="shared" si="44"/>
        <v>313.56299786481338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projet'!$B$14,Paramètres!$A$1:$I$89,3,0)*0.475*44/12</f>
        <v>0</v>
      </c>
      <c r="EB24" s="23">
        <f>EXP(-LN(2)/25)*EB23+(1-EXP(-LN(2)/25))/(LN(2)/25)*Calculateur!DW24*Calculateur!DY24*VLOOKUP('Données projet'!$B$14,Paramètres!$A$1:$I$89,3,0)*0.475*44/12</f>
        <v>0</v>
      </c>
      <c r="EC24" s="23">
        <f>EXP(-LN(2)/2)*EC23+(1-EXP(-LN(2)/2))/(LN(2)/2)*DW24*DZ24*VLOOKUP('Données projet'!$B$14,Paramètres!$A$1:$I$89,3,0)*0.475*44/12</f>
        <v>0</v>
      </c>
      <c r="ED24" s="24">
        <f t="shared" si="18"/>
        <v>0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8.6</v>
      </c>
      <c r="EJ24" s="13">
        <f>IF('Données projet'!$A$192&gt;35,EJ23+EI24-ER23,IF(A24&lt;'Données projet'!$A$192,$EG$205^A24,IF(A24='Données projet'!$A$192,'Données projet'!$B$192,EJ23+EI24-ER23)))</f>
        <v>67.599999999999994</v>
      </c>
      <c r="EK24" s="18">
        <f>EJ24*VLOOKUP('Données projet'!$B$15,Paramètres!$A$1:$I$89,3,0)*VLOOKUP('Données projet'!$B$15,Paramètres!$A$1:$I$89,5,0)</f>
        <v>54.837120000000006</v>
      </c>
      <c r="EL24" s="14">
        <f t="shared" si="45"/>
        <v>15.856174437579886</v>
      </c>
      <c r="EM24" s="22">
        <f t="shared" si="19"/>
        <v>123.12415447878497</v>
      </c>
      <c r="EN24" s="62">
        <f t="shared" si="20"/>
        <v>341.98168285465937</v>
      </c>
      <c r="EO24" s="62">
        <f ca="1">AVERAGE(OFFSET($EN$3,0,0,'Données projet'!$E$15+1,1))-AVERAGE(OFFSET($H$3,0,0,'Données projet'!$E$15+1,1))</f>
        <v>272.69564942740931</v>
      </c>
      <c r="EP24" s="62">
        <f t="shared" si="46"/>
        <v>316.57989180609252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>
        <f>EXP(-LN(2)/35)*EV23+(1-EXP(-LN(2)/35))/(LN(2)/35)*ER24*ES24*VLOOKUP('Données projet'!$B$15,Paramètres!$A$1:$I$89,3,0)*0.475*44/12</f>
        <v>0</v>
      </c>
      <c r="EW24" s="23">
        <f>EXP(-LN(2)/25)*EW23+(1-EXP(-LN(2)/25))/(LN(2)/25)*Calculateur!ER24*Calculateur!ET24*VLOOKUP('Données projet'!$B$15,Paramètres!$A$1:$I$89,3,0)*0.475*44/12</f>
        <v>0</v>
      </c>
      <c r="EX24" s="23">
        <f>EXP(-LN(2)/2)*EX23+(1-EXP(-LN(2)/2))/(LN(2)/2)*ER24*EU24*VLOOKUP('Données projet'!$B$15,Paramètres!$A$1:$I$89,3,0)*0.475*44/12</f>
        <v>0</v>
      </c>
      <c r="EY24" s="24">
        <f t="shared" si="21"/>
        <v>0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11.025641025641031</v>
      </c>
      <c r="FE24" s="13">
        <f>IF('Données projet'!$A$218&gt;35,FE23+FD24-FM23,IF(A24&lt;'Données projet'!$A$218,$FB$205^A24,IF(A24='Données projet'!$A$218,'Données projet'!$B$218,FE23+FD24-FM23)))</f>
        <v>120.64102564102565</v>
      </c>
      <c r="FF24" s="18">
        <f>FE24*VLOOKUP('Données projet'!$B$16,Paramètres!$A$1:$I$89,3,0)*VLOOKUP('Données projet'!$B$16,Paramètres!$A$1:$I$89,5,0)</f>
        <v>80.926000000000016</v>
      </c>
      <c r="FG24" s="14">
        <f t="shared" si="47"/>
        <v>22.363444069944872</v>
      </c>
      <c r="FH24" s="22">
        <f t="shared" si="22"/>
        <v>179.89578175515399</v>
      </c>
      <c r="FI24" s="62">
        <f t="shared" si="23"/>
        <v>398.75331013102834</v>
      </c>
      <c r="FJ24" s="62">
        <f ca="1">AVERAGE(OFFSET($FI$3,0,0,'Données projet'!$E$16+1,1))-AVERAGE(OFFSET($H$3,0,0,'Données projet'!$E$16+1,1))</f>
        <v>440.90856392064205</v>
      </c>
      <c r="FK24" s="62">
        <f t="shared" si="48"/>
        <v>373.33139300970629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>
        <f>EXP(-LN(2)/35)*FQ23+(1-EXP(-LN(2)/35))/(LN(2)/35)*FM24*FN24*VLOOKUP('Données projet'!$B$16,Paramètres!$A$1:$I$89,3,0)*0.475*44/12</f>
        <v>0</v>
      </c>
      <c r="FR24" s="23">
        <f>EXP(-LN(2)/25)*FR23+(1-EXP(-LN(2)/25))/(LN(2)/25)*Calculateur!FM24*Calculateur!FO24*VLOOKUP('Données projet'!$B$16,Paramètres!$A$1:$I$89,3,0)*0.475*44/12</f>
        <v>0</v>
      </c>
      <c r="FS24" s="23">
        <f>EXP(-LN(2)/2)*FS23+(1-EXP(-LN(2)/2))/(LN(2)/2)*FM24*FP24*VLOOKUP('Données projet'!$B$16,Paramètres!$A$1:$I$89,3,0)*0.475*44/12</f>
        <v>0</v>
      </c>
      <c r="FT24" s="24">
        <f t="shared" si="24"/>
        <v>0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70">
        <f t="shared" si="1"/>
        <v>183.33333333333334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7.2</v>
      </c>
      <c r="N25" s="14">
        <f>IF('Données projet'!$A$36&gt;35,N24+M25-V24,IF(A25&lt;'Données projet'!$A$36,$K$205^A25,IF(A25='Données projet'!$A$36,'Données projet'!$B$36,N24+M25-V24)))</f>
        <v>87.4</v>
      </c>
      <c r="O25" s="14">
        <f>N25*VLOOKUP('Données projet'!$B$9,Paramètres!$A$1:$I$89,3,0)*VLOOKUP('Données projet'!$B$9,Paramètres!$A$1:$I$89,5,0)</f>
        <v>79.079520000000002</v>
      </c>
      <c r="P25" s="14">
        <f t="shared" si="33"/>
        <v>21.911970621402002</v>
      </c>
      <c r="Q25" s="22">
        <f t="shared" si="2"/>
        <v>175.89351283227515</v>
      </c>
      <c r="R25" s="62">
        <f t="shared" si="0"/>
        <v>397.07442673574354</v>
      </c>
      <c r="S25" s="62">
        <f ca="1">AVERAGE(OFFSET($R$3,0,0,'Données projet'!$E$9+1,1))-AVERAGE(OFFSET($H$3,0,0,'Données projet'!$E$9+1,1))</f>
        <v>570.08763950759544</v>
      </c>
      <c r="T25" s="62">
        <f t="shared" si="34"/>
        <v>297.32483725004136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14.8</v>
      </c>
      <c r="AI25" s="14">
        <f>IF('Données projet'!$A$62&gt;35,AI24+AH25-AQ24,IF(A25&lt;'Données projet'!$A$62,$AF$205^A25,IF(A25='Données projet'!$A$62,'Données projet'!$B$62,AI24+AH25-AQ24)))</f>
        <v>96.600000000000009</v>
      </c>
      <c r="AJ25" s="14">
        <f>AI25*VLOOKUP('Données projet'!$B$10,Paramètres!$A$1:$I$89,3,0)*VLOOKUP('Données projet'!$B$10,Paramètres!$A$1:$I$89,5,0)</f>
        <v>76.854960000000005</v>
      </c>
      <c r="AK25" s="14">
        <f t="shared" si="35"/>
        <v>21.366419773799993</v>
      </c>
      <c r="AL25" s="22">
        <f t="shared" si="4"/>
        <v>171.06890310603498</v>
      </c>
      <c r="AM25" s="62">
        <f t="shared" si="5"/>
        <v>392.24981700950337</v>
      </c>
      <c r="AN25" s="62">
        <f ca="1">AVERAGE(OFFSET($AM$3,0,0,'Données projet'!$E$10+1,1))-AVERAGE(OFFSET($H$3,0,0,'Données projet'!$E$10+1,1))</f>
        <v>394.70330963327166</v>
      </c>
      <c r="AO25" s="62">
        <f t="shared" si="36"/>
        <v>424.06445894109982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14.8</v>
      </c>
      <c r="BD25" s="13">
        <f>IF('Données projet'!$A$88&gt;35,BD24+BC25-BL24,IF(A25&lt;'Données projet'!$A$88,$BA$205^A25,IF(A25='Données projet'!$A$88,'Données projet'!$B$88,BD24+BC25-BL24)))</f>
        <v>96.600000000000009</v>
      </c>
      <c r="BE25" s="14">
        <f>BD25*VLOOKUP('Données projet'!$B$11,Paramètres!$A$1:$I$89,3,0)*VLOOKUP('Données projet'!$B$11,Paramètres!$A$1:$I$89,5,0)</f>
        <v>70.827120000000008</v>
      </c>
      <c r="BF25" s="14">
        <f t="shared" si="37"/>
        <v>19.878719982140034</v>
      </c>
      <c r="BG25" s="22">
        <f t="shared" si="7"/>
        <v>157.97933796889393</v>
      </c>
      <c r="BH25" s="62">
        <f t="shared" si="8"/>
        <v>379.16025187236232</v>
      </c>
      <c r="BI25" s="62">
        <f ca="1">AVERAGE(OFFSET($BH$3,0,0,'Données projet'!$E$11+1,1))-AVERAGE(OFFSET($H$3,0,0,'Données projet'!$E$11+1,1))</f>
        <v>368.54671978064204</v>
      </c>
      <c r="BJ25" s="62">
        <f t="shared" si="38"/>
        <v>395.83504504492237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10.6</v>
      </c>
      <c r="BY25" s="13">
        <f>IF('Données projet'!$A$114&gt;35,BY24+BX25-CG24,IF(A25&lt;'Données projet'!$A$114,$BV$205^A25,IF(A25='Données projet'!$A$114,'Données projet'!$B$114,BY24+BX25-CG24)))</f>
        <v>81.199999999999974</v>
      </c>
      <c r="BZ25" s="14">
        <f>BY25*VLOOKUP('Données projet'!$B$12,Paramètres!$A$1:$I$89,3,0)*VLOOKUP('Données projet'!$B$12,Paramètres!$A$1:$I$89,5,0)</f>
        <v>63.335999999999984</v>
      </c>
      <c r="CA25" s="14">
        <f t="shared" si="39"/>
        <v>18.009040022946227</v>
      </c>
      <c r="CB25" s="22">
        <f t="shared" si="10"/>
        <v>141.67594470663133</v>
      </c>
      <c r="CC25" s="62">
        <f t="shared" si="11"/>
        <v>362.85685861009972</v>
      </c>
      <c r="CD25" s="62">
        <f ca="1">AVERAGE(OFFSET($CC$3,0,0,'Données projet'!$E$12+1,1))-AVERAGE(OFFSET($H$3,0,0,'Données projet'!$E$12+1,1))</f>
        <v>309.21625451786218</v>
      </c>
      <c r="CE25" s="62">
        <f t="shared" si="40"/>
        <v>302.59481222418219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8.9743589743589745</v>
      </c>
      <c r="CT25" s="13">
        <f>IF('Données projet'!$A$140&gt;35,CT24+CS25-DB24,IF(A25&lt;'Données projet'!$A$140,$CQ$205^A25,IF(A25='Données projet'!$A$140,'Données projet'!$B$140,CT24+CS25-DB24)))</f>
        <v>98.07692307692308</v>
      </c>
      <c r="CU25" s="18">
        <f>CT25*VLOOKUP('Données projet'!$B$13,Paramètres!$A$1:$I$89,3,0)*VLOOKUP('Données projet'!$B$13,Paramètres!$A$1:$I$89,5,0)</f>
        <v>93.330000000000013</v>
      </c>
      <c r="CV25" s="14">
        <f t="shared" si="41"/>
        <v>25.366634734804254</v>
      </c>
      <c r="CW25" s="22">
        <f t="shared" si="13"/>
        <v>206.7299721631174</v>
      </c>
      <c r="CX25" s="62">
        <f t="shared" si="14"/>
        <v>427.91088606658582</v>
      </c>
      <c r="CY25" s="62">
        <f ca="1">AVERAGE(OFFSET($CX$3,0,0,'Données projet'!$E$13+1,1))-AVERAGE(OFFSET($H$3,0,0,'Données projet'!$E$13+1,1))</f>
        <v>491.87038198656927</v>
      </c>
      <c r="CZ25" s="62">
        <f t="shared" si="42"/>
        <v>406.49261644949559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7.2</v>
      </c>
      <c r="DO25" s="13">
        <f>IF('Données projet'!$A$166&gt;35,DO24+DN25-DW24,IF(A25&lt;'Données projet'!$A$166,$DL$205^A25,IF(A25='Données projet'!$A$166,'Données projet'!$B$166,DO24+DN25-DW24)))</f>
        <v>87.4</v>
      </c>
      <c r="DP25" s="18">
        <f>DO25*VLOOKUP('Données projet'!$B$14,Paramètres!$A$1:$I$89,3,0)*VLOOKUP('Données projet'!$B$14,Paramètres!$A$1:$I$89,5,0)</f>
        <v>84.533280000000005</v>
      </c>
      <c r="DQ25" s="14">
        <f t="shared" si="43"/>
        <v>23.242014012893971</v>
      </c>
      <c r="DR25" s="22">
        <f t="shared" si="16"/>
        <v>187.70863707245701</v>
      </c>
      <c r="DS25" s="62">
        <f t="shared" si="17"/>
        <v>408.88955097592543</v>
      </c>
      <c r="DT25" s="62">
        <f ca="1">AVERAGE(OFFSET($DS$3,0,0,'Données projet'!$E$14+1,1))-AVERAGE(OFFSET($H$3,0,0,'Données projet'!$E$14+1,1))</f>
        <v>603.52431522262032</v>
      </c>
      <c r="DU25" s="62">
        <f t="shared" si="44"/>
        <v>313.56299786481338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projet'!$B$14,Paramètres!$A$1:$I$89,3,0)*0.475*44/12</f>
        <v>0</v>
      </c>
      <c r="EB25" s="23">
        <f>EXP(-LN(2)/25)*EB24+(1-EXP(-LN(2)/25))/(LN(2)/25)*Calculateur!DW25*Calculateur!DY25*VLOOKUP('Données projet'!$B$14,Paramètres!$A$1:$I$89,3,0)*0.475*44/12</f>
        <v>0</v>
      </c>
      <c r="EC25" s="23">
        <f>EXP(-LN(2)/2)*EC24+(1-EXP(-LN(2)/2))/(LN(2)/2)*DW25*DZ25*VLOOKUP('Données projet'!$B$14,Paramètres!$A$1:$I$89,3,0)*0.475*44/12</f>
        <v>0</v>
      </c>
      <c r="ED25" s="24">
        <f t="shared" si="18"/>
        <v>0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8.6</v>
      </c>
      <c r="EJ25" s="13">
        <f>IF('Données projet'!$A$192&gt;35,EJ24+EI25-ER24,IF(A25&lt;'Données projet'!$A$192,$EG$205^A25,IF(A25='Données projet'!$A$192,'Données projet'!$B$192,EJ24+EI25-ER24)))</f>
        <v>76.199999999999989</v>
      </c>
      <c r="EK25" s="18">
        <f>EJ25*VLOOKUP('Données projet'!$B$15,Paramètres!$A$1:$I$89,3,0)*VLOOKUP('Données projet'!$B$15,Paramètres!$A$1:$I$89,5,0)</f>
        <v>61.813439999999993</v>
      </c>
      <c r="EL25" s="14">
        <f t="shared" si="45"/>
        <v>17.625965961121132</v>
      </c>
      <c r="EM25" s="22">
        <f t="shared" si="19"/>
        <v>138.35696538228595</v>
      </c>
      <c r="EN25" s="62">
        <f t="shared" si="20"/>
        <v>359.53787928575434</v>
      </c>
      <c r="EO25" s="62">
        <f ca="1">AVERAGE(OFFSET($EN$3,0,0,'Données projet'!$E$15+1,1))-AVERAGE(OFFSET($H$3,0,0,'Données projet'!$E$15+1,1))</f>
        <v>272.69564942740931</v>
      </c>
      <c r="EP25" s="62">
        <f t="shared" si="46"/>
        <v>316.57989180609252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>
        <f>EXP(-LN(2)/35)*EV24+(1-EXP(-LN(2)/35))/(LN(2)/35)*ER25*ES25*VLOOKUP('Données projet'!$B$15,Paramètres!$A$1:$I$89,3,0)*0.475*44/12</f>
        <v>0</v>
      </c>
      <c r="EW25" s="23">
        <f>EXP(-LN(2)/25)*EW24+(1-EXP(-LN(2)/25))/(LN(2)/25)*Calculateur!ER25*Calculateur!ET25*VLOOKUP('Données projet'!$B$15,Paramètres!$A$1:$I$89,3,0)*0.475*44/12</f>
        <v>0</v>
      </c>
      <c r="EX25" s="23">
        <f>EXP(-LN(2)/2)*EX24+(1-EXP(-LN(2)/2))/(LN(2)/2)*ER25*EU25*VLOOKUP('Données projet'!$B$15,Paramètres!$A$1:$I$89,3,0)*0.475*44/12</f>
        <v>0</v>
      </c>
      <c r="EY25" s="24">
        <f t="shared" si="21"/>
        <v>0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11.025641025641031</v>
      </c>
      <c r="FE25" s="13">
        <f>IF('Données projet'!$A$218&gt;35,FE24+FD25-FM24,IF(A25&lt;'Données projet'!$A$218,$FB$205^A25,IF(A25='Données projet'!$A$218,'Données projet'!$B$218,FE24+FD25-FM24)))</f>
        <v>131.66666666666669</v>
      </c>
      <c r="FF25" s="18">
        <f>FE25*VLOOKUP('Données projet'!$B$16,Paramètres!$A$1:$I$89,3,0)*VLOOKUP('Données projet'!$B$16,Paramètres!$A$1:$I$89,5,0)</f>
        <v>88.322000000000017</v>
      </c>
      <c r="FG25" s="14">
        <f t="shared" si="47"/>
        <v>24.160089587553898</v>
      </c>
      <c r="FH25" s="22">
        <f t="shared" si="22"/>
        <v>195.90630603165638</v>
      </c>
      <c r="FI25" s="62">
        <f t="shared" si="23"/>
        <v>417.08721993512478</v>
      </c>
      <c r="FJ25" s="62">
        <f ca="1">AVERAGE(OFFSET($FI$3,0,0,'Données projet'!$E$16+1,1))-AVERAGE(OFFSET($H$3,0,0,'Données projet'!$E$16+1,1))</f>
        <v>440.90856392064205</v>
      </c>
      <c r="FK25" s="62">
        <f t="shared" si="48"/>
        <v>373.33139300970629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>
        <f>EXP(-LN(2)/35)*FQ24+(1-EXP(-LN(2)/35))/(LN(2)/35)*FM25*FN25*VLOOKUP('Données projet'!$B$16,Paramètres!$A$1:$I$89,3,0)*0.475*44/12</f>
        <v>0</v>
      </c>
      <c r="FR25" s="23">
        <f>EXP(-LN(2)/25)*FR24+(1-EXP(-LN(2)/25))/(LN(2)/25)*Calculateur!FM25*Calculateur!FO25*VLOOKUP('Données projet'!$B$16,Paramètres!$A$1:$I$89,3,0)*0.475*44/12</f>
        <v>0</v>
      </c>
      <c r="FS25" s="23">
        <f>EXP(-LN(2)/2)*FS24+(1-EXP(-LN(2)/2))/(LN(2)/2)*FM25*FP25*VLOOKUP('Données projet'!$B$16,Paramètres!$A$1:$I$89,3,0)*0.475*44/12</f>
        <v>0</v>
      </c>
      <c r="FT25" s="24">
        <f t="shared" si="24"/>
        <v>0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70">
        <f t="shared" si="1"/>
        <v>183.33333333333334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7.2</v>
      </c>
      <c r="N26" s="14">
        <f>IF('Données projet'!$A$36&gt;35,N25+M26-V25,IF(A26&lt;'Données projet'!$A$36,$K$205^A26,IF(A26='Données projet'!$A$36,'Données projet'!$B$36,N25+M26-V25)))</f>
        <v>94.600000000000009</v>
      </c>
      <c r="O26" s="14">
        <f>N26*VLOOKUP('Données projet'!$B$9,Paramètres!$A$1:$I$89,3,0)*VLOOKUP('Données projet'!$B$9,Paramètres!$A$1:$I$89,5,0)</f>
        <v>85.594080000000005</v>
      </c>
      <c r="P26" s="14">
        <f t="shared" si="33"/>
        <v>23.499539031833248</v>
      </c>
      <c r="Q26" s="22">
        <f t="shared" si="2"/>
        <v>190.00471981377623</v>
      </c>
      <c r="R26" s="62">
        <f t="shared" si="0"/>
        <v>413.48991652332273</v>
      </c>
      <c r="S26" s="62">
        <f ca="1">AVERAGE(OFFSET($R$3,0,0,'Données projet'!$E$9+1,1))-AVERAGE(OFFSET($H$3,0,0,'Données projet'!$E$9+1,1))</f>
        <v>570.08763950759544</v>
      </c>
      <c r="T26" s="62">
        <f t="shared" si="34"/>
        <v>297.32483725004136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14.8</v>
      </c>
      <c r="AI26" s="14">
        <f>IF('Données projet'!$A$62&gt;35,AI25+AH26-AQ25,IF(A26&lt;'Données projet'!$A$62,$AF$205^A26,IF(A26='Données projet'!$A$62,'Données projet'!$B$62,AI25+AH26-AQ25)))</f>
        <v>111.4</v>
      </c>
      <c r="AJ26" s="14">
        <f>AI26*VLOOKUP('Données projet'!$B$10,Paramètres!$A$1:$I$89,3,0)*VLOOKUP('Données projet'!$B$10,Paramètres!$A$1:$I$89,5,0)</f>
        <v>88.629840000000016</v>
      </c>
      <c r="AK26" s="14">
        <f t="shared" si="35"/>
        <v>24.234480932534542</v>
      </c>
      <c r="AL26" s="22">
        <f t="shared" si="4"/>
        <v>196.57202562416433</v>
      </c>
      <c r="AM26" s="62">
        <f t="shared" si="5"/>
        <v>420.0572223337108</v>
      </c>
      <c r="AN26" s="62">
        <f ca="1">AVERAGE(OFFSET($AM$3,0,0,'Données projet'!$E$10+1,1))-AVERAGE(OFFSET($H$3,0,0,'Données projet'!$E$10+1,1))</f>
        <v>394.70330963327166</v>
      </c>
      <c r="AO26" s="62">
        <f t="shared" si="36"/>
        <v>424.06445894109982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14.8</v>
      </c>
      <c r="BD26" s="13">
        <f>IF('Données projet'!$A$88&gt;35,BD25+BC26-BL25,IF(A26&lt;'Données projet'!$A$88,$BA$205^A26,IF(A26='Données projet'!$A$88,'Données projet'!$B$88,BD25+BC26-BL25)))</f>
        <v>111.4</v>
      </c>
      <c r="BE26" s="14">
        <f>BD26*VLOOKUP('Données projet'!$B$11,Paramètres!$A$1:$I$89,3,0)*VLOOKUP('Données projet'!$B$11,Paramètres!$A$1:$I$89,5,0)</f>
        <v>81.678479999999993</v>
      </c>
      <c r="BF26" s="14">
        <f t="shared" si="37"/>
        <v>22.547083950915322</v>
      </c>
      <c r="BG26" s="22">
        <f t="shared" si="7"/>
        <v>181.52619054784418</v>
      </c>
      <c r="BH26" s="62">
        <f t="shared" si="8"/>
        <v>405.01138725739065</v>
      </c>
      <c r="BI26" s="62">
        <f ca="1">AVERAGE(OFFSET($BH$3,0,0,'Données projet'!$E$11+1,1))-AVERAGE(OFFSET($H$3,0,0,'Données projet'!$E$11+1,1))</f>
        <v>368.54671978064204</v>
      </c>
      <c r="BJ26" s="62">
        <f t="shared" si="38"/>
        <v>395.83504504492237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10.6</v>
      </c>
      <c r="BY26" s="13">
        <f>IF('Données projet'!$A$114&gt;35,BY25+BX26-CG25,IF(A26&lt;'Données projet'!$A$114,$BV$205^A26,IF(A26='Données projet'!$A$114,'Données projet'!$B$114,BY25+BX26-CG25)))</f>
        <v>91.799999999999969</v>
      </c>
      <c r="BZ26" s="14">
        <f>BY26*VLOOKUP('Données projet'!$B$12,Paramètres!$A$1:$I$89,3,0)*VLOOKUP('Données projet'!$B$12,Paramètres!$A$1:$I$89,5,0)</f>
        <v>71.603999999999985</v>
      </c>
      <c r="CA26" s="14">
        <f t="shared" si="39"/>
        <v>20.071260561992585</v>
      </c>
      <c r="CB26" s="22">
        <f t="shared" si="10"/>
        <v>159.66774547880371</v>
      </c>
      <c r="CC26" s="62">
        <f t="shared" si="11"/>
        <v>383.15294218835021</v>
      </c>
      <c r="CD26" s="62">
        <f ca="1">AVERAGE(OFFSET($CC$3,0,0,'Données projet'!$E$12+1,1))-AVERAGE(OFFSET($H$3,0,0,'Données projet'!$E$12+1,1))</f>
        <v>309.21625451786218</v>
      </c>
      <c r="CE26" s="62">
        <f t="shared" si="40"/>
        <v>302.59481222418219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8.9743589743589745</v>
      </c>
      <c r="CT26" s="13">
        <f>IF('Données projet'!$A$140&gt;35,CT25+CS26-DB25,IF(A26&lt;'Données projet'!$A$140,$CQ$205^A26,IF(A26='Données projet'!$A$140,'Données projet'!$B$140,CT25+CS26-DB25)))</f>
        <v>107.05128205128206</v>
      </c>
      <c r="CU26" s="18">
        <f>CT26*VLOOKUP('Données projet'!$B$13,Paramètres!$A$1:$I$89,3,0)*VLOOKUP('Données projet'!$B$13,Paramètres!$A$1:$I$89,5,0)</f>
        <v>101.87000000000002</v>
      </c>
      <c r="CV26" s="14">
        <f t="shared" si="41"/>
        <v>27.407017745417946</v>
      </c>
      <c r="CW26" s="22">
        <f t="shared" si="13"/>
        <v>225.15747257326962</v>
      </c>
      <c r="CX26" s="62">
        <f t="shared" si="14"/>
        <v>448.64266928281609</v>
      </c>
      <c r="CY26" s="62">
        <f ca="1">AVERAGE(OFFSET($CX$3,0,0,'Données projet'!$E$13+1,1))-AVERAGE(OFFSET($H$3,0,0,'Données projet'!$E$13+1,1))</f>
        <v>491.87038198656927</v>
      </c>
      <c r="CZ26" s="62">
        <f t="shared" si="42"/>
        <v>406.49261644949559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7.2</v>
      </c>
      <c r="DO26" s="13">
        <f>IF('Données projet'!$A$166&gt;35,DO25+DN26-DW25,IF(A26&lt;'Données projet'!$A$166,$DL$205^A26,IF(A26='Données projet'!$A$166,'Données projet'!$B$166,DO25+DN26-DW25)))</f>
        <v>94.600000000000009</v>
      </c>
      <c r="DP26" s="18">
        <f>DO26*VLOOKUP('Données projet'!$B$14,Paramètres!$A$1:$I$89,3,0)*VLOOKUP('Données projet'!$B$14,Paramètres!$A$1:$I$89,5,0)</f>
        <v>91.49712000000001</v>
      </c>
      <c r="DQ26" s="14">
        <f t="shared" si="43"/>
        <v>24.925946867642839</v>
      </c>
      <c r="DR26" s="22">
        <f t="shared" si="16"/>
        <v>202.77017479447795</v>
      </c>
      <c r="DS26" s="62">
        <f t="shared" si="17"/>
        <v>426.25537150402442</v>
      </c>
      <c r="DT26" s="62">
        <f ca="1">AVERAGE(OFFSET($DS$3,0,0,'Données projet'!$E$14+1,1))-AVERAGE(OFFSET($H$3,0,0,'Données projet'!$E$14+1,1))</f>
        <v>603.52431522262032</v>
      </c>
      <c r="DU26" s="62">
        <f t="shared" si="44"/>
        <v>313.56299786481338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projet'!$B$14,Paramètres!$A$1:$I$89,3,0)*0.475*44/12</f>
        <v>0</v>
      </c>
      <c r="EB26" s="23">
        <f>EXP(-LN(2)/25)*EB25+(1-EXP(-LN(2)/25))/(LN(2)/25)*Calculateur!DW26*Calculateur!DY26*VLOOKUP('Données projet'!$B$14,Paramètres!$A$1:$I$89,3,0)*0.475*44/12</f>
        <v>0</v>
      </c>
      <c r="EC26" s="23">
        <f>EXP(-LN(2)/2)*EC25+(1-EXP(-LN(2)/2))/(LN(2)/2)*DW26*DZ26*VLOOKUP('Données projet'!$B$14,Paramètres!$A$1:$I$89,3,0)*0.475*44/12</f>
        <v>0</v>
      </c>
      <c r="ED26" s="24">
        <f t="shared" si="18"/>
        <v>0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8.6</v>
      </c>
      <c r="EJ26" s="13">
        <f>IF('Données projet'!$A$192&gt;35,EJ25+EI26-ER25,IF(A26&lt;'Données projet'!$A$192,$EG$205^A26,IF(A26='Données projet'!$A$192,'Données projet'!$B$192,EJ25+EI26-ER25)))</f>
        <v>84.799999999999983</v>
      </c>
      <c r="EK26" s="18">
        <f>EJ26*VLOOKUP('Données projet'!$B$15,Paramètres!$A$1:$I$89,3,0)*VLOOKUP('Données projet'!$B$15,Paramètres!$A$1:$I$89,5,0)</f>
        <v>68.789759999999987</v>
      </c>
      <c r="EL26" s="14">
        <f t="shared" si="45"/>
        <v>19.372607944380292</v>
      </c>
      <c r="EM26" s="22">
        <f t="shared" si="19"/>
        <v>153.54945750312899</v>
      </c>
      <c r="EN26" s="62">
        <f t="shared" si="20"/>
        <v>377.03465421267549</v>
      </c>
      <c r="EO26" s="62">
        <f ca="1">AVERAGE(OFFSET($EN$3,0,0,'Données projet'!$E$15+1,1))-AVERAGE(OFFSET($H$3,0,0,'Données projet'!$E$15+1,1))</f>
        <v>272.69564942740931</v>
      </c>
      <c r="EP26" s="62">
        <f t="shared" si="46"/>
        <v>316.57989180609252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>
        <f>EXP(-LN(2)/35)*EV25+(1-EXP(-LN(2)/35))/(LN(2)/35)*ER26*ES26*VLOOKUP('Données projet'!$B$15,Paramètres!$A$1:$I$89,3,0)*0.475*44/12</f>
        <v>0</v>
      </c>
      <c r="EW26" s="23">
        <f>EXP(-LN(2)/25)*EW25+(1-EXP(-LN(2)/25))/(LN(2)/25)*Calculateur!ER26*Calculateur!ET26*VLOOKUP('Données projet'!$B$15,Paramètres!$A$1:$I$89,3,0)*0.475*44/12</f>
        <v>0</v>
      </c>
      <c r="EX26" s="23">
        <f>EXP(-LN(2)/2)*EX25+(1-EXP(-LN(2)/2))/(LN(2)/2)*ER26*EU26*VLOOKUP('Données projet'!$B$15,Paramètres!$A$1:$I$89,3,0)*0.475*44/12</f>
        <v>0</v>
      </c>
      <c r="EY26" s="24">
        <f t="shared" si="21"/>
        <v>0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11.025641025641031</v>
      </c>
      <c r="FE26" s="13">
        <f>IF('Données projet'!$A$218&gt;35,FE25+FD26-FM25,IF(A26&lt;'Données projet'!$A$218,$FB$205^A26,IF(A26='Données projet'!$A$218,'Données projet'!$B$218,FE25+FD26-FM25)))</f>
        <v>142.69230769230771</v>
      </c>
      <c r="FF26" s="18">
        <f>FE26*VLOOKUP('Données projet'!$B$16,Paramètres!$A$1:$I$89,3,0)*VLOOKUP('Données projet'!$B$16,Paramètres!$A$1:$I$89,5,0)</f>
        <v>95.718000000000004</v>
      </c>
      <c r="FG26" s="14">
        <f t="shared" si="47"/>
        <v>25.939286357868859</v>
      </c>
      <c r="FH26" s="22">
        <f t="shared" si="22"/>
        <v>211.88644040662157</v>
      </c>
      <c r="FI26" s="62">
        <f t="shared" si="23"/>
        <v>435.37163711616807</v>
      </c>
      <c r="FJ26" s="62">
        <f ca="1">AVERAGE(OFFSET($FI$3,0,0,'Données projet'!$E$16+1,1))-AVERAGE(OFFSET($H$3,0,0,'Données projet'!$E$16+1,1))</f>
        <v>440.90856392064205</v>
      </c>
      <c r="FK26" s="62">
        <f t="shared" si="48"/>
        <v>373.33139300970629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>
        <f>EXP(-LN(2)/35)*FQ25+(1-EXP(-LN(2)/35))/(LN(2)/35)*FM26*FN26*VLOOKUP('Données projet'!$B$16,Paramètres!$A$1:$I$89,3,0)*0.475*44/12</f>
        <v>0</v>
      </c>
      <c r="FR26" s="23">
        <f>EXP(-LN(2)/25)*FR25+(1-EXP(-LN(2)/25))/(LN(2)/25)*Calculateur!FM26*Calculateur!FO26*VLOOKUP('Données projet'!$B$16,Paramètres!$A$1:$I$89,3,0)*0.475*44/12</f>
        <v>0</v>
      </c>
      <c r="FS26" s="23">
        <f>EXP(-LN(2)/2)*FS25+(1-EXP(-LN(2)/2))/(LN(2)/2)*FM26*FP26*VLOOKUP('Données projet'!$B$16,Paramètres!$A$1:$I$89,3,0)*0.475*44/12</f>
        <v>0</v>
      </c>
      <c r="FT26" s="24">
        <f t="shared" si="24"/>
        <v>0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70">
        <f t="shared" si="1"/>
        <v>183.33333333333334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7.2</v>
      </c>
      <c r="N27" s="14">
        <f>IF('Données projet'!$A$36&gt;35,N26+M27-V26,IF(A27&lt;'Données projet'!$A$36,$K$205^A27,IF(A27='Données projet'!$A$36,'Données projet'!$B$36,N26+M27-V26)))</f>
        <v>101.80000000000001</v>
      </c>
      <c r="O27" s="14">
        <f>N27*VLOOKUP('Données projet'!$B$9,Paramètres!$A$1:$I$89,3,0)*VLOOKUP('Données projet'!$B$9,Paramètres!$A$1:$I$89,5,0)</f>
        <v>92.108640000000008</v>
      </c>
      <c r="P27" s="14">
        <f t="shared" si="33"/>
        <v>25.073090701604293</v>
      </c>
      <c r="Q27" s="22">
        <f t="shared" si="2"/>
        <v>204.09151430529414</v>
      </c>
      <c r="R27" s="62">
        <f t="shared" si="0"/>
        <v>429.86222248891397</v>
      </c>
      <c r="S27" s="62">
        <f ca="1">AVERAGE(OFFSET($R$3,0,0,'Données projet'!$E$9+1,1))-AVERAGE(OFFSET($H$3,0,0,'Données projet'!$E$9+1,1))</f>
        <v>570.08763950759544</v>
      </c>
      <c r="T27" s="62">
        <f t="shared" si="34"/>
        <v>297.32483725004136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14.8</v>
      </c>
      <c r="AI27" s="14">
        <f>IF('Données projet'!$A$62&gt;35,AI26+AH27-AQ26,IF(A27&lt;'Données projet'!$A$62,$AF$205^A27,IF(A27='Données projet'!$A$62,'Données projet'!$B$62,AI26+AH27-AQ26)))</f>
        <v>126.2</v>
      </c>
      <c r="AJ27" s="14">
        <f>AI27*VLOOKUP('Données projet'!$B$10,Paramètres!$A$1:$I$89,3,0)*VLOOKUP('Données projet'!$B$10,Paramètres!$A$1:$I$89,5,0)</f>
        <v>100.40472000000001</v>
      </c>
      <c r="AK27" s="14">
        <f t="shared" si="35"/>
        <v>27.058393830330502</v>
      </c>
      <c r="AL27" s="22">
        <f t="shared" si="4"/>
        <v>221.99825658782564</v>
      </c>
      <c r="AM27" s="62">
        <f t="shared" si="5"/>
        <v>447.76896477144544</v>
      </c>
      <c r="AN27" s="62">
        <f ca="1">AVERAGE(OFFSET($AM$3,0,0,'Données projet'!$E$10+1,1))-AVERAGE(OFFSET($H$3,0,0,'Données projet'!$E$10+1,1))</f>
        <v>394.70330963327166</v>
      </c>
      <c r="AO27" s="62">
        <f t="shared" si="36"/>
        <v>424.06445894109982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14.8</v>
      </c>
      <c r="BD27" s="13">
        <f>IF('Données projet'!$A$88&gt;35,BD26+BC27-BL26,IF(A27&lt;'Données projet'!$A$88,$BA$205^A27,IF(A27='Données projet'!$A$88,'Données projet'!$B$88,BD26+BC27-BL26)))</f>
        <v>126.2</v>
      </c>
      <c r="BE27" s="14">
        <f>BD27*VLOOKUP('Données projet'!$B$11,Paramètres!$A$1:$I$89,3,0)*VLOOKUP('Données projet'!$B$11,Paramètres!$A$1:$I$89,5,0)</f>
        <v>92.529840000000007</v>
      </c>
      <c r="BF27" s="14">
        <f t="shared" si="37"/>
        <v>25.17437361121091</v>
      </c>
      <c r="BG27" s="22">
        <f t="shared" si="7"/>
        <v>205.00150537285901</v>
      </c>
      <c r="BH27" s="62">
        <f t="shared" si="8"/>
        <v>430.77221355647885</v>
      </c>
      <c r="BI27" s="62">
        <f ca="1">AVERAGE(OFFSET($BH$3,0,0,'Données projet'!$E$11+1,1))-AVERAGE(OFFSET($H$3,0,0,'Données projet'!$E$11+1,1))</f>
        <v>368.54671978064204</v>
      </c>
      <c r="BJ27" s="62">
        <f t="shared" si="38"/>
        <v>395.83504504492237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10.6</v>
      </c>
      <c r="BY27" s="13">
        <f>IF('Données projet'!$A$114&gt;35,BY26+BX27-CG26,IF(A27&lt;'Données projet'!$A$114,$BV$205^A27,IF(A27='Données projet'!$A$114,'Données projet'!$B$114,BY26+BX27-CG26)))</f>
        <v>102.39999999999996</v>
      </c>
      <c r="BZ27" s="14">
        <f>BY27*VLOOKUP('Données projet'!$B$12,Paramètres!$A$1:$I$89,3,0)*VLOOKUP('Données projet'!$B$12,Paramètres!$A$1:$I$89,5,0)</f>
        <v>79.871999999999971</v>
      </c>
      <c r="CA27" s="14">
        <f t="shared" si="39"/>
        <v>22.105884547145401</v>
      </c>
      <c r="CB27" s="22">
        <f t="shared" si="10"/>
        <v>177.61148225294485</v>
      </c>
      <c r="CC27" s="62">
        <f t="shared" si="11"/>
        <v>403.38219043656466</v>
      </c>
      <c r="CD27" s="62">
        <f ca="1">AVERAGE(OFFSET($CC$3,0,0,'Données projet'!$E$12+1,1))-AVERAGE(OFFSET($H$3,0,0,'Données projet'!$E$12+1,1))</f>
        <v>309.21625451786218</v>
      </c>
      <c r="CE27" s="62">
        <f t="shared" si="40"/>
        <v>302.59481222418219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8.9743589743589745</v>
      </c>
      <c r="CT27" s="13">
        <f>IF('Données projet'!$A$140&gt;35,CT26+CS27-DB26,IF(A27&lt;'Données projet'!$A$140,$CQ$205^A27,IF(A27='Données projet'!$A$140,'Données projet'!$B$140,CT26+CS27-DB26)))</f>
        <v>116.02564102564104</v>
      </c>
      <c r="CU27" s="18">
        <f>CT27*VLOOKUP('Données projet'!$B$13,Paramètres!$A$1:$I$89,3,0)*VLOOKUP('Données projet'!$B$13,Paramètres!$A$1:$I$89,5,0)</f>
        <v>110.41000000000003</v>
      </c>
      <c r="CV27" s="14">
        <f t="shared" si="41"/>
        <v>29.427562844448662</v>
      </c>
      <c r="CW27" s="22">
        <f t="shared" si="13"/>
        <v>243.55042195408143</v>
      </c>
      <c r="CX27" s="62">
        <f t="shared" si="14"/>
        <v>469.32113013770123</v>
      </c>
      <c r="CY27" s="62">
        <f ca="1">AVERAGE(OFFSET($CX$3,0,0,'Données projet'!$E$13+1,1))-AVERAGE(OFFSET($H$3,0,0,'Données projet'!$E$13+1,1))</f>
        <v>491.87038198656927</v>
      </c>
      <c r="CZ27" s="62">
        <f t="shared" si="42"/>
        <v>406.49261644949559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7.2</v>
      </c>
      <c r="DO27" s="13">
        <f>IF('Données projet'!$A$166&gt;35,DO26+DN27-DW26,IF(A27&lt;'Données projet'!$A$166,$DL$205^A27,IF(A27='Données projet'!$A$166,'Données projet'!$B$166,DO26+DN27-DW26)))</f>
        <v>101.80000000000001</v>
      </c>
      <c r="DP27" s="18">
        <f>DO27*VLOOKUP('Données projet'!$B$14,Paramètres!$A$1:$I$89,3,0)*VLOOKUP('Données projet'!$B$14,Paramètres!$A$1:$I$89,5,0)</f>
        <v>98.460960000000014</v>
      </c>
      <c r="DQ27" s="14">
        <f t="shared" si="43"/>
        <v>26.595012174033403</v>
      </c>
      <c r="DR27" s="22">
        <f t="shared" si="16"/>
        <v>217.80581820310817</v>
      </c>
      <c r="DS27" s="62">
        <f t="shared" si="17"/>
        <v>443.57652638672801</v>
      </c>
      <c r="DT27" s="62">
        <f ca="1">AVERAGE(OFFSET($DS$3,0,0,'Données projet'!$E$14+1,1))-AVERAGE(OFFSET($H$3,0,0,'Données projet'!$E$14+1,1))</f>
        <v>603.52431522262032</v>
      </c>
      <c r="DU27" s="62">
        <f t="shared" si="44"/>
        <v>313.56299786481338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projet'!$B$14,Paramètres!$A$1:$I$89,3,0)*0.475*44/12</f>
        <v>0</v>
      </c>
      <c r="EB27" s="23">
        <f>EXP(-LN(2)/25)*EB26+(1-EXP(-LN(2)/25))/(LN(2)/25)*Calculateur!DW27*Calculateur!DY27*VLOOKUP('Données projet'!$B$14,Paramètres!$A$1:$I$89,3,0)*0.475*44/12</f>
        <v>0</v>
      </c>
      <c r="EC27" s="23">
        <f>EXP(-LN(2)/2)*EC26+(1-EXP(-LN(2)/2))/(LN(2)/2)*DW27*DZ27*VLOOKUP('Données projet'!$B$14,Paramètres!$A$1:$I$89,3,0)*0.475*44/12</f>
        <v>0</v>
      </c>
      <c r="ED27" s="24">
        <f t="shared" si="18"/>
        <v>0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8.6</v>
      </c>
      <c r="EJ27" s="13">
        <f>IF('Données projet'!$A$192&gt;35,EJ26+EI27-ER26,IF(A27&lt;'Données projet'!$A$192,$EG$205^A27,IF(A27='Données projet'!$A$192,'Données projet'!$B$192,EJ26+EI27-ER26)))</f>
        <v>93.399999999999977</v>
      </c>
      <c r="EK27" s="18">
        <f>EJ27*VLOOKUP('Données projet'!$B$15,Paramètres!$A$1:$I$89,3,0)*VLOOKUP('Données projet'!$B$15,Paramètres!$A$1:$I$89,5,0)</f>
        <v>75.766079999999988</v>
      </c>
      <c r="EL27" s="14">
        <f t="shared" si="45"/>
        <v>21.09871541273251</v>
      </c>
      <c r="EM27" s="22">
        <f t="shared" si="19"/>
        <v>168.70618534384241</v>
      </c>
      <c r="EN27" s="62">
        <f t="shared" si="20"/>
        <v>394.47689352746221</v>
      </c>
      <c r="EO27" s="62">
        <f ca="1">AVERAGE(OFFSET($EN$3,0,0,'Données projet'!$E$15+1,1))-AVERAGE(OFFSET($H$3,0,0,'Données projet'!$E$15+1,1))</f>
        <v>272.69564942740931</v>
      </c>
      <c r="EP27" s="62">
        <f t="shared" si="46"/>
        <v>316.57989180609252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>
        <f>EXP(-LN(2)/35)*EV26+(1-EXP(-LN(2)/35))/(LN(2)/35)*ER27*ES27*VLOOKUP('Données projet'!$B$15,Paramètres!$A$1:$I$89,3,0)*0.475*44/12</f>
        <v>0</v>
      </c>
      <c r="EW27" s="23">
        <f>EXP(-LN(2)/25)*EW26+(1-EXP(-LN(2)/25))/(LN(2)/25)*Calculateur!ER27*Calculateur!ET27*VLOOKUP('Données projet'!$B$15,Paramètres!$A$1:$I$89,3,0)*0.475*44/12</f>
        <v>0</v>
      </c>
      <c r="EX27" s="23">
        <f>EXP(-LN(2)/2)*EX26+(1-EXP(-LN(2)/2))/(LN(2)/2)*ER27*EU27*VLOOKUP('Données projet'!$B$15,Paramètres!$A$1:$I$89,3,0)*0.475*44/12</f>
        <v>0</v>
      </c>
      <c r="EY27" s="24">
        <f t="shared" si="21"/>
        <v>0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11.025641025641031</v>
      </c>
      <c r="FE27" s="13">
        <f>IF('Données projet'!$A$218&gt;35,FE26+FD27-FM26,IF(A27&lt;'Données projet'!$A$218,$FB$205^A27,IF(A27='Données projet'!$A$218,'Données projet'!$B$218,FE26+FD27-FM26)))</f>
        <v>153.71794871794873</v>
      </c>
      <c r="FF27" s="18">
        <f>FE27*VLOOKUP('Données projet'!$B$16,Paramètres!$A$1:$I$89,3,0)*VLOOKUP('Données projet'!$B$16,Paramètres!$A$1:$I$89,5,0)</f>
        <v>103.114</v>
      </c>
      <c r="FG27" s="14">
        <f t="shared" si="47"/>
        <v>27.70253591395846</v>
      </c>
      <c r="FH27" s="22">
        <f t="shared" si="22"/>
        <v>227.8388000501443</v>
      </c>
      <c r="FI27" s="62">
        <f t="shared" si="23"/>
        <v>453.60950823376413</v>
      </c>
      <c r="FJ27" s="62">
        <f ca="1">AVERAGE(OFFSET($FI$3,0,0,'Données projet'!$E$16+1,1))-AVERAGE(OFFSET($H$3,0,0,'Données projet'!$E$16+1,1))</f>
        <v>440.90856392064205</v>
      </c>
      <c r="FK27" s="62">
        <f t="shared" si="48"/>
        <v>373.33139300970629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>
        <f>EXP(-LN(2)/35)*FQ26+(1-EXP(-LN(2)/35))/(LN(2)/35)*FM27*FN27*VLOOKUP('Données projet'!$B$16,Paramètres!$A$1:$I$89,3,0)*0.475*44/12</f>
        <v>0</v>
      </c>
      <c r="FR27" s="23">
        <f>EXP(-LN(2)/25)*FR26+(1-EXP(-LN(2)/25))/(LN(2)/25)*Calculateur!FM27*Calculateur!FO27*VLOOKUP('Données projet'!$B$16,Paramètres!$A$1:$I$89,3,0)*0.475*44/12</f>
        <v>0</v>
      </c>
      <c r="FS27" s="23">
        <f>EXP(-LN(2)/2)*FS26+(1-EXP(-LN(2)/2))/(LN(2)/2)*FM27*FP27*VLOOKUP('Données projet'!$B$16,Paramètres!$A$1:$I$89,3,0)*0.475*44/12</f>
        <v>0</v>
      </c>
      <c r="FT27" s="24">
        <f t="shared" si="24"/>
        <v>0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70">
        <f t="shared" si="1"/>
        <v>183.33333333333334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109</v>
      </c>
      <c r="L28" s="13">
        <f>VLOOKUP(A28,'Données projet'!$A$35:$I$55,9,0)</f>
        <v>7.2</v>
      </c>
      <c r="M28" s="13">
        <f t="array" ref="M28">INDEX(L:L,MIN(IF(ISNUMBER(L28:L224),ROW(L28:L224),"")))</f>
        <v>7.2</v>
      </c>
      <c r="N28" s="14">
        <f>IF('Données projet'!$A$36&gt;35,N27+M28-V27,IF(A28&lt;'Données projet'!$A$36,$K$205^A28,IF(A28='Données projet'!$A$36,'Données projet'!$B$36,N27+M28-V27)))</f>
        <v>109.00000000000001</v>
      </c>
      <c r="O28" s="14">
        <f>N28*VLOOKUP('Données projet'!$B$9,Paramètres!$A$1:$I$89,3,0)*VLOOKUP('Données projet'!$B$9,Paramètres!$A$1:$I$89,5,0)</f>
        <v>98.623200000000011</v>
      </c>
      <c r="P28" s="14">
        <f t="shared" si="33"/>
        <v>26.633729748944933</v>
      </c>
      <c r="Q28" s="22">
        <f t="shared" si="2"/>
        <v>218.15581931274576</v>
      </c>
      <c r="R28" s="62">
        <f t="shared" si="0"/>
        <v>446.19359327907785</v>
      </c>
      <c r="S28" s="62">
        <f ca="1">AVERAGE(OFFSET($R$3,0,0,'Données projet'!$E$9+1,1))-AVERAGE(OFFSET($H$3,0,0,'Données projet'!$E$9+1,1))</f>
        <v>570.08763950759544</v>
      </c>
      <c r="T28" s="62">
        <f t="shared" si="34"/>
        <v>297.32483725004136</v>
      </c>
      <c r="U28" s="16">
        <f>IF(ISNA(VLOOKUP(A28,'Données projet'!$A$35:$I$55,3,0)),0,VLOOKUP(A28,'Données projet'!$A$35:$I$55,3,0))</f>
        <v>1</v>
      </c>
      <c r="V28" s="16">
        <f>IF(ISNA(VLOOKUP(A28,'Données projet'!$A$35:$I$55,4,0)),0,VLOOKUP(A28,'Données projet'!$A$35:$I$55,4,0))</f>
        <v>34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141</v>
      </c>
      <c r="AG28" s="13">
        <f>VLOOKUP(A28,'Données projet'!$A$61:$I$81,9,0)</f>
        <v>14.8</v>
      </c>
      <c r="AH28" s="13">
        <f t="array" ref="AH28">INDEX(AG:AG,MIN(IF(ISNUMBER(AG28:AG224),ROW(AG28:AG224),"")))</f>
        <v>14.8</v>
      </c>
      <c r="AI28" s="14">
        <f>IF('Données projet'!$A$62&gt;35,AI27+AH28-AQ27,IF(A28&lt;'Données projet'!$A$62,$AF$205^A28,IF(A28='Données projet'!$A$62,'Données projet'!$B$62,AI27+AH28-AQ27)))</f>
        <v>141</v>
      </c>
      <c r="AJ28" s="14">
        <f>AI28*VLOOKUP('Données projet'!$B$10,Paramètres!$A$1:$I$89,3,0)*VLOOKUP('Données projet'!$B$10,Paramètres!$A$1:$I$89,5,0)</f>
        <v>112.17959999999999</v>
      </c>
      <c r="AK28" s="14">
        <f t="shared" si="35"/>
        <v>29.8439274472838</v>
      </c>
      <c r="AL28" s="22">
        <f t="shared" si="4"/>
        <v>247.35764363735257</v>
      </c>
      <c r="AM28" s="62">
        <f t="shared" si="5"/>
        <v>475.39541760368468</v>
      </c>
      <c r="AN28" s="62">
        <f ca="1">AVERAGE(OFFSET($AM$3,0,0,'Données projet'!$E$10+1,1))-AVERAGE(OFFSET($H$3,0,0,'Données projet'!$E$10+1,1))</f>
        <v>394.70330963327166</v>
      </c>
      <c r="AO28" s="62">
        <f t="shared" si="36"/>
        <v>424.06445894109982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141</v>
      </c>
      <c r="BB28" s="13">
        <f>VLOOKUP(A28,'Données projet'!$A$87:$I$107,9,0)</f>
        <v>14.8</v>
      </c>
      <c r="BC28" s="13">
        <f t="array" ref="BC28">INDEX(BB:BB,MIN(IF(ISNUMBER(BB28:BB224),ROW(BB28:BB224),"")))</f>
        <v>14.8</v>
      </c>
      <c r="BD28" s="13">
        <f>IF('Données projet'!$A$88&gt;35,BD27+BC28-BL27,IF(A28&lt;'Données projet'!$A$88,$BA$205^A28,IF(A28='Données projet'!$A$88,'Données projet'!$B$88,BD27+BC28-BL27)))</f>
        <v>141</v>
      </c>
      <c r="BE28" s="14">
        <f>BD28*VLOOKUP('Données projet'!$B$11,Paramètres!$A$1:$I$89,3,0)*VLOOKUP('Données projet'!$B$11,Paramètres!$A$1:$I$89,5,0)</f>
        <v>103.38119999999999</v>
      </c>
      <c r="BF28" s="14">
        <f t="shared" si="37"/>
        <v>27.765956260923325</v>
      </c>
      <c r="BG28" s="22">
        <f t="shared" si="7"/>
        <v>228.41463048777476</v>
      </c>
      <c r="BH28" s="62">
        <f t="shared" si="8"/>
        <v>456.45240445410684</v>
      </c>
      <c r="BI28" s="62">
        <f ca="1">AVERAGE(OFFSET($BH$3,0,0,'Données projet'!$E$11+1,1))-AVERAGE(OFFSET($H$3,0,0,'Données projet'!$E$11+1,1))</f>
        <v>368.54671978064204</v>
      </c>
      <c r="BJ28" s="62">
        <f t="shared" si="38"/>
        <v>395.83504504492237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113</v>
      </c>
      <c r="BW28" s="13">
        <f>VLOOKUP(A28,'Données projet'!$A$113:$I$133,9,0)</f>
        <v>10.6</v>
      </c>
      <c r="BX28" s="13">
        <f t="array" ref="BX28">INDEX(BW:BW,MIN(IF(ISNUMBER(BW28:BW224),ROW(BW28:BW224),"")))</f>
        <v>10.6</v>
      </c>
      <c r="BY28" s="13">
        <f>IF('Données projet'!$A$114&gt;35,BY27+BX28-CG27,IF(A28&lt;'Données projet'!$A$114,$BV$205^A28,IF(A28='Données projet'!$A$114,'Données projet'!$B$114,BY27+BX28-CG27)))</f>
        <v>112.99999999999996</v>
      </c>
      <c r="BZ28" s="14">
        <f>BY28*VLOOKUP('Données projet'!$B$12,Paramètres!$A$1:$I$89,3,0)*VLOOKUP('Données projet'!$B$12,Paramètres!$A$1:$I$89,5,0)</f>
        <v>88.139999999999972</v>
      </c>
      <c r="CA28" s="14">
        <f t="shared" si="39"/>
        <v>24.116094026318823</v>
      </c>
      <c r="CB28" s="22">
        <f t="shared" si="10"/>
        <v>195.51269709583855</v>
      </c>
      <c r="CC28" s="62">
        <f t="shared" si="11"/>
        <v>423.55047106217069</v>
      </c>
      <c r="CD28" s="62">
        <f ca="1">AVERAGE(OFFSET($CC$3,0,0,'Données projet'!$E$12+1,1))-AVERAGE(OFFSET($H$3,0,0,'Données projet'!$E$12+1,1))</f>
        <v>309.21625451786218</v>
      </c>
      <c r="CE28" s="62">
        <f t="shared" si="40"/>
        <v>302.59481222418219</v>
      </c>
      <c r="CF28" s="16">
        <f>IF(ISNA(VLOOKUP(A28,'Données projet'!$A$113:$I$133,3,0)),0,VLOOKUP(A28,'Données projet'!$A$113:$I$133,3,0))</f>
        <v>2</v>
      </c>
      <c r="CG28" s="16">
        <f>IF(ISNA(VLOOKUP(A28,'Données projet'!$A$113:$I$133,4,0)),0,VLOOKUP(A28,'Données projet'!$A$113:$I$133,4,0))</f>
        <v>27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>
        <f>VLOOKUP(A28,'Données projet'!$A$139:$I$159,2,0)</f>
        <v>125</v>
      </c>
      <c r="CR28" s="13">
        <f>VLOOKUP(A28,'Données projet'!$A$139:$I$159,9,0)</f>
        <v>8.9743589743589745</v>
      </c>
      <c r="CS28" s="13">
        <f t="array" ref="CS28">INDEX(CR:CR,MIN(IF(ISNUMBER(CR28:CR224),ROW(CR28:CR224),"")))</f>
        <v>8.9743589743589745</v>
      </c>
      <c r="CT28" s="13">
        <f>IF('Données projet'!$A$140&gt;35,CT27+CS28-DB27,IF(A28&lt;'Données projet'!$A$140,$CQ$205^A28,IF(A28='Données projet'!$A$140,'Données projet'!$B$140,CT27+CS28-DB27)))</f>
        <v>125.00000000000001</v>
      </c>
      <c r="CU28" s="18">
        <f>CT28*VLOOKUP('Données projet'!$B$13,Paramètres!$A$1:$I$89,3,0)*VLOOKUP('Données projet'!$B$13,Paramètres!$A$1:$I$89,5,0)</f>
        <v>118.95</v>
      </c>
      <c r="CV28" s="14">
        <f t="shared" si="41"/>
        <v>31.429978916194532</v>
      </c>
      <c r="CW28" s="22">
        <f t="shared" si="13"/>
        <v>261.91179661237214</v>
      </c>
      <c r="CX28" s="62">
        <f t="shared" si="14"/>
        <v>489.94957057870425</v>
      </c>
      <c r="CY28" s="62">
        <f ca="1">AVERAGE(OFFSET($CX$3,0,0,'Données projet'!$E$13+1,1))-AVERAGE(OFFSET($H$3,0,0,'Données projet'!$E$13+1,1))</f>
        <v>491.87038198656927</v>
      </c>
      <c r="CZ28" s="62">
        <f t="shared" si="42"/>
        <v>406.49261644949559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>
        <f>VLOOKUP(A28,'Données projet'!$A$165:$I$185,2,0)</f>
        <v>109</v>
      </c>
      <c r="DM28" s="13">
        <f>VLOOKUP(A28,'Données projet'!$A$165:$I$185,9,0)</f>
        <v>7.2</v>
      </c>
      <c r="DN28" s="13">
        <f t="array" ref="DN28">INDEX(DM:DM,MIN(IF(ISNUMBER(DM28:DM224),ROW(DM28:DM224),"")))</f>
        <v>7.2</v>
      </c>
      <c r="DO28" s="13">
        <f>IF('Données projet'!$A$166&gt;35,DO27+DN28-DW27,IF(A28&lt;'Données projet'!$A$166,$DL$205^A28,IF(A28='Données projet'!$A$166,'Données projet'!$B$166,DO27+DN28-DW27)))</f>
        <v>109.00000000000001</v>
      </c>
      <c r="DP28" s="18">
        <f>DO28*VLOOKUP('Données projet'!$B$14,Paramètres!$A$1:$I$89,3,0)*VLOOKUP('Données projet'!$B$14,Paramètres!$A$1:$I$89,5,0)</f>
        <v>105.42480000000002</v>
      </c>
      <c r="DQ28" s="14">
        <f t="shared" si="43"/>
        <v>28.250381069605584</v>
      </c>
      <c r="DR28" s="22">
        <f t="shared" si="16"/>
        <v>232.81760702956308</v>
      </c>
      <c r="DS28" s="62">
        <f t="shared" si="17"/>
        <v>460.85538099589519</v>
      </c>
      <c r="DT28" s="62">
        <f ca="1">AVERAGE(OFFSET($DS$3,0,0,'Données projet'!$E$14+1,1))-AVERAGE(OFFSET($H$3,0,0,'Données projet'!$E$14+1,1))</f>
        <v>603.52431522262032</v>
      </c>
      <c r="DU28" s="62">
        <f t="shared" si="44"/>
        <v>313.56299786481338</v>
      </c>
      <c r="DV28" s="16">
        <f>IF(ISNA(VLOOKUP(A28,'Données projet'!$A$165:$I$185,3,0)),0,VLOOKUP(A28,'Données projet'!$A$165:$I$185,3,0))</f>
        <v>1</v>
      </c>
      <c r="DW28" s="16">
        <f>IF(ISNA(VLOOKUP(A28,'Données projet'!$A$165:$I$185,4,0)),0,VLOOKUP(A28,'Données projet'!$A$165:$I$185,4,0))</f>
        <v>34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projet'!$B$14,Paramètres!$A$1:$I$89,3,0)*0.475*44/12</f>
        <v>0</v>
      </c>
      <c r="EB28" s="23">
        <f>EXP(-LN(2)/25)*EB27+(1-EXP(-LN(2)/25))/(LN(2)/25)*Calculateur!DW28*Calculateur!DY28*VLOOKUP('Données projet'!$B$14,Paramètres!$A$1:$I$89,3,0)*0.475*44/12</f>
        <v>0</v>
      </c>
      <c r="EC28" s="23">
        <f>EXP(-LN(2)/2)*EC27+(1-EXP(-LN(2)/2))/(LN(2)/2)*DW28*DZ28*VLOOKUP('Données projet'!$B$14,Paramètres!$A$1:$I$89,3,0)*0.475*44/12</f>
        <v>0</v>
      </c>
      <c r="ED28" s="24">
        <f t="shared" si="18"/>
        <v>0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>
        <f>VLOOKUP(A28,'Données projet'!$A$191:$I$211,2,0)</f>
        <v>102</v>
      </c>
      <c r="EH28" s="13">
        <f>VLOOKUP(A28,'Données projet'!$A$191:$I$211,9,0)</f>
        <v>8.6</v>
      </c>
      <c r="EI28" s="13">
        <f t="array" ref="EI28">INDEX(EH:EH,MIN(IF(ISNUMBER(EH28:EH224),ROW(EH28:EH224),"")))</f>
        <v>8.6</v>
      </c>
      <c r="EJ28" s="13">
        <f>IF('Données projet'!$A$192&gt;35,EJ27+EI28-ER27,IF(A28&lt;'Données projet'!$A$192,$EG$205^A28,IF(A28='Données projet'!$A$192,'Données projet'!$B$192,EJ27+EI28-ER27)))</f>
        <v>101.99999999999997</v>
      </c>
      <c r="EK28" s="18">
        <f>EJ28*VLOOKUP('Données projet'!$B$15,Paramètres!$A$1:$I$89,3,0)*VLOOKUP('Données projet'!$B$15,Paramètres!$A$1:$I$89,5,0)</f>
        <v>82.742399999999975</v>
      </c>
      <c r="EL28" s="14">
        <f t="shared" si="45"/>
        <v>22.806394174303183</v>
      </c>
      <c r="EM28" s="22">
        <f t="shared" si="19"/>
        <v>183.83081652024464</v>
      </c>
      <c r="EN28" s="62">
        <f t="shared" si="20"/>
        <v>411.86859048657675</v>
      </c>
      <c r="EO28" s="62">
        <f ca="1">AVERAGE(OFFSET($EN$3,0,0,'Données projet'!$E$15+1,1))-AVERAGE(OFFSET($H$3,0,0,'Données projet'!$E$15+1,1))</f>
        <v>272.69564942740931</v>
      </c>
      <c r="EP28" s="62">
        <f t="shared" si="46"/>
        <v>316.57989180609252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>
        <f>EXP(-LN(2)/35)*EV27+(1-EXP(-LN(2)/35))/(LN(2)/35)*ER28*ES28*VLOOKUP('Données projet'!$B$15,Paramètres!$A$1:$I$89,3,0)*0.475*44/12</f>
        <v>0</v>
      </c>
      <c r="EW28" s="23">
        <f>EXP(-LN(2)/25)*EW27+(1-EXP(-LN(2)/25))/(LN(2)/25)*Calculateur!ER28*Calculateur!ET28*VLOOKUP('Données projet'!$B$15,Paramètres!$A$1:$I$89,3,0)*0.475*44/12</f>
        <v>0</v>
      </c>
      <c r="EX28" s="23">
        <f>EXP(-LN(2)/2)*EX27+(1-EXP(-LN(2)/2))/(LN(2)/2)*ER28*EU28*VLOOKUP('Données projet'!$B$15,Paramètres!$A$1:$I$89,3,0)*0.475*44/12</f>
        <v>0</v>
      </c>
      <c r="EY28" s="24">
        <f t="shared" si="21"/>
        <v>0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>
        <f>VLOOKUP(A28,'Données projet'!$A$217:$I$237,2,0)</f>
        <v>164.74358974358975</v>
      </c>
      <c r="FC28" s="13">
        <f>VLOOKUP(A28,'Données projet'!$A$217:$I$237,9,0)</f>
        <v>11.025641025641031</v>
      </c>
      <c r="FD28" s="13">
        <f t="array" ref="FD28">INDEX(FC:FC,MIN(IF(ISNUMBER(FC28:FC224),ROW(FC28:FC224),"")))</f>
        <v>11.025641025641031</v>
      </c>
      <c r="FE28" s="13">
        <f>IF('Données projet'!$A$218&gt;35,FE27+FD28-FM27,IF(A28&lt;'Données projet'!$A$218,$FB$205^A28,IF(A28='Données projet'!$A$218,'Données projet'!$B$218,FE27+FD28-FM27)))</f>
        <v>164.74358974358975</v>
      </c>
      <c r="FF28" s="18">
        <f>FE28*VLOOKUP('Données projet'!$B$16,Paramètres!$A$1:$I$89,3,0)*VLOOKUP('Données projet'!$B$16,Paramètres!$A$1:$I$89,5,0)</f>
        <v>110.51</v>
      </c>
      <c r="FG28" s="14">
        <f t="shared" si="47"/>
        <v>29.45111218268562</v>
      </c>
      <c r="FH28" s="22">
        <f t="shared" si="22"/>
        <v>243.7656037181774</v>
      </c>
      <c r="FI28" s="62">
        <f t="shared" si="23"/>
        <v>471.80337768450954</v>
      </c>
      <c r="FJ28" s="62">
        <f ca="1">AVERAGE(OFFSET($FI$3,0,0,'Données projet'!$E$16+1,1))-AVERAGE(OFFSET($H$3,0,0,'Données projet'!$E$16+1,1))</f>
        <v>440.90856392064205</v>
      </c>
      <c r="FK28" s="62">
        <f t="shared" si="48"/>
        <v>373.33139300970629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>
        <f>EXP(-LN(2)/35)*FQ27+(1-EXP(-LN(2)/35))/(LN(2)/35)*FM28*FN28*VLOOKUP('Données projet'!$B$16,Paramètres!$A$1:$I$89,3,0)*0.475*44/12</f>
        <v>0</v>
      </c>
      <c r="FR28" s="23">
        <f>EXP(-LN(2)/25)*FR27+(1-EXP(-LN(2)/25))/(LN(2)/25)*Calculateur!FM28*Calculateur!FO28*VLOOKUP('Données projet'!$B$16,Paramètres!$A$1:$I$89,3,0)*0.475*44/12</f>
        <v>0</v>
      </c>
      <c r="FS28" s="23">
        <f>EXP(-LN(2)/2)*FS27+(1-EXP(-LN(2)/2))/(LN(2)/2)*FM28*FP28*VLOOKUP('Données projet'!$B$16,Paramètres!$A$1:$I$89,3,0)*0.475*44/12</f>
        <v>0</v>
      </c>
      <c r="FT28" s="24">
        <f t="shared" si="24"/>
        <v>0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70">
        <f t="shared" si="1"/>
        <v>183.33333333333334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9.1999999999999993</v>
      </c>
      <c r="N29" s="14">
        <f>IF('Données projet'!$A$36&gt;35,N28+M29-V28,IF(A29&lt;'Données projet'!$A$36,$K$205^A29,IF(A29='Données projet'!$A$36,'Données projet'!$B$36,N28+M29-V28)))</f>
        <v>84.200000000000017</v>
      </c>
      <c r="O29" s="14">
        <f>N29*VLOOKUP('Données projet'!$B$9,Paramètres!$A$1:$I$89,3,0)*VLOOKUP('Données projet'!$B$9,Paramètres!$A$1:$I$89,5,0)</f>
        <v>76.184160000000006</v>
      </c>
      <c r="P29" s="14">
        <f t="shared" si="33"/>
        <v>21.201554232857223</v>
      </c>
      <c r="Q29" s="22">
        <f t="shared" si="2"/>
        <v>169.613452288893</v>
      </c>
      <c r="R29" s="62">
        <f t="shared" si="0"/>
        <v>399.90016633808318</v>
      </c>
      <c r="S29" s="62">
        <f ca="1">AVERAGE(OFFSET($R$3,0,0,'Données projet'!$E$9+1,1))-AVERAGE(OFFSET($H$3,0,0,'Données projet'!$E$9+1,1))</f>
        <v>570.08763950759544</v>
      </c>
      <c r="T29" s="62">
        <f t="shared" si="34"/>
        <v>297.32483725004136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14.2</v>
      </c>
      <c r="AI29" s="14">
        <f>IF('Données projet'!$A$62&gt;35,AI28+AH29-AQ28,IF(A29&lt;'Données projet'!$A$62,$AF$205^A29,IF(A29='Données projet'!$A$62,'Données projet'!$B$62,AI28+AH29-AQ28)))</f>
        <v>155.19999999999999</v>
      </c>
      <c r="AJ29" s="14">
        <f>AI29*VLOOKUP('Données projet'!$B$10,Paramètres!$A$1:$I$89,3,0)*VLOOKUP('Données projet'!$B$10,Paramètres!$A$1:$I$89,5,0)</f>
        <v>123.47712</v>
      </c>
      <c r="AK29" s="14">
        <f t="shared" si="35"/>
        <v>32.484627317240388</v>
      </c>
      <c r="AL29" s="22">
        <f t="shared" si="4"/>
        <v>271.63337657752703</v>
      </c>
      <c r="AM29" s="62">
        <f t="shared" si="5"/>
        <v>501.92009062671718</v>
      </c>
      <c r="AN29" s="62">
        <f ca="1">AVERAGE(OFFSET($AM$3,0,0,'Données projet'!$E$10+1,1))-AVERAGE(OFFSET($H$3,0,0,'Données projet'!$E$10+1,1))</f>
        <v>394.70330963327166</v>
      </c>
      <c r="AO29" s="62">
        <f t="shared" si="36"/>
        <v>424.06445894109982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14.2</v>
      </c>
      <c r="BD29" s="13">
        <f>IF('Données projet'!$A$88&gt;35,BD28+BC29-BL28,IF(A29&lt;'Données projet'!$A$88,$BA$205^A29,IF(A29='Données projet'!$A$88,'Données projet'!$B$88,BD28+BC29-BL28)))</f>
        <v>155.19999999999999</v>
      </c>
      <c r="BE29" s="14">
        <f>BD29*VLOOKUP('Données projet'!$B$11,Paramètres!$A$1:$I$89,3,0)*VLOOKUP('Données projet'!$B$11,Paramètres!$A$1:$I$89,5,0)</f>
        <v>113.79263999999999</v>
      </c>
      <c r="BF29" s="14">
        <f t="shared" si="37"/>
        <v>30.222789639068861</v>
      </c>
      <c r="BG29" s="22">
        <f t="shared" si="7"/>
        <v>250.82687328804494</v>
      </c>
      <c r="BH29" s="62">
        <f t="shared" si="8"/>
        <v>481.11358733723512</v>
      </c>
      <c r="BI29" s="62">
        <f ca="1">AVERAGE(OFFSET($BH$3,0,0,'Données projet'!$E$11+1,1))-AVERAGE(OFFSET($H$3,0,0,'Données projet'!$E$11+1,1))</f>
        <v>368.54671978064204</v>
      </c>
      <c r="BJ29" s="62">
        <f t="shared" si="38"/>
        <v>395.83504504492237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11.5</v>
      </c>
      <c r="BY29" s="13">
        <f>IF('Données projet'!$A$114&gt;35,BY28+BX29-CG28,IF(A29&lt;'Données projet'!$A$114,$BV$205^A29,IF(A29='Données projet'!$A$114,'Données projet'!$B$114,BY28+BX29-CG28)))</f>
        <v>97.499999999999957</v>
      </c>
      <c r="BZ29" s="14">
        <f>BY29*VLOOKUP('Données projet'!$B$12,Paramètres!$A$1:$I$89,3,0)*VLOOKUP('Données projet'!$B$12,Paramètres!$A$1:$I$89,5,0)</f>
        <v>76.049999999999969</v>
      </c>
      <c r="CA29" s="14">
        <f t="shared" si="39"/>
        <v>21.168560890749262</v>
      </c>
      <c r="CB29" s="22">
        <f t="shared" si="10"/>
        <v>169.32232688472158</v>
      </c>
      <c r="CC29" s="62">
        <f t="shared" si="11"/>
        <v>399.60904093391173</v>
      </c>
      <c r="CD29" s="62">
        <f ca="1">AVERAGE(OFFSET($CC$3,0,0,'Données projet'!$E$12+1,1))-AVERAGE(OFFSET($H$3,0,0,'Données projet'!$E$12+1,1))</f>
        <v>309.21625451786218</v>
      </c>
      <c r="CE29" s="62">
        <f t="shared" si="40"/>
        <v>302.59481222418219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8.717948717948719</v>
      </c>
      <c r="CT29" s="13">
        <f>IF('Données projet'!$A$140&gt;35,CT28+CS29-DB28,IF(A29&lt;'Données projet'!$A$140,$CQ$205^A29,IF(A29='Données projet'!$A$140,'Données projet'!$B$140,CT28+CS29-DB28)))</f>
        <v>133.71794871794873</v>
      </c>
      <c r="CU29" s="18">
        <f>CT29*VLOOKUP('Données projet'!$B$13,Paramètres!$A$1:$I$89,3,0)*VLOOKUP('Données projet'!$B$13,Paramètres!$A$1:$I$89,5,0)</f>
        <v>127.24600000000001</v>
      </c>
      <c r="CV29" s="14">
        <f t="shared" si="41"/>
        <v>33.359199928902115</v>
      </c>
      <c r="CW29" s="22">
        <f t="shared" si="13"/>
        <v>279.72072320950451</v>
      </c>
      <c r="CX29" s="62">
        <f t="shared" si="14"/>
        <v>510.00743725869472</v>
      </c>
      <c r="CY29" s="62">
        <f ca="1">AVERAGE(OFFSET($CX$3,0,0,'Données projet'!$E$13+1,1))-AVERAGE(OFFSET($H$3,0,0,'Données projet'!$E$13+1,1))</f>
        <v>491.87038198656927</v>
      </c>
      <c r="CZ29" s="62">
        <f t="shared" si="42"/>
        <v>406.49261644949559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9.1999999999999993</v>
      </c>
      <c r="DO29" s="13">
        <f>IF('Données projet'!$A$166&gt;35,DO28+DN29-DW28,IF(A29&lt;'Données projet'!$A$166,$DL$205^A29,IF(A29='Données projet'!$A$166,'Données projet'!$B$166,DO28+DN29-DW28)))</f>
        <v>84.200000000000017</v>
      </c>
      <c r="DP29" s="18">
        <f>DO29*VLOOKUP('Données projet'!$B$14,Paramètres!$A$1:$I$89,3,0)*VLOOKUP('Données projet'!$B$14,Paramètres!$A$1:$I$89,5,0)</f>
        <v>81.438240000000022</v>
      </c>
      <c r="DQ29" s="14">
        <f t="shared" si="43"/>
        <v>22.488475778344696</v>
      </c>
      <c r="DR29" s="22">
        <f t="shared" si="16"/>
        <v>181.00569664728371</v>
      </c>
      <c r="DS29" s="62">
        <f t="shared" si="17"/>
        <v>411.29241069647389</v>
      </c>
      <c r="DT29" s="62">
        <f ca="1">AVERAGE(OFFSET($DS$3,0,0,'Données projet'!$E$14+1,1))-AVERAGE(OFFSET($H$3,0,0,'Données projet'!$E$14+1,1))</f>
        <v>603.52431522262032</v>
      </c>
      <c r="DU29" s="62">
        <f t="shared" si="44"/>
        <v>313.56299786481338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projet'!$B$14,Paramètres!$A$1:$I$89,3,0)*0.475*44/12</f>
        <v>0</v>
      </c>
      <c r="EB29" s="23">
        <f>EXP(-LN(2)/25)*EB28+(1-EXP(-LN(2)/25))/(LN(2)/25)*Calculateur!DW29*Calculateur!DY29*VLOOKUP('Données projet'!$B$14,Paramètres!$A$1:$I$89,3,0)*0.475*44/12</f>
        <v>0</v>
      </c>
      <c r="EC29" s="23">
        <f>EXP(-LN(2)/2)*EC28+(1-EXP(-LN(2)/2))/(LN(2)/2)*DW29*DZ29*VLOOKUP('Données projet'!$B$14,Paramètres!$A$1:$I$89,3,0)*0.475*44/12</f>
        <v>0</v>
      </c>
      <c r="ED29" s="24">
        <f t="shared" si="18"/>
        <v>0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8.8000000000000007</v>
      </c>
      <c r="EJ29" s="13">
        <f>IF('Données projet'!$A$192&gt;35,EJ28+EI29-ER28,IF(A29&lt;'Données projet'!$A$192,$EG$205^A29,IF(A29='Données projet'!$A$192,'Données projet'!$B$192,EJ28+EI29-ER28)))</f>
        <v>110.79999999999997</v>
      </c>
      <c r="EK29" s="18">
        <f>EJ29*VLOOKUP('Données projet'!$B$15,Paramètres!$A$1:$I$89,3,0)*VLOOKUP('Données projet'!$B$15,Paramètres!$A$1:$I$89,5,0)</f>
        <v>89.880959999999973</v>
      </c>
      <c r="EL29" s="14">
        <f t="shared" si="45"/>
        <v>24.536513201257339</v>
      </c>
      <c r="EM29" s="22">
        <f t="shared" si="19"/>
        <v>199.27709915885649</v>
      </c>
      <c r="EN29" s="62">
        <f t="shared" si="20"/>
        <v>429.56381320804667</v>
      </c>
      <c r="EO29" s="62">
        <f ca="1">AVERAGE(OFFSET($EN$3,0,0,'Données projet'!$E$15+1,1))-AVERAGE(OFFSET($H$3,0,0,'Données projet'!$E$15+1,1))</f>
        <v>272.69564942740931</v>
      </c>
      <c r="EP29" s="62">
        <f t="shared" si="46"/>
        <v>316.57989180609252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>
        <f>EXP(-LN(2)/35)*EV28+(1-EXP(-LN(2)/35))/(LN(2)/35)*ER29*ES29*VLOOKUP('Données projet'!$B$15,Paramètres!$A$1:$I$89,3,0)*0.475*44/12</f>
        <v>0</v>
      </c>
      <c r="EW29" s="23">
        <f>EXP(-LN(2)/25)*EW28+(1-EXP(-LN(2)/25))/(LN(2)/25)*Calculateur!ER29*Calculateur!ET29*VLOOKUP('Données projet'!$B$15,Paramètres!$A$1:$I$89,3,0)*0.475*44/12</f>
        <v>0</v>
      </c>
      <c r="EX29" s="23">
        <f>EXP(-LN(2)/2)*EX28+(1-EXP(-LN(2)/2))/(LN(2)/2)*ER29*EU29*VLOOKUP('Données projet'!$B$15,Paramètres!$A$1:$I$89,3,0)*0.475*44/12</f>
        <v>0</v>
      </c>
      <c r="EY29" s="24">
        <f t="shared" si="21"/>
        <v>0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10.256410256410254</v>
      </c>
      <c r="FE29" s="13">
        <f>IF('Données projet'!$A$218&gt;35,FE28+FD29-FM28,IF(A29&lt;'Données projet'!$A$218,$FB$205^A29,IF(A29='Données projet'!$A$218,'Données projet'!$B$218,FE28+FD29-FM28)))</f>
        <v>175</v>
      </c>
      <c r="FF29" s="18">
        <f>FE29*VLOOKUP('Données projet'!$B$16,Paramètres!$A$1:$I$89,3,0)*VLOOKUP('Données projet'!$B$16,Paramètres!$A$1:$I$89,5,0)</f>
        <v>117.39</v>
      </c>
      <c r="FG29" s="14">
        <f t="shared" si="47"/>
        <v>31.065482772413461</v>
      </c>
      <c r="FH29" s="22">
        <f t="shared" si="22"/>
        <v>258.55996582862014</v>
      </c>
      <c r="FI29" s="62">
        <f t="shared" si="23"/>
        <v>488.84667987781029</v>
      </c>
      <c r="FJ29" s="62">
        <f ca="1">AVERAGE(OFFSET($FI$3,0,0,'Données projet'!$E$16+1,1))-AVERAGE(OFFSET($H$3,0,0,'Données projet'!$E$16+1,1))</f>
        <v>440.90856392064205</v>
      </c>
      <c r="FK29" s="62">
        <f t="shared" si="48"/>
        <v>373.33139300970629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>
        <f>EXP(-LN(2)/35)*FQ28+(1-EXP(-LN(2)/35))/(LN(2)/35)*FM29*FN29*VLOOKUP('Données projet'!$B$16,Paramètres!$A$1:$I$89,3,0)*0.475*44/12</f>
        <v>0</v>
      </c>
      <c r="FR29" s="23">
        <f>EXP(-LN(2)/25)*FR28+(1-EXP(-LN(2)/25))/(LN(2)/25)*Calculateur!FM29*Calculateur!FO29*VLOOKUP('Données projet'!$B$16,Paramètres!$A$1:$I$89,3,0)*0.475*44/12</f>
        <v>0</v>
      </c>
      <c r="FS29" s="23">
        <f>EXP(-LN(2)/2)*FS28+(1-EXP(-LN(2)/2))/(LN(2)/2)*FM29*FP29*VLOOKUP('Données projet'!$B$16,Paramètres!$A$1:$I$89,3,0)*0.475*44/12</f>
        <v>0</v>
      </c>
      <c r="FT29" s="24">
        <f t="shared" si="24"/>
        <v>0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70">
        <f t="shared" si="1"/>
        <v>183.33333333333334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9.1999999999999993</v>
      </c>
      <c r="N30" s="14">
        <f>IF('Données projet'!$A$36&gt;35,N29+M30-V29,IF(A30&lt;'Données projet'!$A$36,$K$205^A30,IF(A30='Données projet'!$A$36,'Données projet'!$B$36,N29+M30-V29)))</f>
        <v>93.40000000000002</v>
      </c>
      <c r="O30" s="14">
        <f>N30*VLOOKUP('Données projet'!$B$9,Paramètres!$A$1:$I$89,3,0)*VLOOKUP('Données projet'!$B$9,Paramètres!$A$1:$I$89,5,0)</f>
        <v>84.508320000000026</v>
      </c>
      <c r="P30" s="14">
        <f t="shared" si="33"/>
        <v>23.235950088324714</v>
      </c>
      <c r="Q30" s="22">
        <f t="shared" si="2"/>
        <v>187.65460373716556</v>
      </c>
      <c r="R30" s="62">
        <f t="shared" si="0"/>
        <v>420.17244660972904</v>
      </c>
      <c r="S30" s="62">
        <f ca="1">AVERAGE(OFFSET($R$3,0,0,'Données projet'!$E$9+1,1))-AVERAGE(OFFSET($H$3,0,0,'Données projet'!$E$9+1,1))</f>
        <v>570.08763950759544</v>
      </c>
      <c r="T30" s="62">
        <f t="shared" si="34"/>
        <v>297.32483725004136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14.2</v>
      </c>
      <c r="AI30" s="14">
        <f>IF('Données projet'!$A$62&gt;35,AI29+AH30-AQ29,IF(A30&lt;'Données projet'!$A$62,$AF$205^A30,IF(A30='Données projet'!$A$62,'Données projet'!$B$62,AI29+AH30-AQ29)))</f>
        <v>169.39999999999998</v>
      </c>
      <c r="AJ30" s="14">
        <f>AI30*VLOOKUP('Données projet'!$B$10,Paramètres!$A$1:$I$89,3,0)*VLOOKUP('Données projet'!$B$10,Paramètres!$A$1:$I$89,5,0)</f>
        <v>134.77464000000001</v>
      </c>
      <c r="AK30" s="14">
        <f t="shared" si="35"/>
        <v>35.097311734235603</v>
      </c>
      <c r="AL30" s="22">
        <f t="shared" si="4"/>
        <v>295.86031593712704</v>
      </c>
      <c r="AM30" s="62">
        <f t="shared" si="5"/>
        <v>528.3781588096906</v>
      </c>
      <c r="AN30" s="62">
        <f ca="1">AVERAGE(OFFSET($AM$3,0,0,'Données projet'!$E$10+1,1))-AVERAGE(OFFSET($H$3,0,0,'Données projet'!$E$10+1,1))</f>
        <v>394.70330963327166</v>
      </c>
      <c r="AO30" s="62">
        <f t="shared" si="36"/>
        <v>424.06445894109982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14.2</v>
      </c>
      <c r="BD30" s="13">
        <f>IF('Données projet'!$A$88&gt;35,BD29+BC30-BL29,IF(A30&lt;'Données projet'!$A$88,$BA$205^A30,IF(A30='Données projet'!$A$88,'Données projet'!$B$88,BD29+BC30-BL29)))</f>
        <v>169.39999999999998</v>
      </c>
      <c r="BE30" s="14">
        <f>BD30*VLOOKUP('Données projet'!$B$11,Paramètres!$A$1:$I$89,3,0)*VLOOKUP('Données projet'!$B$11,Paramètres!$A$1:$I$89,5,0)</f>
        <v>124.20407999999998</v>
      </c>
      <c r="BF30" s="14">
        <f t="shared" si="37"/>
        <v>32.653558222527792</v>
      </c>
      <c r="BG30" s="22">
        <f t="shared" si="7"/>
        <v>273.19371990423588</v>
      </c>
      <c r="BH30" s="62">
        <f t="shared" si="8"/>
        <v>505.71156277679938</v>
      </c>
      <c r="BI30" s="62">
        <f ca="1">AVERAGE(OFFSET($BH$3,0,0,'Données projet'!$E$11+1,1))-AVERAGE(OFFSET($H$3,0,0,'Données projet'!$E$11+1,1))</f>
        <v>368.54671978064204</v>
      </c>
      <c r="BJ30" s="62">
        <f t="shared" si="38"/>
        <v>395.83504504492237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11.5</v>
      </c>
      <c r="BY30" s="13">
        <f>IF('Données projet'!$A$114&gt;35,BY29+BX30-CG29,IF(A30&lt;'Données projet'!$A$114,$BV$205^A30,IF(A30='Données projet'!$A$114,'Données projet'!$B$114,BY29+BX30-CG29)))</f>
        <v>108.99999999999996</v>
      </c>
      <c r="BZ30" s="14">
        <f>BY30*VLOOKUP('Données projet'!$B$12,Paramètres!$A$1:$I$89,3,0)*VLOOKUP('Données projet'!$B$12,Paramètres!$A$1:$I$89,5,0)</f>
        <v>85.019999999999968</v>
      </c>
      <c r="CA30" s="14">
        <f t="shared" si="39"/>
        <v>23.360218970693097</v>
      </c>
      <c r="CB30" s="22">
        <f t="shared" si="10"/>
        <v>188.76221470729038</v>
      </c>
      <c r="CC30" s="62">
        <f t="shared" si="11"/>
        <v>421.28005757985386</v>
      </c>
      <c r="CD30" s="62">
        <f ca="1">AVERAGE(OFFSET($CC$3,0,0,'Données projet'!$E$12+1,1))-AVERAGE(OFFSET($H$3,0,0,'Données projet'!$E$12+1,1))</f>
        <v>309.21625451786218</v>
      </c>
      <c r="CE30" s="62">
        <f t="shared" si="40"/>
        <v>302.59481222418219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8.717948717948719</v>
      </c>
      <c r="CT30" s="13">
        <f>IF('Données projet'!$A$140&gt;35,CT29+CS30-DB29,IF(A30&lt;'Données projet'!$A$140,$CQ$205^A30,IF(A30='Données projet'!$A$140,'Données projet'!$B$140,CT29+CS30-DB29)))</f>
        <v>142.43589743589746</v>
      </c>
      <c r="CU30" s="18">
        <f>CT30*VLOOKUP('Données projet'!$B$13,Paramètres!$A$1:$I$89,3,0)*VLOOKUP('Données projet'!$B$13,Paramètres!$A$1:$I$89,5,0)</f>
        <v>135.54200000000003</v>
      </c>
      <c r="CV30" s="14">
        <f t="shared" si="41"/>
        <v>35.273824818995735</v>
      </c>
      <c r="CW30" s="22">
        <f t="shared" si="13"/>
        <v>297.50422822641758</v>
      </c>
      <c r="CX30" s="62">
        <f t="shared" si="14"/>
        <v>530.02207109898109</v>
      </c>
      <c r="CY30" s="62">
        <f ca="1">AVERAGE(OFFSET($CX$3,0,0,'Données projet'!$E$13+1,1))-AVERAGE(OFFSET($H$3,0,0,'Données projet'!$E$13+1,1))</f>
        <v>491.87038198656927</v>
      </c>
      <c r="CZ30" s="62">
        <f t="shared" si="42"/>
        <v>406.49261644949559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9.1999999999999993</v>
      </c>
      <c r="DO30" s="13">
        <f>IF('Données projet'!$A$166&gt;35,DO29+DN30-DW29,IF(A30&lt;'Données projet'!$A$166,$DL$205^A30,IF(A30='Données projet'!$A$166,'Données projet'!$B$166,DO29+DN30-DW29)))</f>
        <v>93.40000000000002</v>
      </c>
      <c r="DP30" s="18">
        <f>DO30*VLOOKUP('Données projet'!$B$14,Paramètres!$A$1:$I$89,3,0)*VLOOKUP('Données projet'!$B$14,Paramètres!$A$1:$I$89,5,0)</f>
        <v>90.336480000000023</v>
      </c>
      <c r="DQ30" s="14">
        <f t="shared" si="43"/>
        <v>24.646358234355564</v>
      </c>
      <c r="DR30" s="22">
        <f t="shared" si="16"/>
        <v>200.26177659150264</v>
      </c>
      <c r="DS30" s="62">
        <f t="shared" si="17"/>
        <v>432.77961946406617</v>
      </c>
      <c r="DT30" s="62">
        <f ca="1">AVERAGE(OFFSET($DS$3,0,0,'Données projet'!$E$14+1,1))-AVERAGE(OFFSET($H$3,0,0,'Données projet'!$E$14+1,1))</f>
        <v>603.52431522262032</v>
      </c>
      <c r="DU30" s="62">
        <f t="shared" si="44"/>
        <v>313.56299786481338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projet'!$B$14,Paramètres!$A$1:$I$89,3,0)*0.475*44/12</f>
        <v>0</v>
      </c>
      <c r="EB30" s="23">
        <f>EXP(-LN(2)/25)*EB29+(1-EXP(-LN(2)/25))/(LN(2)/25)*Calculateur!DW30*Calculateur!DY30*VLOOKUP('Données projet'!$B$14,Paramètres!$A$1:$I$89,3,0)*0.475*44/12</f>
        <v>0</v>
      </c>
      <c r="EC30" s="23">
        <f>EXP(-LN(2)/2)*EC29+(1-EXP(-LN(2)/2))/(LN(2)/2)*DW30*DZ30*VLOOKUP('Données projet'!$B$14,Paramètres!$A$1:$I$89,3,0)*0.475*44/12</f>
        <v>0</v>
      </c>
      <c r="ED30" s="24">
        <f t="shared" si="18"/>
        <v>0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8.8000000000000007</v>
      </c>
      <c r="EJ30" s="13">
        <f>IF('Données projet'!$A$192&gt;35,EJ29+EI30-ER29,IF(A30&lt;'Données projet'!$A$192,$EG$205^A30,IF(A30='Données projet'!$A$192,'Données projet'!$B$192,EJ29+EI30-ER29)))</f>
        <v>119.59999999999997</v>
      </c>
      <c r="EK30" s="18">
        <f>EJ30*VLOOKUP('Données projet'!$B$15,Paramètres!$A$1:$I$89,3,0)*VLOOKUP('Données projet'!$B$15,Paramètres!$A$1:$I$89,5,0)</f>
        <v>97.019519999999986</v>
      </c>
      <c r="EL30" s="14">
        <f t="shared" si="45"/>
        <v>26.250693712468323</v>
      </c>
      <c r="EM30" s="22">
        <f t="shared" si="19"/>
        <v>214.69562221588228</v>
      </c>
      <c r="EN30" s="62">
        <f t="shared" si="20"/>
        <v>447.21346508844579</v>
      </c>
      <c r="EO30" s="62">
        <f ca="1">AVERAGE(OFFSET($EN$3,0,0,'Données projet'!$E$15+1,1))-AVERAGE(OFFSET($H$3,0,0,'Données projet'!$E$15+1,1))</f>
        <v>272.69564942740931</v>
      </c>
      <c r="EP30" s="62">
        <f t="shared" si="46"/>
        <v>316.57989180609252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>
        <f>EXP(-LN(2)/35)*EV29+(1-EXP(-LN(2)/35))/(LN(2)/35)*ER30*ES30*VLOOKUP('Données projet'!$B$15,Paramètres!$A$1:$I$89,3,0)*0.475*44/12</f>
        <v>0</v>
      </c>
      <c r="EW30" s="23">
        <f>EXP(-LN(2)/25)*EW29+(1-EXP(-LN(2)/25))/(LN(2)/25)*Calculateur!ER30*Calculateur!ET30*VLOOKUP('Données projet'!$B$15,Paramètres!$A$1:$I$89,3,0)*0.475*44/12</f>
        <v>0</v>
      </c>
      <c r="EX30" s="23">
        <f>EXP(-LN(2)/2)*EX29+(1-EXP(-LN(2)/2))/(LN(2)/2)*ER30*EU30*VLOOKUP('Données projet'!$B$15,Paramètres!$A$1:$I$89,3,0)*0.475*44/12</f>
        <v>0</v>
      </c>
      <c r="EY30" s="24">
        <f t="shared" si="21"/>
        <v>0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10.256410256410254</v>
      </c>
      <c r="FE30" s="13">
        <f>IF('Données projet'!$A$218&gt;35,FE29+FD30-FM29,IF(A30&lt;'Données projet'!$A$218,$FB$205^A30,IF(A30='Données projet'!$A$218,'Données projet'!$B$218,FE29+FD30-FM29)))</f>
        <v>185.25641025641025</v>
      </c>
      <c r="FF30" s="18">
        <f>FE30*VLOOKUP('Données projet'!$B$16,Paramètres!$A$1:$I$89,3,0)*VLOOKUP('Données projet'!$B$16,Paramètres!$A$1:$I$89,5,0)</f>
        <v>124.27</v>
      </c>
      <c r="FG30" s="14">
        <f t="shared" si="47"/>
        <v>32.668871006084437</v>
      </c>
      <c r="FH30" s="22">
        <f t="shared" si="22"/>
        <v>273.33520033559711</v>
      </c>
      <c r="FI30" s="62">
        <f t="shared" si="23"/>
        <v>505.85304320816061</v>
      </c>
      <c r="FJ30" s="62">
        <f ca="1">AVERAGE(OFFSET($FI$3,0,0,'Données projet'!$E$16+1,1))-AVERAGE(OFFSET($H$3,0,0,'Données projet'!$E$16+1,1))</f>
        <v>440.90856392064205</v>
      </c>
      <c r="FK30" s="62">
        <f t="shared" si="48"/>
        <v>373.33139300970629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>
        <f>EXP(-LN(2)/35)*FQ29+(1-EXP(-LN(2)/35))/(LN(2)/35)*FM30*FN30*VLOOKUP('Données projet'!$B$16,Paramètres!$A$1:$I$89,3,0)*0.475*44/12</f>
        <v>0</v>
      </c>
      <c r="FR30" s="23">
        <f>EXP(-LN(2)/25)*FR29+(1-EXP(-LN(2)/25))/(LN(2)/25)*Calculateur!FM30*Calculateur!FO30*VLOOKUP('Données projet'!$B$16,Paramètres!$A$1:$I$89,3,0)*0.475*44/12</f>
        <v>0</v>
      </c>
      <c r="FS30" s="23">
        <f>EXP(-LN(2)/2)*FS29+(1-EXP(-LN(2)/2))/(LN(2)/2)*FM30*FP30*VLOOKUP('Données projet'!$B$16,Paramètres!$A$1:$I$89,3,0)*0.475*44/12</f>
        <v>0</v>
      </c>
      <c r="FT30" s="24">
        <f t="shared" si="24"/>
        <v>0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70">
        <f t="shared" si="1"/>
        <v>183.33333333333334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9.1999999999999993</v>
      </c>
      <c r="N31" s="14">
        <f>IF('Données projet'!$A$36&gt;35,N30+M31-V30,IF(A31&lt;'Données projet'!$A$36,$K$205^A31,IF(A31='Données projet'!$A$36,'Données projet'!$B$36,N30+M31-V30)))</f>
        <v>102.60000000000002</v>
      </c>
      <c r="O31" s="14">
        <f>N31*VLOOKUP('Données projet'!$B$9,Paramètres!$A$1:$I$89,3,0)*VLOOKUP('Données projet'!$B$9,Paramètres!$A$1:$I$89,5,0)</f>
        <v>92.832480000000018</v>
      </c>
      <c r="P31" s="14">
        <f t="shared" si="33"/>
        <v>25.247114117480137</v>
      </c>
      <c r="Q31" s="22">
        <f t="shared" si="2"/>
        <v>205.65529308794461</v>
      </c>
      <c r="R31" s="62">
        <f t="shared" si="0"/>
        <v>440.3867625099287</v>
      </c>
      <c r="S31" s="62">
        <f ca="1">AVERAGE(OFFSET($R$3,0,0,'Données projet'!$E$9+1,1))-AVERAGE(OFFSET($H$3,0,0,'Données projet'!$E$9+1,1))</f>
        <v>570.08763950759544</v>
      </c>
      <c r="T31" s="62">
        <f t="shared" si="34"/>
        <v>297.32483725004136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14.2</v>
      </c>
      <c r="AI31" s="14">
        <f>IF('Données projet'!$A$62&gt;35,AI30+AH31-AQ30,IF(A31&lt;'Données projet'!$A$62,$AF$205^A31,IF(A31='Données projet'!$A$62,'Données projet'!$B$62,AI30+AH31-AQ30)))</f>
        <v>183.59999999999997</v>
      </c>
      <c r="AJ31" s="14">
        <f>AI31*VLOOKUP('Données projet'!$B$10,Paramètres!$A$1:$I$89,3,0)*VLOOKUP('Données projet'!$B$10,Paramètres!$A$1:$I$89,5,0)</f>
        <v>146.07215999999997</v>
      </c>
      <c r="AK31" s="14">
        <f t="shared" si="35"/>
        <v>37.684596095571003</v>
      </c>
      <c r="AL31" s="22">
        <f t="shared" si="4"/>
        <v>320.04301686645277</v>
      </c>
      <c r="AM31" s="62">
        <f t="shared" si="5"/>
        <v>554.77448628843683</v>
      </c>
      <c r="AN31" s="62">
        <f ca="1">AVERAGE(OFFSET($AM$3,0,0,'Données projet'!$E$10+1,1))-AVERAGE(OFFSET($H$3,0,0,'Données projet'!$E$10+1,1))</f>
        <v>394.70330963327166</v>
      </c>
      <c r="AO31" s="62">
        <f t="shared" si="36"/>
        <v>424.06445894109982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14.2</v>
      </c>
      <c r="BD31" s="13">
        <f>IF('Données projet'!$A$88&gt;35,BD30+BC31-BL30,IF(A31&lt;'Données projet'!$A$88,$BA$205^A31,IF(A31='Données projet'!$A$88,'Données projet'!$B$88,BD30+BC31-BL30)))</f>
        <v>183.59999999999997</v>
      </c>
      <c r="BE31" s="14">
        <f>BD31*VLOOKUP('Données projet'!$B$11,Paramètres!$A$1:$I$89,3,0)*VLOOKUP('Données projet'!$B$11,Paramètres!$A$1:$I$89,5,0)</f>
        <v>134.61551999999998</v>
      </c>
      <c r="BF31" s="14">
        <f t="shared" si="37"/>
        <v>35.060695303875569</v>
      </c>
      <c r="BG31" s="22">
        <f t="shared" si="7"/>
        <v>295.51940832091657</v>
      </c>
      <c r="BH31" s="62">
        <f t="shared" si="8"/>
        <v>530.25087774290068</v>
      </c>
      <c r="BI31" s="62">
        <f ca="1">AVERAGE(OFFSET($BH$3,0,0,'Données projet'!$E$11+1,1))-AVERAGE(OFFSET($H$3,0,0,'Données projet'!$E$11+1,1))</f>
        <v>368.54671978064204</v>
      </c>
      <c r="BJ31" s="62">
        <f t="shared" si="38"/>
        <v>395.83504504492237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11.5</v>
      </c>
      <c r="BY31" s="13">
        <f>IF('Données projet'!$A$114&gt;35,BY30+BX31-CG30,IF(A31&lt;'Données projet'!$A$114,$BV$205^A31,IF(A31='Données projet'!$A$114,'Données projet'!$B$114,BY30+BX31-CG30)))</f>
        <v>120.49999999999996</v>
      </c>
      <c r="BZ31" s="14">
        <f>BY31*VLOOKUP('Données projet'!$B$12,Paramètres!$A$1:$I$89,3,0)*VLOOKUP('Données projet'!$B$12,Paramètres!$A$1:$I$89,5,0)</f>
        <v>93.989999999999966</v>
      </c>
      <c r="CA31" s="14">
        <f t="shared" si="39"/>
        <v>25.525074036970054</v>
      </c>
      <c r="CB31" s="22">
        <f t="shared" si="10"/>
        <v>208.15542061438944</v>
      </c>
      <c r="CC31" s="62">
        <f t="shared" si="11"/>
        <v>442.88689003637353</v>
      </c>
      <c r="CD31" s="62">
        <f ca="1">AVERAGE(OFFSET($CC$3,0,0,'Données projet'!$E$12+1,1))-AVERAGE(OFFSET($H$3,0,0,'Données projet'!$E$12+1,1))</f>
        <v>309.21625451786218</v>
      </c>
      <c r="CE31" s="62">
        <f t="shared" si="40"/>
        <v>302.59481222418219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8.717948717948719</v>
      </c>
      <c r="CT31" s="13">
        <f>IF('Données projet'!$A$140&gt;35,CT30+CS31-DB30,IF(A31&lt;'Données projet'!$A$140,$CQ$205^A31,IF(A31='Données projet'!$A$140,'Données projet'!$B$140,CT30+CS31-DB30)))</f>
        <v>151.15384615384619</v>
      </c>
      <c r="CU31" s="18">
        <f>CT31*VLOOKUP('Données projet'!$B$13,Paramètres!$A$1:$I$89,3,0)*VLOOKUP('Données projet'!$B$13,Paramètres!$A$1:$I$89,5,0)</f>
        <v>143.83800000000002</v>
      </c>
      <c r="CV31" s="14">
        <f t="shared" si="41"/>
        <v>37.174848682678338</v>
      </c>
      <c r="CW31" s="22">
        <f t="shared" si="13"/>
        <v>315.26404478899815</v>
      </c>
      <c r="CX31" s="62">
        <f t="shared" si="14"/>
        <v>549.99551421098226</v>
      </c>
      <c r="CY31" s="62">
        <f ca="1">AVERAGE(OFFSET($CX$3,0,0,'Données projet'!$E$13+1,1))-AVERAGE(OFFSET($H$3,0,0,'Données projet'!$E$13+1,1))</f>
        <v>491.87038198656927</v>
      </c>
      <c r="CZ31" s="62">
        <f t="shared" si="42"/>
        <v>406.49261644949559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9.1999999999999993</v>
      </c>
      <c r="DO31" s="13">
        <f>IF('Données projet'!$A$166&gt;35,DO30+DN31-DW30,IF(A31&lt;'Données projet'!$A$166,$DL$205^A31,IF(A31='Données projet'!$A$166,'Données projet'!$B$166,DO30+DN31-DW30)))</f>
        <v>102.60000000000002</v>
      </c>
      <c r="DP31" s="18">
        <f>DO31*VLOOKUP('Données projet'!$B$14,Paramètres!$A$1:$I$89,3,0)*VLOOKUP('Données projet'!$B$14,Paramètres!$A$1:$I$89,5,0)</f>
        <v>99.234720000000024</v>
      </c>
      <c r="DQ31" s="14">
        <f t="shared" si="43"/>
        <v>26.779598706219044</v>
      </c>
      <c r="DR31" s="22">
        <f t="shared" si="16"/>
        <v>219.47493841333153</v>
      </c>
      <c r="DS31" s="62">
        <f t="shared" si="17"/>
        <v>454.20640783531564</v>
      </c>
      <c r="DT31" s="62">
        <f ca="1">AVERAGE(OFFSET($DS$3,0,0,'Données projet'!$E$14+1,1))-AVERAGE(OFFSET($H$3,0,0,'Données projet'!$E$14+1,1))</f>
        <v>603.52431522262032</v>
      </c>
      <c r="DU31" s="62">
        <f t="shared" si="44"/>
        <v>313.56299786481338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projet'!$B$14,Paramètres!$A$1:$I$89,3,0)*0.475*44/12</f>
        <v>0</v>
      </c>
      <c r="EB31" s="23">
        <f>EXP(-LN(2)/25)*EB30+(1-EXP(-LN(2)/25))/(LN(2)/25)*Calculateur!DW31*Calculateur!DY31*VLOOKUP('Données projet'!$B$14,Paramètres!$A$1:$I$89,3,0)*0.475*44/12</f>
        <v>0</v>
      </c>
      <c r="EC31" s="23">
        <f>EXP(-LN(2)/2)*EC30+(1-EXP(-LN(2)/2))/(LN(2)/2)*DW31*DZ31*VLOOKUP('Données projet'!$B$14,Paramètres!$A$1:$I$89,3,0)*0.475*44/12</f>
        <v>0</v>
      </c>
      <c r="ED31" s="24">
        <f t="shared" si="18"/>
        <v>0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8.8000000000000007</v>
      </c>
      <c r="EJ31" s="13">
        <f>IF('Données projet'!$A$192&gt;35,EJ30+EI31-ER30,IF(A31&lt;'Données projet'!$A$192,$EG$205^A31,IF(A31='Données projet'!$A$192,'Données projet'!$B$192,EJ30+EI31-ER30)))</f>
        <v>128.39999999999998</v>
      </c>
      <c r="EK31" s="18">
        <f>EJ31*VLOOKUP('Données projet'!$B$15,Paramètres!$A$1:$I$89,3,0)*VLOOKUP('Données projet'!$B$15,Paramètres!$A$1:$I$89,5,0)</f>
        <v>104.15807999999998</v>
      </c>
      <c r="EL31" s="14">
        <f t="shared" si="45"/>
        <v>27.950241801489337</v>
      </c>
      <c r="EM31" s="22">
        <f t="shared" si="19"/>
        <v>230.08866047092724</v>
      </c>
      <c r="EN31" s="62">
        <f t="shared" si="20"/>
        <v>464.82012989291132</v>
      </c>
      <c r="EO31" s="62">
        <f ca="1">AVERAGE(OFFSET($EN$3,0,0,'Données projet'!$E$15+1,1))-AVERAGE(OFFSET($H$3,0,0,'Données projet'!$E$15+1,1))</f>
        <v>272.69564942740931</v>
      </c>
      <c r="EP31" s="62">
        <f t="shared" si="46"/>
        <v>316.57989180609252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>
        <f>EXP(-LN(2)/35)*EV30+(1-EXP(-LN(2)/35))/(LN(2)/35)*ER31*ES31*VLOOKUP('Données projet'!$B$15,Paramètres!$A$1:$I$89,3,0)*0.475*44/12</f>
        <v>0</v>
      </c>
      <c r="EW31" s="23">
        <f>EXP(-LN(2)/25)*EW30+(1-EXP(-LN(2)/25))/(LN(2)/25)*Calculateur!ER31*Calculateur!ET31*VLOOKUP('Données projet'!$B$15,Paramètres!$A$1:$I$89,3,0)*0.475*44/12</f>
        <v>0</v>
      </c>
      <c r="EX31" s="23">
        <f>EXP(-LN(2)/2)*EX30+(1-EXP(-LN(2)/2))/(LN(2)/2)*ER31*EU31*VLOOKUP('Données projet'!$B$15,Paramètres!$A$1:$I$89,3,0)*0.475*44/12</f>
        <v>0</v>
      </c>
      <c r="EY31" s="24">
        <f t="shared" si="21"/>
        <v>0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10.256410256410254</v>
      </c>
      <c r="FE31" s="13">
        <f>IF('Données projet'!$A$218&gt;35,FE30+FD31-FM30,IF(A31&lt;'Données projet'!$A$218,$FB$205^A31,IF(A31='Données projet'!$A$218,'Données projet'!$B$218,FE30+FD31-FM30)))</f>
        <v>195.5128205128205</v>
      </c>
      <c r="FF31" s="18">
        <f>FE31*VLOOKUP('Données projet'!$B$16,Paramètres!$A$1:$I$89,3,0)*VLOOKUP('Données projet'!$B$16,Paramètres!$A$1:$I$89,5,0)</f>
        <v>131.15</v>
      </c>
      <c r="FG31" s="14">
        <f t="shared" si="47"/>
        <v>34.261954205091826</v>
      </c>
      <c r="FH31" s="22">
        <f t="shared" si="22"/>
        <v>288.09248690720159</v>
      </c>
      <c r="FI31" s="62">
        <f t="shared" si="23"/>
        <v>522.82395632918565</v>
      </c>
      <c r="FJ31" s="62">
        <f ca="1">AVERAGE(OFFSET($FI$3,0,0,'Données projet'!$E$16+1,1))-AVERAGE(OFFSET($H$3,0,0,'Données projet'!$E$16+1,1))</f>
        <v>440.90856392064205</v>
      </c>
      <c r="FK31" s="62">
        <f t="shared" si="48"/>
        <v>373.33139300970629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>
        <f>EXP(-LN(2)/35)*FQ30+(1-EXP(-LN(2)/35))/(LN(2)/35)*FM31*FN31*VLOOKUP('Données projet'!$B$16,Paramètres!$A$1:$I$89,3,0)*0.475*44/12</f>
        <v>0</v>
      </c>
      <c r="FR31" s="23">
        <f>EXP(-LN(2)/25)*FR30+(1-EXP(-LN(2)/25))/(LN(2)/25)*Calculateur!FM31*Calculateur!FO31*VLOOKUP('Données projet'!$B$16,Paramètres!$A$1:$I$89,3,0)*0.475*44/12</f>
        <v>0</v>
      </c>
      <c r="FS31" s="23">
        <f>EXP(-LN(2)/2)*FS30+(1-EXP(-LN(2)/2))/(LN(2)/2)*FM31*FP31*VLOOKUP('Données projet'!$B$16,Paramètres!$A$1:$I$89,3,0)*0.475*44/12</f>
        <v>0</v>
      </c>
      <c r="FT31" s="24">
        <f t="shared" si="24"/>
        <v>0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70">
        <f t="shared" si="1"/>
        <v>183.33333333333334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9.1999999999999993</v>
      </c>
      <c r="N32" s="14">
        <f>IF('Données projet'!$A$36&gt;35,N31+M32-V31,IF(A32&lt;'Données projet'!$A$36,$K$205^A32,IF(A32='Données projet'!$A$36,'Données projet'!$B$36,N31+M32-V31)))</f>
        <v>111.80000000000003</v>
      </c>
      <c r="O32" s="14">
        <f>N32*VLOOKUP('Données projet'!$B$9,Paramètres!$A$1:$I$89,3,0)*VLOOKUP('Données projet'!$B$9,Paramètres!$A$1:$I$89,5,0)</f>
        <v>101.15664000000001</v>
      </c>
      <c r="P32" s="14">
        <f t="shared" si="33"/>
        <v>27.237366379381644</v>
      </c>
      <c r="Q32" s="22">
        <f t="shared" si="2"/>
        <v>223.61956111075639</v>
      </c>
      <c r="R32" s="62">
        <f t="shared" si="0"/>
        <v>460.54745843353226</v>
      </c>
      <c r="S32" s="62">
        <f ca="1">AVERAGE(OFFSET($R$3,0,0,'Données projet'!$E$9+1,1))-AVERAGE(OFFSET($H$3,0,0,'Données projet'!$E$9+1,1))</f>
        <v>570.08763950759544</v>
      </c>
      <c r="T32" s="62">
        <f t="shared" si="34"/>
        <v>297.32483725004136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14.2</v>
      </c>
      <c r="AI32" s="14">
        <f>IF('Données projet'!$A$62&gt;35,AI31+AH32-AQ31,IF(A32&lt;'Données projet'!$A$62,$AF$205^A32,IF(A32='Données projet'!$A$62,'Données projet'!$B$62,AI31+AH32-AQ31)))</f>
        <v>197.79999999999995</v>
      </c>
      <c r="AJ32" s="14">
        <f>AI32*VLOOKUP('Données projet'!$B$10,Paramètres!$A$1:$I$89,3,0)*VLOOKUP('Données projet'!$B$10,Paramètres!$A$1:$I$89,5,0)</f>
        <v>157.36967999999996</v>
      </c>
      <c r="AK32" s="14">
        <f t="shared" si="35"/>
        <v>40.248668251494934</v>
      </c>
      <c r="AL32" s="22">
        <f t="shared" si="4"/>
        <v>344.18528987135363</v>
      </c>
      <c r="AM32" s="62">
        <f t="shared" si="5"/>
        <v>581.11318719412952</v>
      </c>
      <c r="AN32" s="62">
        <f ca="1">AVERAGE(OFFSET($AM$3,0,0,'Données projet'!$E$10+1,1))-AVERAGE(OFFSET($H$3,0,0,'Données projet'!$E$10+1,1))</f>
        <v>394.70330963327166</v>
      </c>
      <c r="AO32" s="62">
        <f t="shared" si="36"/>
        <v>424.06445894109982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14.2</v>
      </c>
      <c r="BD32" s="13">
        <f>IF('Données projet'!$A$88&gt;35,BD31+BC32-BL31,IF(A32&lt;'Données projet'!$A$88,$BA$205^A32,IF(A32='Données projet'!$A$88,'Données projet'!$B$88,BD31+BC32-BL31)))</f>
        <v>197.79999999999995</v>
      </c>
      <c r="BE32" s="14">
        <f>BD32*VLOOKUP('Données projet'!$B$11,Paramètres!$A$1:$I$89,3,0)*VLOOKUP('Données projet'!$B$11,Paramètres!$A$1:$I$89,5,0)</f>
        <v>145.02695999999997</v>
      </c>
      <c r="BF32" s="14">
        <f t="shared" si="37"/>
        <v>37.446236397854975</v>
      </c>
      <c r="BG32" s="22">
        <f t="shared" si="7"/>
        <v>317.80748372626402</v>
      </c>
      <c r="BH32" s="62">
        <f t="shared" si="8"/>
        <v>554.73538104903992</v>
      </c>
      <c r="BI32" s="62">
        <f ca="1">AVERAGE(OFFSET($BH$3,0,0,'Données projet'!$E$11+1,1))-AVERAGE(OFFSET($H$3,0,0,'Données projet'!$E$11+1,1))</f>
        <v>368.54671978064204</v>
      </c>
      <c r="BJ32" s="62">
        <f t="shared" si="38"/>
        <v>395.83504504492237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11.5</v>
      </c>
      <c r="BY32" s="13">
        <f>IF('Données projet'!$A$114&gt;35,BY31+BX32-CG31,IF(A32&lt;'Données projet'!$A$114,$BV$205^A32,IF(A32='Données projet'!$A$114,'Données projet'!$B$114,BY31+BX32-CG31)))</f>
        <v>131.99999999999994</v>
      </c>
      <c r="BZ32" s="14">
        <f>BY32*VLOOKUP('Données projet'!$B$12,Paramètres!$A$1:$I$89,3,0)*VLOOKUP('Données projet'!$B$12,Paramètres!$A$1:$I$89,5,0)</f>
        <v>102.95999999999997</v>
      </c>
      <c r="CA32" s="14">
        <f t="shared" si="39"/>
        <v>27.665975080374633</v>
      </c>
      <c r="CB32" s="22">
        <f t="shared" si="10"/>
        <v>227.50690659831903</v>
      </c>
      <c r="CC32" s="62">
        <f t="shared" si="11"/>
        <v>464.43480392109484</v>
      </c>
      <c r="CD32" s="62">
        <f ca="1">AVERAGE(OFFSET($CC$3,0,0,'Données projet'!$E$12+1,1))-AVERAGE(OFFSET($H$3,0,0,'Données projet'!$E$12+1,1))</f>
        <v>309.21625451786218</v>
      </c>
      <c r="CE32" s="62">
        <f t="shared" si="40"/>
        <v>302.59481222418219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8.717948717948719</v>
      </c>
      <c r="CT32" s="13">
        <f>IF('Données projet'!$A$140&gt;35,CT31+CS32-DB31,IF(A32&lt;'Données projet'!$A$140,$CQ$205^A32,IF(A32='Données projet'!$A$140,'Données projet'!$B$140,CT31+CS32-DB31)))</f>
        <v>159.87179487179492</v>
      </c>
      <c r="CU32" s="18">
        <f>CT32*VLOOKUP('Données projet'!$B$13,Paramètres!$A$1:$I$89,3,0)*VLOOKUP('Données projet'!$B$13,Paramètres!$A$1:$I$89,5,0)</f>
        <v>152.13400000000004</v>
      </c>
      <c r="CV32" s="14">
        <f t="shared" si="41"/>
        <v>39.063145346110069</v>
      </c>
      <c r="CW32" s="22">
        <f t="shared" si="13"/>
        <v>333.00169481114176</v>
      </c>
      <c r="CX32" s="62">
        <f t="shared" si="14"/>
        <v>569.92959213391759</v>
      </c>
      <c r="CY32" s="62">
        <f ca="1">AVERAGE(OFFSET($CX$3,0,0,'Données projet'!$E$13+1,1))-AVERAGE(OFFSET($H$3,0,0,'Données projet'!$E$13+1,1))</f>
        <v>491.87038198656927</v>
      </c>
      <c r="CZ32" s="62">
        <f t="shared" si="42"/>
        <v>406.49261644949559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9.1999999999999993</v>
      </c>
      <c r="DO32" s="13">
        <f>IF('Données projet'!$A$166&gt;35,DO31+DN32-DW31,IF(A32&lt;'Données projet'!$A$166,$DL$205^A32,IF(A32='Données projet'!$A$166,'Données projet'!$B$166,DO31+DN32-DW31)))</f>
        <v>111.80000000000003</v>
      </c>
      <c r="DP32" s="18">
        <f>DO32*VLOOKUP('Données projet'!$B$14,Paramètres!$A$1:$I$89,3,0)*VLOOKUP('Données projet'!$B$14,Paramètres!$A$1:$I$89,5,0)</f>
        <v>108.13296000000003</v>
      </c>
      <c r="DQ32" s="14">
        <f t="shared" si="43"/>
        <v>28.890658079177882</v>
      </c>
      <c r="DR32" s="22">
        <f t="shared" si="16"/>
        <v>238.64946815456821</v>
      </c>
      <c r="DS32" s="62">
        <f t="shared" si="17"/>
        <v>475.57736547734407</v>
      </c>
      <c r="DT32" s="62">
        <f ca="1">AVERAGE(OFFSET($DS$3,0,0,'Données projet'!$E$14+1,1))-AVERAGE(OFFSET($H$3,0,0,'Données projet'!$E$14+1,1))</f>
        <v>603.52431522262032</v>
      </c>
      <c r="DU32" s="62">
        <f t="shared" si="44"/>
        <v>313.56299786481338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projet'!$B$14,Paramètres!$A$1:$I$89,3,0)*0.475*44/12</f>
        <v>0</v>
      </c>
      <c r="EB32" s="23">
        <f>EXP(-LN(2)/25)*EB31+(1-EXP(-LN(2)/25))/(LN(2)/25)*Calculateur!DW32*Calculateur!DY32*VLOOKUP('Données projet'!$B$14,Paramètres!$A$1:$I$89,3,0)*0.475*44/12</f>
        <v>0</v>
      </c>
      <c r="EC32" s="23">
        <f>EXP(-LN(2)/2)*EC31+(1-EXP(-LN(2)/2))/(LN(2)/2)*DW32*DZ32*VLOOKUP('Données projet'!$B$14,Paramètres!$A$1:$I$89,3,0)*0.475*44/12</f>
        <v>0</v>
      </c>
      <c r="ED32" s="24">
        <f t="shared" si="18"/>
        <v>0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8.8000000000000007</v>
      </c>
      <c r="EJ32" s="13">
        <f>IF('Données projet'!$A$192&gt;35,EJ31+EI32-ER31,IF(A32&lt;'Données projet'!$A$192,$EG$205^A32,IF(A32='Données projet'!$A$192,'Données projet'!$B$192,EJ31+EI32-ER31)))</f>
        <v>137.19999999999999</v>
      </c>
      <c r="EK32" s="18">
        <f>EJ32*VLOOKUP('Données projet'!$B$15,Paramètres!$A$1:$I$89,3,0)*VLOOKUP('Données projet'!$B$15,Paramètres!$A$1:$I$89,5,0)</f>
        <v>111.29664</v>
      </c>
      <c r="EL32" s="14">
        <f t="shared" si="45"/>
        <v>29.636274399319777</v>
      </c>
      <c r="EM32" s="22">
        <f t="shared" si="19"/>
        <v>245.45815924548194</v>
      </c>
      <c r="EN32" s="62">
        <f t="shared" si="20"/>
        <v>482.3860565682578</v>
      </c>
      <c r="EO32" s="62">
        <f ca="1">AVERAGE(OFFSET($EN$3,0,0,'Données projet'!$E$15+1,1))-AVERAGE(OFFSET($H$3,0,0,'Données projet'!$E$15+1,1))</f>
        <v>272.69564942740931</v>
      </c>
      <c r="EP32" s="62">
        <f t="shared" si="46"/>
        <v>316.57989180609252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>
        <f>EXP(-LN(2)/35)*EV31+(1-EXP(-LN(2)/35))/(LN(2)/35)*ER32*ES32*VLOOKUP('Données projet'!$B$15,Paramètres!$A$1:$I$89,3,0)*0.475*44/12</f>
        <v>0</v>
      </c>
      <c r="EW32" s="23">
        <f>EXP(-LN(2)/25)*EW31+(1-EXP(-LN(2)/25))/(LN(2)/25)*Calculateur!ER32*Calculateur!ET32*VLOOKUP('Données projet'!$B$15,Paramètres!$A$1:$I$89,3,0)*0.475*44/12</f>
        <v>0</v>
      </c>
      <c r="EX32" s="23">
        <f>EXP(-LN(2)/2)*EX31+(1-EXP(-LN(2)/2))/(LN(2)/2)*ER32*EU32*VLOOKUP('Données projet'!$B$15,Paramètres!$A$1:$I$89,3,0)*0.475*44/12</f>
        <v>0</v>
      </c>
      <c r="EY32" s="24">
        <f t="shared" si="21"/>
        <v>0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10.256410256410254</v>
      </c>
      <c r="FE32" s="13">
        <f>IF('Données projet'!$A$218&gt;35,FE31+FD32-FM31,IF(A32&lt;'Données projet'!$A$218,$FB$205^A32,IF(A32='Données projet'!$A$218,'Données projet'!$B$218,FE31+FD32-FM31)))</f>
        <v>205.76923076923075</v>
      </c>
      <c r="FF32" s="18">
        <f>FE32*VLOOKUP('Données projet'!$B$16,Paramètres!$A$1:$I$89,3,0)*VLOOKUP('Données projet'!$B$16,Paramètres!$A$1:$I$89,5,0)</f>
        <v>138.02999999999997</v>
      </c>
      <c r="FG32" s="14">
        <f t="shared" si="47"/>
        <v>35.845334613941432</v>
      </c>
      <c r="FH32" s="22">
        <f t="shared" si="22"/>
        <v>302.83287445261459</v>
      </c>
      <c r="FI32" s="62">
        <f t="shared" si="23"/>
        <v>539.76077177539037</v>
      </c>
      <c r="FJ32" s="62">
        <f ca="1">AVERAGE(OFFSET($FI$3,0,0,'Données projet'!$E$16+1,1))-AVERAGE(OFFSET($H$3,0,0,'Données projet'!$E$16+1,1))</f>
        <v>440.90856392064205</v>
      </c>
      <c r="FK32" s="62">
        <f t="shared" si="48"/>
        <v>373.33139300970629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>
        <f>EXP(-LN(2)/35)*FQ31+(1-EXP(-LN(2)/35))/(LN(2)/35)*FM32*FN32*VLOOKUP('Données projet'!$B$16,Paramètres!$A$1:$I$89,3,0)*0.475*44/12</f>
        <v>0</v>
      </c>
      <c r="FR32" s="23">
        <f>EXP(-LN(2)/25)*FR31+(1-EXP(-LN(2)/25))/(LN(2)/25)*Calculateur!FM32*Calculateur!FO32*VLOOKUP('Données projet'!$B$16,Paramètres!$A$1:$I$89,3,0)*0.475*44/12</f>
        <v>0</v>
      </c>
      <c r="FS32" s="23">
        <f>EXP(-LN(2)/2)*FS31+(1-EXP(-LN(2)/2))/(LN(2)/2)*FM32*FP32*VLOOKUP('Données projet'!$B$16,Paramètres!$A$1:$I$89,3,0)*0.475*44/12</f>
        <v>0</v>
      </c>
      <c r="FT32" s="24">
        <f t="shared" si="24"/>
        <v>0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70">
        <f t="shared" si="1"/>
        <v>183.33333333333334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121</v>
      </c>
      <c r="L33" s="13">
        <f>VLOOKUP(A33,'Données projet'!$A$35:$I$55,9,0)</f>
        <v>9.1999999999999993</v>
      </c>
      <c r="M33" s="13">
        <f t="array" ref="M33">INDEX(L:L,MIN(IF(ISNUMBER(L33:L229),ROW(L33:L229),"")))</f>
        <v>9.1999999999999993</v>
      </c>
      <c r="N33" s="14">
        <f>IF('Données projet'!$A$36&gt;35,N32+M33-V32,IF(A33&lt;'Données projet'!$A$36,$K$205^A33,IF(A33='Données projet'!$A$36,'Données projet'!$B$36,N32+M33-V32)))</f>
        <v>121.00000000000003</v>
      </c>
      <c r="O33" s="14">
        <f>N33*VLOOKUP('Données projet'!$B$9,Paramètres!$A$1:$I$89,3,0)*VLOOKUP('Données projet'!$B$9,Paramètres!$A$1:$I$89,5,0)</f>
        <v>109.48080000000002</v>
      </c>
      <c r="P33" s="14">
        <f t="shared" si="33"/>
        <v>29.208623339903898</v>
      </c>
      <c r="Q33" s="22">
        <f t="shared" si="2"/>
        <v>241.55074565033269</v>
      </c>
      <c r="R33" s="62">
        <f t="shared" si="0"/>
        <v>480.65817058337467</v>
      </c>
      <c r="S33" s="62">
        <f ca="1">AVERAGE(OFFSET($R$3,0,0,'Données projet'!$E$9+1,1))-AVERAGE(OFFSET($H$3,0,0,'Données projet'!$E$9+1,1))</f>
        <v>570.08763950759544</v>
      </c>
      <c r="T33" s="62">
        <f t="shared" si="34"/>
        <v>297.32483725004136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212</v>
      </c>
      <c r="AG33" s="13">
        <f>VLOOKUP(A33,'Données projet'!$A$61:$I$81,9,0)</f>
        <v>14.2</v>
      </c>
      <c r="AH33" s="13">
        <f t="array" ref="AH33">INDEX(AG:AG,MIN(IF(ISNUMBER(AG33:AG229),ROW(AG33:AG229),"")))</f>
        <v>14.2</v>
      </c>
      <c r="AI33" s="14">
        <f>IF('Données projet'!$A$62&gt;35,AI32+AH33-AQ32,IF(A33&lt;'Données projet'!$A$62,$AF$205^A33,IF(A33='Données projet'!$A$62,'Données projet'!$B$62,AI32+AH33-AQ32)))</f>
        <v>211.99999999999994</v>
      </c>
      <c r="AJ33" s="14">
        <f>AI33*VLOOKUP('Données projet'!$B$10,Paramètres!$A$1:$I$89,3,0)*VLOOKUP('Données projet'!$B$10,Paramètres!$A$1:$I$89,5,0)</f>
        <v>168.66719999999998</v>
      </c>
      <c r="AK33" s="14">
        <f t="shared" si="35"/>
        <v>42.791384119459089</v>
      </c>
      <c r="AL33" s="22">
        <f t="shared" si="4"/>
        <v>368.29036734139117</v>
      </c>
      <c r="AM33" s="62">
        <f t="shared" si="5"/>
        <v>607.39779227443319</v>
      </c>
      <c r="AN33" s="62">
        <f ca="1">AVERAGE(OFFSET($AM$3,0,0,'Données projet'!$E$10+1,1))-AVERAGE(OFFSET($H$3,0,0,'Données projet'!$E$10+1,1))</f>
        <v>394.70330963327166</v>
      </c>
      <c r="AO33" s="62">
        <f t="shared" si="36"/>
        <v>424.06445894109982</v>
      </c>
      <c r="AP33" s="16">
        <f>IF(ISNA(VLOOKUP(A33,'Données projet'!$A$61:$I$81,3,0)),0,VLOOKUP(A33,'Données projet'!$A$61:$I$81,3,0))</f>
        <v>2</v>
      </c>
      <c r="AQ33" s="16">
        <f>IF(ISNA(VLOOKUP(A33,'Données projet'!$A$61:$I$81,4,0)),0,VLOOKUP(A33,'Données projet'!$A$61:$I$81,4,0))</f>
        <v>70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212</v>
      </c>
      <c r="BB33" s="13">
        <f>VLOOKUP(A33,'Données projet'!$A$87:$I$107,9,0)</f>
        <v>14.2</v>
      </c>
      <c r="BC33" s="13">
        <f t="array" ref="BC33">INDEX(BB:BB,MIN(IF(ISNUMBER(BB33:BB229),ROW(BB33:BB229),"")))</f>
        <v>14.2</v>
      </c>
      <c r="BD33" s="13">
        <f>IF('Données projet'!$A$88&gt;35,BD32+BC33-BL32,IF(A33&lt;'Données projet'!$A$88,$BA$205^A33,IF(A33='Données projet'!$A$88,'Données projet'!$B$88,BD32+BC33-BL32)))</f>
        <v>211.99999999999994</v>
      </c>
      <c r="BE33" s="14">
        <f>BD33*VLOOKUP('Données projet'!$B$11,Paramètres!$A$1:$I$89,3,0)*VLOOKUP('Données projet'!$B$11,Paramètres!$A$1:$I$89,5,0)</f>
        <v>155.43839999999997</v>
      </c>
      <c r="BF33" s="14">
        <f t="shared" si="37"/>
        <v>39.811908198208918</v>
      </c>
      <c r="BG33" s="22">
        <f t="shared" si="7"/>
        <v>340.06095344521378</v>
      </c>
      <c r="BH33" s="62">
        <f t="shared" si="8"/>
        <v>579.16837837825574</v>
      </c>
      <c r="BI33" s="62">
        <f ca="1">AVERAGE(OFFSET($BH$3,0,0,'Données projet'!$E$11+1,1))-AVERAGE(OFFSET($H$3,0,0,'Données projet'!$E$11+1,1))</f>
        <v>368.54671978064204</v>
      </c>
      <c r="BJ33" s="62">
        <f t="shared" si="38"/>
        <v>395.83504504492237</v>
      </c>
      <c r="BK33" s="16">
        <f>IF(ISNA(VLOOKUP(A33,'Données projet'!$A$87:$I$107,3,0)),0,VLOOKUP(A33,'Données projet'!$A$87:$I$107,3,0))</f>
        <v>2</v>
      </c>
      <c r="BL33" s="16">
        <f>IF(ISNA(VLOOKUP(A33,'Données projet'!$A$87:$I$107,4,0)),0,VLOOKUP(A33,'Données projet'!$A$87:$I$107,4,0))</f>
        <v>70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11.5</v>
      </c>
      <c r="BY33" s="13">
        <f>IF('Données projet'!$A$114&gt;35,BY32+BX33-CG32,IF(A33&lt;'Données projet'!$A$114,$BV$205^A33,IF(A33='Données projet'!$A$114,'Données projet'!$B$114,BY32+BX33-CG32)))</f>
        <v>143.49999999999994</v>
      </c>
      <c r="BZ33" s="14">
        <f>BY33*VLOOKUP('Données projet'!$B$12,Paramètres!$A$1:$I$89,3,0)*VLOOKUP('Données projet'!$B$12,Paramètres!$A$1:$I$89,5,0)</f>
        <v>111.92999999999996</v>
      </c>
      <c r="CA33" s="14">
        <f t="shared" si="39"/>
        <v>29.785246291563833</v>
      </c>
      <c r="CB33" s="22">
        <f t="shared" si="10"/>
        <v>246.82072062447358</v>
      </c>
      <c r="CC33" s="62">
        <f t="shared" si="11"/>
        <v>485.92814555751556</v>
      </c>
      <c r="CD33" s="62">
        <f ca="1">AVERAGE(OFFSET($CC$3,0,0,'Données projet'!$E$12+1,1))-AVERAGE(OFFSET($H$3,0,0,'Données projet'!$E$12+1,1))</f>
        <v>309.21625451786218</v>
      </c>
      <c r="CE33" s="62">
        <f t="shared" si="40"/>
        <v>302.59481222418219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168.58974358974359</v>
      </c>
      <c r="CR33" s="13">
        <f>VLOOKUP(A33,'Données projet'!$A$139:$I$159,9,0)</f>
        <v>8.717948717948719</v>
      </c>
      <c r="CS33" s="13">
        <f t="array" ref="CS33">INDEX(CR:CR,MIN(IF(ISNUMBER(CR33:CR229),ROW(CR33:CR229),"")))</f>
        <v>8.717948717948719</v>
      </c>
      <c r="CT33" s="13">
        <f>IF('Données projet'!$A$140&gt;35,CT32+CS33-DB32,IF(A33&lt;'Données projet'!$A$140,$CQ$205^A33,IF(A33='Données projet'!$A$140,'Données projet'!$B$140,CT32+CS33-DB32)))</f>
        <v>168.58974358974365</v>
      </c>
      <c r="CU33" s="18">
        <f>CT33*VLOOKUP('Données projet'!$B$13,Paramètres!$A$1:$I$89,3,0)*VLOOKUP('Données projet'!$B$13,Paramètres!$A$1:$I$89,5,0)</f>
        <v>160.43000000000006</v>
      </c>
      <c r="CV33" s="14">
        <f t="shared" si="41"/>
        <v>40.939487952030774</v>
      </c>
      <c r="CW33" s="22">
        <f t="shared" si="13"/>
        <v>350.718524849787</v>
      </c>
      <c r="CX33" s="62">
        <f t="shared" si="14"/>
        <v>589.82594978282896</v>
      </c>
      <c r="CY33" s="62">
        <f ca="1">AVERAGE(OFFSET($CX$3,0,0,'Données projet'!$E$13+1,1))-AVERAGE(OFFSET($H$3,0,0,'Données projet'!$E$13+1,1))</f>
        <v>491.87038198656927</v>
      </c>
      <c r="CZ33" s="62">
        <f t="shared" si="42"/>
        <v>406.49261644949559</v>
      </c>
      <c r="DA33" s="16">
        <f>IF(ISNA(VLOOKUP(A33,'Données projet'!$A$139:$I$159,3,0)),0,VLOOKUP(A33,'Données projet'!$A$139:$I$159,3,0))</f>
        <v>2</v>
      </c>
      <c r="DB33" s="16">
        <f>IF(ISNA(VLOOKUP(A33,'Données projet'!$A$139:$I$159,4,0)),0,VLOOKUP(A33,'Données projet'!$A$139:$I$159,4,0))</f>
        <v>38.46153846153846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0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>
        <f>VLOOKUP(A33,'Données projet'!$A$165:$I$185,2,0)</f>
        <v>121</v>
      </c>
      <c r="DM33" s="13">
        <f>VLOOKUP(A33,'Données projet'!$A$165:$I$185,9,0)</f>
        <v>9.1999999999999993</v>
      </c>
      <c r="DN33" s="13">
        <f t="array" ref="DN33">INDEX(DM:DM,MIN(IF(ISNUMBER(DM33:DM229),ROW(DM33:DM229),"")))</f>
        <v>9.1999999999999993</v>
      </c>
      <c r="DO33" s="13">
        <f>IF('Données projet'!$A$166&gt;35,DO32+DN33-DW32,IF(A33&lt;'Données projet'!$A$166,$DL$205^A33,IF(A33='Données projet'!$A$166,'Données projet'!$B$166,DO32+DN33-DW32)))</f>
        <v>121.00000000000003</v>
      </c>
      <c r="DP33" s="18">
        <f>DO33*VLOOKUP('Données projet'!$B$14,Paramètres!$A$1:$I$89,3,0)*VLOOKUP('Données projet'!$B$14,Paramètres!$A$1:$I$89,5,0)</f>
        <v>117.03120000000003</v>
      </c>
      <c r="DQ33" s="14">
        <f t="shared" si="43"/>
        <v>30.981569147428555</v>
      </c>
      <c r="DR33" s="22">
        <f t="shared" si="16"/>
        <v>257.78890626510474</v>
      </c>
      <c r="DS33" s="62">
        <f t="shared" si="17"/>
        <v>496.89633119814675</v>
      </c>
      <c r="DT33" s="62">
        <f ca="1">AVERAGE(OFFSET($DS$3,0,0,'Données projet'!$E$14+1,1))-AVERAGE(OFFSET($H$3,0,0,'Données projet'!$E$14+1,1))</f>
        <v>603.52431522262032</v>
      </c>
      <c r="DU33" s="62">
        <f t="shared" si="44"/>
        <v>313.56299786481338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projet'!$B$14,Paramètres!$A$1:$I$89,3,0)*0.475*44/12</f>
        <v>0</v>
      </c>
      <c r="EB33" s="23">
        <f>EXP(-LN(2)/25)*EB32+(1-EXP(-LN(2)/25))/(LN(2)/25)*Calculateur!DW33*Calculateur!DY33*VLOOKUP('Données projet'!$B$14,Paramètres!$A$1:$I$89,3,0)*0.475*44/12</f>
        <v>0</v>
      </c>
      <c r="EC33" s="23">
        <f>EXP(-LN(2)/2)*EC32+(1-EXP(-LN(2)/2))/(LN(2)/2)*DW33*DZ33*VLOOKUP('Données projet'!$B$14,Paramètres!$A$1:$I$89,3,0)*0.475*44/12</f>
        <v>0</v>
      </c>
      <c r="ED33" s="24">
        <f t="shared" si="18"/>
        <v>0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>
        <f>VLOOKUP(A33,'Données projet'!$A$191:$I$211,2,0)</f>
        <v>146</v>
      </c>
      <c r="EH33" s="13">
        <f>VLOOKUP(A33,'Données projet'!$A$191:$I$211,9,0)</f>
        <v>8.8000000000000007</v>
      </c>
      <c r="EI33" s="13">
        <f t="array" ref="EI33">INDEX(EH:EH,MIN(IF(ISNUMBER(EH33:EH229),ROW(EH33:EH229),"")))</f>
        <v>8.8000000000000007</v>
      </c>
      <c r="EJ33" s="13">
        <f>IF('Données projet'!$A$192&gt;35,EJ32+EI33-ER32,IF(A33&lt;'Données projet'!$A$192,$EG$205^A33,IF(A33='Données projet'!$A$192,'Données projet'!$B$192,EJ32+EI33-ER32)))</f>
        <v>146</v>
      </c>
      <c r="EK33" s="18">
        <f>EJ33*VLOOKUP('Données projet'!$B$15,Paramètres!$A$1:$I$89,3,0)*VLOOKUP('Données projet'!$B$15,Paramètres!$A$1:$I$89,5,0)</f>
        <v>118.43520000000001</v>
      </c>
      <c r="EL33" s="14">
        <f t="shared" si="45"/>
        <v>31.309757056296963</v>
      </c>
      <c r="EM33" s="22">
        <f t="shared" si="19"/>
        <v>260.80580020638394</v>
      </c>
      <c r="EN33" s="62">
        <f t="shared" si="20"/>
        <v>499.91322513942589</v>
      </c>
      <c r="EO33" s="62">
        <f ca="1">AVERAGE(OFFSET($EN$3,0,0,'Données projet'!$E$15+1,1))-AVERAGE(OFFSET($H$3,0,0,'Données projet'!$E$15+1,1))</f>
        <v>272.69564942740931</v>
      </c>
      <c r="EP33" s="62">
        <f t="shared" si="46"/>
        <v>316.57989180609252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>
        <f>EXP(-LN(2)/35)*EV32+(1-EXP(-LN(2)/35))/(LN(2)/35)*ER33*ES33*VLOOKUP('Données projet'!$B$15,Paramètres!$A$1:$I$89,3,0)*0.475*44/12</f>
        <v>0</v>
      </c>
      <c r="EW33" s="23">
        <f>EXP(-LN(2)/25)*EW32+(1-EXP(-LN(2)/25))/(LN(2)/25)*Calculateur!ER33*Calculateur!ET33*VLOOKUP('Données projet'!$B$15,Paramètres!$A$1:$I$89,3,0)*0.475*44/12</f>
        <v>0</v>
      </c>
      <c r="EX33" s="23">
        <f>EXP(-LN(2)/2)*EX32+(1-EXP(-LN(2)/2))/(LN(2)/2)*ER33*EU33*VLOOKUP('Données projet'!$B$15,Paramètres!$A$1:$I$89,3,0)*0.475*44/12</f>
        <v>0</v>
      </c>
      <c r="EY33" s="24">
        <f t="shared" si="21"/>
        <v>0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>
        <f>VLOOKUP(A33,'Données projet'!$A$217:$I$237,2,0)</f>
        <v>216.02564102564102</v>
      </c>
      <c r="FC33" s="13">
        <f>VLOOKUP(A33,'Données projet'!$A$217:$I$237,9,0)</f>
        <v>10.256410256410254</v>
      </c>
      <c r="FD33" s="13">
        <f t="array" ref="FD33">INDEX(FC:FC,MIN(IF(ISNUMBER(FC33:FC229),ROW(FC33:FC229),"")))</f>
        <v>10.256410256410254</v>
      </c>
      <c r="FE33" s="13">
        <f>IF('Données projet'!$A$218&gt;35,FE32+FD33-FM32,IF(A33&lt;'Données projet'!$A$218,$FB$205^A33,IF(A33='Données projet'!$A$218,'Données projet'!$B$218,FE32+FD33-FM32)))</f>
        <v>216.02564102564099</v>
      </c>
      <c r="FF33" s="18">
        <f>FE33*VLOOKUP('Données projet'!$B$16,Paramètres!$A$1:$I$89,3,0)*VLOOKUP('Données projet'!$B$16,Paramètres!$A$1:$I$89,5,0)</f>
        <v>144.90999999999997</v>
      </c>
      <c r="FG33" s="14">
        <f t="shared" si="47"/>
        <v>37.419551048802518</v>
      </c>
      <c r="FH33" s="22">
        <f t="shared" si="22"/>
        <v>317.55730140999771</v>
      </c>
      <c r="FI33" s="62">
        <f t="shared" si="23"/>
        <v>556.66472634303966</v>
      </c>
      <c r="FJ33" s="62">
        <f ca="1">AVERAGE(OFFSET($FI$3,0,0,'Données projet'!$E$16+1,1))-AVERAGE(OFFSET($H$3,0,0,'Données projet'!$E$16+1,1))</f>
        <v>440.90856392064205</v>
      </c>
      <c r="FK33" s="62">
        <f t="shared" si="48"/>
        <v>373.33139300970629</v>
      </c>
      <c r="FL33" s="16">
        <f>IF(ISNA(VLOOKUP(A33,'Données projet'!$A$217:$I$237,3,0)),0,VLOOKUP(A33,'Données projet'!$A$217:$I$237,3,0))</f>
        <v>2</v>
      </c>
      <c r="FM33" s="16">
        <f>IF(ISNA(VLOOKUP(A33,'Données projet'!$A$217:$I$237,4,0)),0,VLOOKUP(A33,'Données projet'!$A$217:$I$237,4,0))</f>
        <v>44.871794871794869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>
        <f>EXP(-LN(2)/35)*FQ32+(1-EXP(-LN(2)/35))/(LN(2)/35)*FM33*FN33*VLOOKUP('Données projet'!$B$16,Paramètres!$A$1:$I$89,3,0)*0.475*44/12</f>
        <v>0</v>
      </c>
      <c r="FR33" s="23">
        <f>EXP(-LN(2)/25)*FR32+(1-EXP(-LN(2)/25))/(LN(2)/25)*Calculateur!FM33*Calculateur!FO33*VLOOKUP('Données projet'!$B$16,Paramètres!$A$1:$I$89,3,0)*0.475*44/12</f>
        <v>0</v>
      </c>
      <c r="FS33" s="23">
        <f>EXP(-LN(2)/2)*FS32+(1-EXP(-LN(2)/2))/(LN(2)/2)*FM33*FP33*VLOOKUP('Données projet'!$B$16,Paramètres!$A$1:$I$89,3,0)*0.475*44/12</f>
        <v>0</v>
      </c>
      <c r="FT33" s="24">
        <f t="shared" si="24"/>
        <v>0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70">
        <f t="shared" si="1"/>
        <v>183.33333333333334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10.8</v>
      </c>
      <c r="N34" s="14">
        <f>IF('Données projet'!$A$36&gt;35,N33+M34-V33,IF(A34&lt;'Données projet'!$A$36,$K$205^A34,IF(A34='Données projet'!$A$36,'Données projet'!$B$36,N33+M34-V33)))</f>
        <v>131.80000000000004</v>
      </c>
      <c r="O34" s="14">
        <f>N34*VLOOKUP('Données projet'!$B$9,Paramètres!$A$1:$I$89,3,0)*VLOOKUP('Données projet'!$B$9,Paramètres!$A$1:$I$89,5,0)</f>
        <v>119.25264000000003</v>
      </c>
      <c r="P34" s="14">
        <f t="shared" si="33"/>
        <v>31.500626518374375</v>
      </c>
      <c r="Q34" s="22">
        <f t="shared" si="2"/>
        <v>262.56193918616879</v>
      </c>
      <c r="R34" s="62">
        <f t="shared" si="0"/>
        <v>502.61006239898632</v>
      </c>
      <c r="S34" s="62">
        <f ca="1">AVERAGE(OFFSET($R$3,0,0,'Données projet'!$E$9+1,1))-AVERAGE(OFFSET($H$3,0,0,'Données projet'!$E$9+1,1))</f>
        <v>570.08763950759544</v>
      </c>
      <c r="T34" s="62">
        <f t="shared" si="34"/>
        <v>297.32483725004136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12.8</v>
      </c>
      <c r="AI34" s="14">
        <f>IF('Données projet'!$A$62&gt;35,AI33+AH34-AQ33,IF(A34&lt;'Données projet'!$A$62,$AF$205^A34,IF(A34='Données projet'!$A$62,'Données projet'!$B$62,AI33+AH34-AQ33)))</f>
        <v>154.79999999999995</v>
      </c>
      <c r="AJ34" s="14">
        <f>AI34*VLOOKUP('Données projet'!$B$10,Paramètres!$A$1:$I$89,3,0)*VLOOKUP('Données projet'!$B$10,Paramètres!$A$1:$I$89,5,0)</f>
        <v>123.15887999999997</v>
      </c>
      <c r="AK34" s="14">
        <f t="shared" si="35"/>
        <v>32.410638331814873</v>
      </c>
      <c r="AL34" s="22">
        <f t="shared" si="4"/>
        <v>270.95024442791083</v>
      </c>
      <c r="AM34" s="62">
        <f t="shared" si="5"/>
        <v>510.99836764072836</v>
      </c>
      <c r="AN34" s="62">
        <f ca="1">AVERAGE(OFFSET($AM$3,0,0,'Données projet'!$E$10+1,1))-AVERAGE(OFFSET($H$3,0,0,'Données projet'!$E$10+1,1))</f>
        <v>394.70330963327166</v>
      </c>
      <c r="AO34" s="62">
        <f t="shared" si="36"/>
        <v>424.06445894109982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12.8</v>
      </c>
      <c r="BD34" s="13">
        <f>IF('Données projet'!$A$88&gt;35,BD33+BC34-BL33,IF(A34&lt;'Données projet'!$A$88,$BA$205^A34,IF(A34='Données projet'!$A$88,'Données projet'!$B$88,BD33+BC34-BL33)))</f>
        <v>154.79999999999995</v>
      </c>
      <c r="BE34" s="14">
        <f>BD34*VLOOKUP('Données projet'!$B$11,Paramètres!$A$1:$I$89,3,0)*VLOOKUP('Données projet'!$B$11,Paramètres!$A$1:$I$89,5,0)</f>
        <v>113.49935999999995</v>
      </c>
      <c r="BF34" s="14">
        <f t="shared" si="37"/>
        <v>30.153952354273027</v>
      </c>
      <c r="BG34" s="22">
        <f t="shared" si="7"/>
        <v>250.19618568369205</v>
      </c>
      <c r="BH34" s="62">
        <f t="shared" si="8"/>
        <v>490.24430889650961</v>
      </c>
      <c r="BI34" s="62">
        <f ca="1">AVERAGE(OFFSET($BH$3,0,0,'Données projet'!$E$11+1,1))-AVERAGE(OFFSET($H$3,0,0,'Données projet'!$E$11+1,1))</f>
        <v>368.54671978064204</v>
      </c>
      <c r="BJ34" s="62">
        <f t="shared" si="38"/>
        <v>395.83504504492237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>
        <f>VLOOKUP(A34,'Données projet'!$A$113:$I$133,2,0)</f>
        <v>155</v>
      </c>
      <c r="BW34" s="13">
        <f>VLOOKUP(A34,'Données projet'!$A$113:$I$133,9,0)</f>
        <v>11.5</v>
      </c>
      <c r="BX34" s="13">
        <f t="array" ref="BX34">INDEX(BW:BW,MIN(IF(ISNUMBER(BW34:BW230),ROW(BW34:BW230),"")))</f>
        <v>11.5</v>
      </c>
      <c r="BY34" s="13">
        <f>IF('Données projet'!$A$114&gt;35,BY33+BX34-CG33,IF(A34&lt;'Données projet'!$A$114,$BV$205^A34,IF(A34='Données projet'!$A$114,'Données projet'!$B$114,BY33+BX34-CG33)))</f>
        <v>154.99999999999994</v>
      </c>
      <c r="BZ34" s="14">
        <f>BY34*VLOOKUP('Données projet'!$B$12,Paramètres!$A$1:$I$89,3,0)*VLOOKUP('Données projet'!$B$12,Paramètres!$A$1:$I$89,5,0)</f>
        <v>120.89999999999996</v>
      </c>
      <c r="CA34" s="14">
        <f t="shared" si="39"/>
        <v>31.884818143351602</v>
      </c>
      <c r="CB34" s="22">
        <f t="shared" si="10"/>
        <v>266.10022493300397</v>
      </c>
      <c r="CC34" s="62">
        <f t="shared" si="11"/>
        <v>506.1483481458215</v>
      </c>
      <c r="CD34" s="62">
        <f ca="1">AVERAGE(OFFSET($CC$3,0,0,'Données projet'!$E$12+1,1))-AVERAGE(OFFSET($H$3,0,0,'Données projet'!$E$12+1,1))</f>
        <v>309.21625451786218</v>
      </c>
      <c r="CE34" s="62">
        <f t="shared" si="40"/>
        <v>302.59481222418219</v>
      </c>
      <c r="CF34" s="16">
        <f>IF(ISNA(VLOOKUP(A34,'Données projet'!$A$113:$I$133,3,0)),0,VLOOKUP(A34,'Données projet'!$A$113:$I$133,3,0))</f>
        <v>3</v>
      </c>
      <c r="CG34" s="16">
        <f>IF(ISNA(VLOOKUP(A34,'Données projet'!$A$113:$I$133,4,0)),0,VLOOKUP(A34,'Données projet'!$A$113:$I$133,4,0))</f>
        <v>36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8.0769230769230713</v>
      </c>
      <c r="CT34" s="13">
        <f>IF('Données projet'!$A$140&gt;35,CT33+CS34-DB33,IF(A34&lt;'Données projet'!$A$140,$CQ$205^A34,IF(A34='Données projet'!$A$140,'Données projet'!$B$140,CT33+CS34-DB33)))</f>
        <v>138.20512820512826</v>
      </c>
      <c r="CU34" s="18">
        <f>CT34*VLOOKUP('Données projet'!$B$13,Paramètres!$A$1:$I$89,3,0)*VLOOKUP('Données projet'!$B$13,Paramètres!$A$1:$I$89,5,0)</f>
        <v>131.51600000000005</v>
      </c>
      <c r="CV34" s="14">
        <f t="shared" si="41"/>
        <v>34.34642569568517</v>
      </c>
      <c r="CW34" s="22">
        <f t="shared" si="13"/>
        <v>288.87705808665174</v>
      </c>
      <c r="CX34" s="62">
        <f t="shared" si="14"/>
        <v>528.92518129946927</v>
      </c>
      <c r="CY34" s="62">
        <f ca="1">AVERAGE(OFFSET($CX$3,0,0,'Données projet'!$E$13+1,1))-AVERAGE(OFFSET($H$3,0,0,'Données projet'!$E$13+1,1))</f>
        <v>491.87038198656927</v>
      </c>
      <c r="CZ34" s="62">
        <f t="shared" si="42"/>
        <v>406.49261644949559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0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10.8</v>
      </c>
      <c r="DO34" s="13">
        <f>IF('Données projet'!$A$166&gt;35,DO33+DN34-DW33,IF(A34&lt;'Données projet'!$A$166,$DL$205^A34,IF(A34='Données projet'!$A$166,'Données projet'!$B$166,DO33+DN34-DW33)))</f>
        <v>131.80000000000004</v>
      </c>
      <c r="DP34" s="18">
        <f>DO34*VLOOKUP('Données projet'!$B$14,Paramètres!$A$1:$I$89,3,0)*VLOOKUP('Données projet'!$B$14,Paramètres!$A$1:$I$89,5,0)</f>
        <v>127.47696000000003</v>
      </c>
      <c r="DQ34" s="14">
        <f t="shared" si="43"/>
        <v>33.412695535466739</v>
      </c>
      <c r="DR34" s="22">
        <f t="shared" si="16"/>
        <v>280.21615005760458</v>
      </c>
      <c r="DS34" s="62">
        <f t="shared" si="17"/>
        <v>520.26427327042211</v>
      </c>
      <c r="DT34" s="62">
        <f ca="1">AVERAGE(OFFSET($DS$3,0,0,'Données projet'!$E$14+1,1))-AVERAGE(OFFSET($H$3,0,0,'Données projet'!$E$14+1,1))</f>
        <v>603.52431522262032</v>
      </c>
      <c r="DU34" s="62">
        <f t="shared" si="44"/>
        <v>313.56299786481338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projet'!$B$14,Paramètres!$A$1:$I$89,3,0)*0.475*44/12</f>
        <v>0</v>
      </c>
      <c r="EB34" s="23">
        <f>EXP(-LN(2)/25)*EB33+(1-EXP(-LN(2)/25))/(LN(2)/25)*Calculateur!DW34*Calculateur!DY34*VLOOKUP('Données projet'!$B$14,Paramètres!$A$1:$I$89,3,0)*0.475*44/12</f>
        <v>0</v>
      </c>
      <c r="EC34" s="23">
        <f>EXP(-LN(2)/2)*EC33+(1-EXP(-LN(2)/2))/(LN(2)/2)*DW34*DZ34*VLOOKUP('Données projet'!$B$14,Paramètres!$A$1:$I$89,3,0)*0.475*44/12</f>
        <v>0</v>
      </c>
      <c r="ED34" s="24">
        <f t="shared" si="18"/>
        <v>0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8.8000000000000007</v>
      </c>
      <c r="EJ34" s="13">
        <f>IF('Données projet'!$A$192&gt;35,EJ33+EI34-ER33,IF(A34&lt;'Données projet'!$A$192,$EG$205^A34,IF(A34='Données projet'!$A$192,'Données projet'!$B$192,EJ33+EI34-ER33)))</f>
        <v>154.80000000000001</v>
      </c>
      <c r="EK34" s="18">
        <f>EJ34*VLOOKUP('Données projet'!$B$15,Paramètres!$A$1:$I$89,3,0)*VLOOKUP('Données projet'!$B$15,Paramètres!$A$1:$I$89,5,0)</f>
        <v>125.57376000000002</v>
      </c>
      <c r="EL34" s="14">
        <f t="shared" si="45"/>
        <v>32.97153235129214</v>
      </c>
      <c r="EM34" s="22">
        <f t="shared" si="19"/>
        <v>276.13305084516719</v>
      </c>
      <c r="EN34" s="62">
        <f t="shared" si="20"/>
        <v>516.18117405798478</v>
      </c>
      <c r="EO34" s="62">
        <f ca="1">AVERAGE(OFFSET($EN$3,0,0,'Données projet'!$E$15+1,1))-AVERAGE(OFFSET($H$3,0,0,'Données projet'!$E$15+1,1))</f>
        <v>272.69564942740931</v>
      </c>
      <c r="EP34" s="62">
        <f t="shared" si="46"/>
        <v>316.57989180609252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>
        <f>EXP(-LN(2)/35)*EV33+(1-EXP(-LN(2)/35))/(LN(2)/35)*ER34*ES34*VLOOKUP('Données projet'!$B$15,Paramètres!$A$1:$I$89,3,0)*0.475*44/12</f>
        <v>0</v>
      </c>
      <c r="EW34" s="23">
        <f>EXP(-LN(2)/25)*EW33+(1-EXP(-LN(2)/25))/(LN(2)/25)*Calculateur!ER34*Calculateur!ET34*VLOOKUP('Données projet'!$B$15,Paramètres!$A$1:$I$89,3,0)*0.475*44/12</f>
        <v>0</v>
      </c>
      <c r="EX34" s="23">
        <f>EXP(-LN(2)/2)*EX33+(1-EXP(-LN(2)/2))/(LN(2)/2)*ER34*EU34*VLOOKUP('Données projet'!$B$15,Paramètres!$A$1:$I$89,3,0)*0.475*44/12</f>
        <v>0</v>
      </c>
      <c r="EY34" s="24">
        <f t="shared" si="21"/>
        <v>0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9.4871794871794854</v>
      </c>
      <c r="FE34" s="13">
        <f>IF('Données projet'!$A$218&gt;35,FE33+FD34-FM33,IF(A34&lt;'Données projet'!$A$218,$FB$205^A34,IF(A34='Données projet'!$A$218,'Données projet'!$B$218,FE33+FD34-FM33)))</f>
        <v>180.64102564102561</v>
      </c>
      <c r="FF34" s="18">
        <f>FE34*VLOOKUP('Données projet'!$B$16,Paramètres!$A$1:$I$89,3,0)*VLOOKUP('Données projet'!$B$16,Paramètres!$A$1:$I$89,5,0)</f>
        <v>121.17399999999998</v>
      </c>
      <c r="FG34" s="14">
        <f t="shared" si="47"/>
        <v>31.948660171331806</v>
      </c>
      <c r="FH34" s="22">
        <f t="shared" si="22"/>
        <v>266.68863313173614</v>
      </c>
      <c r="FI34" s="62">
        <f t="shared" si="23"/>
        <v>506.73675634455367</v>
      </c>
      <c r="FJ34" s="62">
        <f ca="1">AVERAGE(OFFSET($FI$3,0,0,'Données projet'!$E$16+1,1))-AVERAGE(OFFSET($H$3,0,0,'Données projet'!$E$16+1,1))</f>
        <v>440.90856392064205</v>
      </c>
      <c r="FK34" s="62">
        <f t="shared" si="48"/>
        <v>373.33139300970629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>
        <f>EXP(-LN(2)/35)*FQ33+(1-EXP(-LN(2)/35))/(LN(2)/35)*FM34*FN34*VLOOKUP('Données projet'!$B$16,Paramètres!$A$1:$I$89,3,0)*0.475*44/12</f>
        <v>0</v>
      </c>
      <c r="FR34" s="23">
        <f>EXP(-LN(2)/25)*FR33+(1-EXP(-LN(2)/25))/(LN(2)/25)*Calculateur!FM34*Calculateur!FO34*VLOOKUP('Données projet'!$B$16,Paramètres!$A$1:$I$89,3,0)*0.475*44/12</f>
        <v>0</v>
      </c>
      <c r="FS34" s="23">
        <f>EXP(-LN(2)/2)*FS33+(1-EXP(-LN(2)/2))/(LN(2)/2)*FM34*FP34*VLOOKUP('Données projet'!$B$16,Paramètres!$A$1:$I$89,3,0)*0.475*44/12</f>
        <v>0</v>
      </c>
      <c r="FT34" s="24">
        <f t="shared" si="24"/>
        <v>0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70">
        <f t="shared" si="1"/>
        <v>183.33333333333334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10.8</v>
      </c>
      <c r="N35" s="14">
        <f>IF('Données projet'!$A$36&gt;35,N34+M35-V34,IF(A35&lt;'Données projet'!$A$36,$K$205^A35,IF(A35='Données projet'!$A$36,'Données projet'!$B$36,N34+M35-V34)))</f>
        <v>142.60000000000005</v>
      </c>
      <c r="O35" s="14">
        <f>N35*VLOOKUP('Données projet'!$B$9,Paramètres!$A$1:$I$89,3,0)*VLOOKUP('Données projet'!$B$9,Paramètres!$A$1:$I$89,5,0)</f>
        <v>129.02448000000004</v>
      </c>
      <c r="P35" s="14">
        <f t="shared" si="33"/>
        <v>33.770846580616279</v>
      </c>
      <c r="Q35" s="22">
        <f t="shared" ref="Q35:Q66" si="53">(O35+P35)*0.475*44/12</f>
        <v>283.53519379457339</v>
      </c>
      <c r="R35" s="62">
        <f t="shared" si="0"/>
        <v>524.50769627509874</v>
      </c>
      <c r="S35" s="62">
        <f ca="1">AVERAGE(OFFSET($R$3,0,0,'Données projet'!$E$9+1,1))-AVERAGE(OFFSET($H$3,0,0,'Données projet'!$E$9+1,1))</f>
        <v>570.08763950759544</v>
      </c>
      <c r="T35" s="62">
        <f t="shared" si="34"/>
        <v>297.32483725004136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12.8</v>
      </c>
      <c r="AI35" s="14">
        <f>IF('Données projet'!$A$62&gt;35,AI34+AH35-AQ34,IF(A35&lt;'Données projet'!$A$62,$AF$205^A35,IF(A35='Données projet'!$A$62,'Données projet'!$B$62,AI34+AH35-AQ34)))</f>
        <v>167.59999999999997</v>
      </c>
      <c r="AJ35" s="14">
        <f>AI35*VLOOKUP('Données projet'!$B$10,Paramètres!$A$1:$I$89,3,0)*VLOOKUP('Données projet'!$B$10,Paramètres!$A$1:$I$89,5,0)</f>
        <v>133.34255999999999</v>
      </c>
      <c r="AK35" s="14">
        <f t="shared" si="35"/>
        <v>34.767581918978188</v>
      </c>
      <c r="AL35" s="22">
        <f t="shared" si="4"/>
        <v>292.79183050888702</v>
      </c>
      <c r="AM35" s="62">
        <f t="shared" si="5"/>
        <v>533.76433298941231</v>
      </c>
      <c r="AN35" s="62">
        <f ca="1">AVERAGE(OFFSET($AM$3,0,0,'Données projet'!$E$10+1,1))-AVERAGE(OFFSET($H$3,0,0,'Données projet'!$E$10+1,1))</f>
        <v>394.70330963327166</v>
      </c>
      <c r="AO35" s="62">
        <f t="shared" si="36"/>
        <v>424.06445894109982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12.8</v>
      </c>
      <c r="BD35" s="13">
        <f>IF('Données projet'!$A$88&gt;35,BD34+BC35-BL34,IF(A35&lt;'Données projet'!$A$88,$BA$205^A35,IF(A35='Données projet'!$A$88,'Données projet'!$B$88,BD34+BC35-BL34)))</f>
        <v>167.59999999999997</v>
      </c>
      <c r="BE35" s="14">
        <f>BD35*VLOOKUP('Données projet'!$B$11,Paramètres!$A$1:$I$89,3,0)*VLOOKUP('Données projet'!$B$11,Paramètres!$A$1:$I$89,5,0)</f>
        <v>122.88431999999997</v>
      </c>
      <c r="BF35" s="14">
        <f t="shared" si="37"/>
        <v>32.346786815026803</v>
      </c>
      <c r="BG35" s="22">
        <f t="shared" si="7"/>
        <v>270.36084436950495</v>
      </c>
      <c r="BH35" s="62">
        <f t="shared" si="8"/>
        <v>511.33334685003024</v>
      </c>
      <c r="BI35" s="62">
        <f ca="1">AVERAGE(OFFSET($BH$3,0,0,'Données projet'!$E$11+1,1))-AVERAGE(OFFSET($H$3,0,0,'Données projet'!$E$11+1,1))</f>
        <v>368.54671978064204</v>
      </c>
      <c r="BJ35" s="62">
        <f t="shared" si="38"/>
        <v>395.83504504492237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11.5</v>
      </c>
      <c r="BY35" s="13">
        <f>IF('Données projet'!$A$114&gt;35,BY34+BX35-CG34,IF(A35&lt;'Données projet'!$A$114,$BV$205^A35,IF(A35='Données projet'!$A$114,'Données projet'!$B$114,BY34+BX35-CG34)))</f>
        <v>130.49999999999994</v>
      </c>
      <c r="BZ35" s="14">
        <f>BY35*VLOOKUP('Données projet'!$B$12,Paramètres!$A$1:$I$89,3,0)*VLOOKUP('Données projet'!$B$12,Paramètres!$A$1:$I$89,5,0)</f>
        <v>101.78999999999996</v>
      </c>
      <c r="CA35" s="14">
        <f t="shared" si="39"/>
        <v>27.38799903683508</v>
      </c>
      <c r="CB35" s="22">
        <f t="shared" si="10"/>
        <v>224.98501498915437</v>
      </c>
      <c r="CC35" s="62">
        <f t="shared" si="11"/>
        <v>465.95751746967971</v>
      </c>
      <c r="CD35" s="62">
        <f ca="1">AVERAGE(OFFSET($CC$3,0,0,'Données projet'!$E$12+1,1))-AVERAGE(OFFSET($H$3,0,0,'Données projet'!$E$12+1,1))</f>
        <v>309.21625451786218</v>
      </c>
      <c r="CE35" s="62">
        <f t="shared" si="40"/>
        <v>302.59481222418219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8.0769230769230713</v>
      </c>
      <c r="CT35" s="13">
        <f>IF('Données projet'!$A$140&gt;35,CT34+CS35-DB34,IF(A35&lt;'Données projet'!$A$140,$CQ$205^A35,IF(A35='Données projet'!$A$140,'Données projet'!$B$140,CT34+CS35-DB34)))</f>
        <v>146.28205128205133</v>
      </c>
      <c r="CU35" s="18">
        <f>CT35*VLOOKUP('Données projet'!$B$13,Paramètres!$A$1:$I$89,3,0)*VLOOKUP('Données projet'!$B$13,Paramètres!$A$1:$I$89,5,0)</f>
        <v>139.20200000000003</v>
      </c>
      <c r="CV35" s="14">
        <f t="shared" si="41"/>
        <v>36.114134126277463</v>
      </c>
      <c r="CW35" s="22">
        <f t="shared" si="13"/>
        <v>305.34226693659991</v>
      </c>
      <c r="CX35" s="62">
        <f t="shared" si="14"/>
        <v>546.31476941712526</v>
      </c>
      <c r="CY35" s="62">
        <f ca="1">AVERAGE(OFFSET($CX$3,0,0,'Données projet'!$E$13+1,1))-AVERAGE(OFFSET($H$3,0,0,'Données projet'!$E$13+1,1))</f>
        <v>491.87038198656927</v>
      </c>
      <c r="CZ35" s="62">
        <f t="shared" si="42"/>
        <v>406.49261644949559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0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10.8</v>
      </c>
      <c r="DO35" s="13">
        <f>IF('Données projet'!$A$166&gt;35,DO34+DN35-DW34,IF(A35&lt;'Données projet'!$A$166,$DL$205^A35,IF(A35='Données projet'!$A$166,'Données projet'!$B$166,DO34+DN35-DW34)))</f>
        <v>142.60000000000005</v>
      </c>
      <c r="DP35" s="18">
        <f>DO35*VLOOKUP('Données projet'!$B$14,Paramètres!$A$1:$I$89,3,0)*VLOOKUP('Données projet'!$B$14,Paramètres!$A$1:$I$89,5,0)</f>
        <v>137.92272000000006</v>
      </c>
      <c r="DQ35" s="14">
        <f t="shared" si="43"/>
        <v>35.82071658526872</v>
      </c>
      <c r="DR35" s="22">
        <f t="shared" si="16"/>
        <v>302.60315205267642</v>
      </c>
      <c r="DS35" s="62">
        <f t="shared" si="17"/>
        <v>543.57565453320171</v>
      </c>
      <c r="DT35" s="62">
        <f ca="1">AVERAGE(OFFSET($DS$3,0,0,'Données projet'!$E$14+1,1))-AVERAGE(OFFSET($H$3,0,0,'Données projet'!$E$14+1,1))</f>
        <v>603.52431522262032</v>
      </c>
      <c r="DU35" s="62">
        <f t="shared" si="44"/>
        <v>313.56299786481338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projet'!$B$14,Paramètres!$A$1:$I$89,3,0)*0.475*44/12</f>
        <v>0</v>
      </c>
      <c r="EB35" s="23">
        <f>EXP(-LN(2)/25)*EB34+(1-EXP(-LN(2)/25))/(LN(2)/25)*Calculateur!DW35*Calculateur!DY35*VLOOKUP('Données projet'!$B$14,Paramètres!$A$1:$I$89,3,0)*0.475*44/12</f>
        <v>0</v>
      </c>
      <c r="EC35" s="23">
        <f>EXP(-LN(2)/2)*EC34+(1-EXP(-LN(2)/2))/(LN(2)/2)*DW35*DZ35*VLOOKUP('Données projet'!$B$14,Paramètres!$A$1:$I$89,3,0)*0.475*44/12</f>
        <v>0</v>
      </c>
      <c r="ED35" s="24">
        <f t="shared" si="18"/>
        <v>0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8.8000000000000007</v>
      </c>
      <c r="EJ35" s="13">
        <f>IF('Données projet'!$A$192&gt;35,EJ34+EI35-ER34,IF(A35&lt;'Données projet'!$A$192,$EG$205^A35,IF(A35='Données projet'!$A$192,'Données projet'!$B$192,EJ34+EI35-ER34)))</f>
        <v>163.60000000000002</v>
      </c>
      <c r="EK35" s="18">
        <f>EJ35*VLOOKUP('Données projet'!$B$15,Paramètres!$A$1:$I$89,3,0)*VLOOKUP('Données projet'!$B$15,Paramètres!$A$1:$I$89,5,0)</f>
        <v>132.71232000000003</v>
      </c>
      <c r="EL35" s="14">
        <f t="shared" si="45"/>
        <v>34.622341655285041</v>
      </c>
      <c r="EM35" s="22">
        <f t="shared" si="19"/>
        <v>291.44120238295483</v>
      </c>
      <c r="EN35" s="62">
        <f t="shared" si="20"/>
        <v>532.41370486348012</v>
      </c>
      <c r="EO35" s="62">
        <f ca="1">AVERAGE(OFFSET($EN$3,0,0,'Données projet'!$E$15+1,1))-AVERAGE(OFFSET($H$3,0,0,'Données projet'!$E$15+1,1))</f>
        <v>272.69564942740931</v>
      </c>
      <c r="EP35" s="62">
        <f t="shared" si="46"/>
        <v>316.57989180609252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>
        <f>EXP(-LN(2)/35)*EV34+(1-EXP(-LN(2)/35))/(LN(2)/35)*ER35*ES35*VLOOKUP('Données projet'!$B$15,Paramètres!$A$1:$I$89,3,0)*0.475*44/12</f>
        <v>0</v>
      </c>
      <c r="EW35" s="23">
        <f>EXP(-LN(2)/25)*EW34+(1-EXP(-LN(2)/25))/(LN(2)/25)*Calculateur!ER35*Calculateur!ET35*VLOOKUP('Données projet'!$B$15,Paramètres!$A$1:$I$89,3,0)*0.475*44/12</f>
        <v>0</v>
      </c>
      <c r="EX35" s="23">
        <f>EXP(-LN(2)/2)*EX34+(1-EXP(-LN(2)/2))/(LN(2)/2)*ER35*EU35*VLOOKUP('Données projet'!$B$15,Paramètres!$A$1:$I$89,3,0)*0.475*44/12</f>
        <v>0</v>
      </c>
      <c r="EY35" s="24">
        <f t="shared" si="21"/>
        <v>0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9.4871794871794854</v>
      </c>
      <c r="FE35" s="13">
        <f>IF('Données projet'!$A$218&gt;35,FE34+FD35-FM34,IF(A35&lt;'Données projet'!$A$218,$FB$205^A35,IF(A35='Données projet'!$A$218,'Données projet'!$B$218,FE34+FD35-FM34)))</f>
        <v>190.12820512820508</v>
      </c>
      <c r="FF35" s="18">
        <f>FE35*VLOOKUP('Données projet'!$B$16,Paramètres!$A$1:$I$89,3,0)*VLOOKUP('Données projet'!$B$16,Paramètres!$A$1:$I$89,5,0)</f>
        <v>127.53799999999998</v>
      </c>
      <c r="FG35" s="14">
        <f t="shared" si="47"/>
        <v>33.426831906857181</v>
      </c>
      <c r="FH35" s="22">
        <f t="shared" si="22"/>
        <v>280.34708223777625</v>
      </c>
      <c r="FI35" s="62">
        <f t="shared" si="23"/>
        <v>521.3195847183016</v>
      </c>
      <c r="FJ35" s="62">
        <f ca="1">AVERAGE(OFFSET($FI$3,0,0,'Données projet'!$E$16+1,1))-AVERAGE(OFFSET($H$3,0,0,'Données projet'!$E$16+1,1))</f>
        <v>440.90856392064205</v>
      </c>
      <c r="FK35" s="62">
        <f t="shared" si="48"/>
        <v>373.33139300970629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>
        <f>EXP(-LN(2)/35)*FQ34+(1-EXP(-LN(2)/35))/(LN(2)/35)*FM35*FN35*VLOOKUP('Données projet'!$B$16,Paramètres!$A$1:$I$89,3,0)*0.475*44/12</f>
        <v>0</v>
      </c>
      <c r="FR35" s="23">
        <f>EXP(-LN(2)/25)*FR34+(1-EXP(-LN(2)/25))/(LN(2)/25)*Calculateur!FM35*Calculateur!FO35*VLOOKUP('Données projet'!$B$16,Paramètres!$A$1:$I$89,3,0)*0.475*44/12</f>
        <v>0</v>
      </c>
      <c r="FS35" s="23">
        <f>EXP(-LN(2)/2)*FS34+(1-EXP(-LN(2)/2))/(LN(2)/2)*FM35*FP35*VLOOKUP('Données projet'!$B$16,Paramètres!$A$1:$I$89,3,0)*0.475*44/12</f>
        <v>0</v>
      </c>
      <c r="FT35" s="24">
        <f t="shared" si="24"/>
        <v>0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70">
        <f t="shared" si="1"/>
        <v>183.33333333333334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10.8</v>
      </c>
      <c r="N36" s="14">
        <f>IF('Données projet'!$A$36&gt;35,N35+M36-V35,IF(A36&lt;'Données projet'!$A$36,$K$205^A36,IF(A36='Données projet'!$A$36,'Données projet'!$B$36,N35+M36-V35)))</f>
        <v>153.40000000000006</v>
      </c>
      <c r="O36" s="14">
        <f>N36*VLOOKUP('Données projet'!$B$9,Paramètres!$A$1:$I$89,3,0)*VLOOKUP('Données projet'!$B$9,Paramètres!$A$1:$I$89,5,0)</f>
        <v>138.79632000000007</v>
      </c>
      <c r="P36" s="14">
        <f t="shared" si="33"/>
        <v>36.021120886354588</v>
      </c>
      <c r="Q36" s="22">
        <f t="shared" si="53"/>
        <v>304.47370954373434</v>
      </c>
      <c r="R36" s="62">
        <f t="shared" si="0"/>
        <v>546.35455537827511</v>
      </c>
      <c r="S36" s="62">
        <f ca="1">AVERAGE(OFFSET($R$3,0,0,'Données projet'!$E$9+1,1))-AVERAGE(OFFSET($H$3,0,0,'Données projet'!$E$9+1,1))</f>
        <v>570.08763950759544</v>
      </c>
      <c r="T36" s="62">
        <f t="shared" si="34"/>
        <v>297.32483725004136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12.8</v>
      </c>
      <c r="AI36" s="14">
        <f>IF('Données projet'!$A$62&gt;35,AI35+AH36-AQ35,IF(A36&lt;'Données projet'!$A$62,$AF$205^A36,IF(A36='Données projet'!$A$62,'Données projet'!$B$62,AI35+AH36-AQ35)))</f>
        <v>180.39999999999998</v>
      </c>
      <c r="AJ36" s="14">
        <f>AI36*VLOOKUP('Données projet'!$B$10,Paramètres!$A$1:$I$89,3,0)*VLOOKUP('Données projet'!$B$10,Paramètres!$A$1:$I$89,5,0)</f>
        <v>143.52624</v>
      </c>
      <c r="AK36" s="14">
        <f t="shared" si="35"/>
        <v>37.103644337236275</v>
      </c>
      <c r="AL36" s="22">
        <f t="shared" si="4"/>
        <v>314.59704855401981</v>
      </c>
      <c r="AM36" s="62">
        <f t="shared" si="5"/>
        <v>556.47789438856057</v>
      </c>
      <c r="AN36" s="62">
        <f ca="1">AVERAGE(OFFSET($AM$3,0,0,'Données projet'!$E$10+1,1))-AVERAGE(OFFSET($H$3,0,0,'Données projet'!$E$10+1,1))</f>
        <v>394.70330963327166</v>
      </c>
      <c r="AO36" s="62">
        <f t="shared" si="36"/>
        <v>424.06445894109982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12.8</v>
      </c>
      <c r="BD36" s="13">
        <f>IF('Données projet'!$A$88&gt;35,BD35+BC36-BL35,IF(A36&lt;'Données projet'!$A$88,$BA$205^A36,IF(A36='Données projet'!$A$88,'Données projet'!$B$88,BD35+BC36-BL35)))</f>
        <v>180.39999999999998</v>
      </c>
      <c r="BE36" s="14">
        <f>BD36*VLOOKUP('Données projet'!$B$11,Paramètres!$A$1:$I$89,3,0)*VLOOKUP('Données projet'!$B$11,Paramètres!$A$1:$I$89,5,0)</f>
        <v>132.26927999999998</v>
      </c>
      <c r="BF36" s="14">
        <f t="shared" si="37"/>
        <v>34.52019401964877</v>
      </c>
      <c r="BG36" s="22">
        <f t="shared" si="7"/>
        <v>290.49166725088827</v>
      </c>
      <c r="BH36" s="62">
        <f t="shared" si="8"/>
        <v>532.37251308542898</v>
      </c>
      <c r="BI36" s="62">
        <f ca="1">AVERAGE(OFFSET($BH$3,0,0,'Données projet'!$E$11+1,1))-AVERAGE(OFFSET($H$3,0,0,'Données projet'!$E$11+1,1))</f>
        <v>368.54671978064204</v>
      </c>
      <c r="BJ36" s="62">
        <f t="shared" si="38"/>
        <v>395.83504504492237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11.5</v>
      </c>
      <c r="BY36" s="13">
        <f>IF('Données projet'!$A$114&gt;35,BY35+BX36-CG35,IF(A36&lt;'Données projet'!$A$114,$BV$205^A36,IF(A36='Données projet'!$A$114,'Données projet'!$B$114,BY35+BX36-CG35)))</f>
        <v>141.99999999999994</v>
      </c>
      <c r="BZ36" s="14">
        <f>BY36*VLOOKUP('Données projet'!$B$12,Paramètres!$A$1:$I$89,3,0)*VLOOKUP('Données projet'!$B$12,Paramètres!$A$1:$I$89,5,0)</f>
        <v>110.75999999999996</v>
      </c>
      <c r="CA36" s="14">
        <f t="shared" si="39"/>
        <v>29.509974682362923</v>
      </c>
      <c r="CB36" s="22">
        <f t="shared" si="10"/>
        <v>244.30353923844871</v>
      </c>
      <c r="CC36" s="62">
        <f t="shared" si="11"/>
        <v>486.18438507298947</v>
      </c>
      <c r="CD36" s="62">
        <f ca="1">AVERAGE(OFFSET($CC$3,0,0,'Données projet'!$E$12+1,1))-AVERAGE(OFFSET($H$3,0,0,'Données projet'!$E$12+1,1))</f>
        <v>309.21625451786218</v>
      </c>
      <c r="CE36" s="62">
        <f t="shared" si="40"/>
        <v>302.59481222418219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8.0769230769230713</v>
      </c>
      <c r="CT36" s="13">
        <f>IF('Données projet'!$A$140&gt;35,CT35+CS36-DB35,IF(A36&lt;'Données projet'!$A$140,$CQ$205^A36,IF(A36='Données projet'!$A$140,'Données projet'!$B$140,CT35+CS36-DB35)))</f>
        <v>154.35897435897439</v>
      </c>
      <c r="CU36" s="18">
        <f>CT36*VLOOKUP('Données projet'!$B$13,Paramètres!$A$1:$I$89,3,0)*VLOOKUP('Données projet'!$B$13,Paramètres!$A$1:$I$89,5,0)</f>
        <v>146.88800000000003</v>
      </c>
      <c r="CV36" s="14">
        <f t="shared" si="41"/>
        <v>37.870511858985232</v>
      </c>
      <c r="CW36" s="22">
        <f t="shared" si="13"/>
        <v>321.78774148773266</v>
      </c>
      <c r="CX36" s="62">
        <f t="shared" si="14"/>
        <v>563.66858732227342</v>
      </c>
      <c r="CY36" s="62">
        <f ca="1">AVERAGE(OFFSET($CX$3,0,0,'Données projet'!$E$13+1,1))-AVERAGE(OFFSET($H$3,0,0,'Données projet'!$E$13+1,1))</f>
        <v>491.87038198656927</v>
      </c>
      <c r="CZ36" s="62">
        <f t="shared" si="42"/>
        <v>406.49261644949559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0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10.8</v>
      </c>
      <c r="DO36" s="13">
        <f>IF('Données projet'!$A$166&gt;35,DO35+DN36-DW35,IF(A36&lt;'Données projet'!$A$166,$DL$205^A36,IF(A36='Données projet'!$A$166,'Données projet'!$B$166,DO35+DN36-DW35)))</f>
        <v>153.40000000000006</v>
      </c>
      <c r="DP36" s="18">
        <f>DO36*VLOOKUP('Données projet'!$B$14,Paramètres!$A$1:$I$89,3,0)*VLOOKUP('Données projet'!$B$14,Paramètres!$A$1:$I$89,5,0)</f>
        <v>148.36848000000006</v>
      </c>
      <c r="DQ36" s="14">
        <f t="shared" si="43"/>
        <v>38.207581183185937</v>
      </c>
      <c r="DR36" s="22">
        <f t="shared" si="16"/>
        <v>324.95330656071559</v>
      </c>
      <c r="DS36" s="62">
        <f t="shared" si="17"/>
        <v>566.8341523952563</v>
      </c>
      <c r="DT36" s="62">
        <f ca="1">AVERAGE(OFFSET($DS$3,0,0,'Données projet'!$E$14+1,1))-AVERAGE(OFFSET($H$3,0,0,'Données projet'!$E$14+1,1))</f>
        <v>603.52431522262032</v>
      </c>
      <c r="DU36" s="62">
        <f t="shared" si="44"/>
        <v>313.56299786481338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projet'!$B$14,Paramètres!$A$1:$I$89,3,0)*0.475*44/12</f>
        <v>0</v>
      </c>
      <c r="EB36" s="23">
        <f>EXP(-LN(2)/25)*EB35+(1-EXP(-LN(2)/25))/(LN(2)/25)*Calculateur!DW36*Calculateur!DY36*VLOOKUP('Données projet'!$B$14,Paramètres!$A$1:$I$89,3,0)*0.475*44/12</f>
        <v>0</v>
      </c>
      <c r="EC36" s="23">
        <f>EXP(-LN(2)/2)*EC35+(1-EXP(-LN(2)/2))/(LN(2)/2)*DW36*DZ36*VLOOKUP('Données projet'!$B$14,Paramètres!$A$1:$I$89,3,0)*0.475*44/12</f>
        <v>0</v>
      </c>
      <c r="ED36" s="24">
        <f t="shared" si="18"/>
        <v>0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8.8000000000000007</v>
      </c>
      <c r="EJ36" s="13">
        <f>IF('Données projet'!$A$192&gt;35,EJ35+EI36-ER35,IF(A36&lt;'Données projet'!$A$192,$EG$205^A36,IF(A36='Données projet'!$A$192,'Données projet'!$B$192,EJ35+EI36-ER35)))</f>
        <v>172.40000000000003</v>
      </c>
      <c r="EK36" s="18">
        <f>EJ36*VLOOKUP('Données projet'!$B$15,Paramètres!$A$1:$I$89,3,0)*VLOOKUP('Données projet'!$B$15,Paramètres!$A$1:$I$89,5,0)</f>
        <v>139.85088000000005</v>
      </c>
      <c r="EL36" s="14">
        <f t="shared" si="45"/>
        <v>36.262842078476233</v>
      </c>
      <c r="EM36" s="22">
        <f t="shared" si="19"/>
        <v>306.7313992866795</v>
      </c>
      <c r="EN36" s="62">
        <f t="shared" si="20"/>
        <v>548.61224512122021</v>
      </c>
      <c r="EO36" s="62">
        <f ca="1">AVERAGE(OFFSET($EN$3,0,0,'Données projet'!$E$15+1,1))-AVERAGE(OFFSET($H$3,0,0,'Données projet'!$E$15+1,1))</f>
        <v>272.69564942740931</v>
      </c>
      <c r="EP36" s="62">
        <f t="shared" si="46"/>
        <v>316.57989180609252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>
        <f>EXP(-LN(2)/35)*EV35+(1-EXP(-LN(2)/35))/(LN(2)/35)*ER36*ES36*VLOOKUP('Données projet'!$B$15,Paramètres!$A$1:$I$89,3,0)*0.475*44/12</f>
        <v>0</v>
      </c>
      <c r="EW36" s="23">
        <f>EXP(-LN(2)/25)*EW35+(1-EXP(-LN(2)/25))/(LN(2)/25)*Calculateur!ER36*Calculateur!ET36*VLOOKUP('Données projet'!$B$15,Paramètres!$A$1:$I$89,3,0)*0.475*44/12</f>
        <v>0</v>
      </c>
      <c r="EX36" s="23">
        <f>EXP(-LN(2)/2)*EX35+(1-EXP(-LN(2)/2))/(LN(2)/2)*ER36*EU36*VLOOKUP('Données projet'!$B$15,Paramètres!$A$1:$I$89,3,0)*0.475*44/12</f>
        <v>0</v>
      </c>
      <c r="EY36" s="24">
        <f t="shared" si="21"/>
        <v>0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9.4871794871794854</v>
      </c>
      <c r="FE36" s="13">
        <f>IF('Données projet'!$A$218&gt;35,FE35+FD36-FM35,IF(A36&lt;'Données projet'!$A$218,$FB$205^A36,IF(A36='Données projet'!$A$218,'Données projet'!$B$218,FE35+FD36-FM35)))</f>
        <v>199.61538461538456</v>
      </c>
      <c r="FF36" s="18">
        <f>FE36*VLOOKUP('Données projet'!$B$16,Paramètres!$A$1:$I$89,3,0)*VLOOKUP('Données projet'!$B$16,Paramètres!$A$1:$I$89,5,0)</f>
        <v>133.90199999999996</v>
      </c>
      <c r="FG36" s="14">
        <f t="shared" si="47"/>
        <v>34.896439218973008</v>
      </c>
      <c r="FH36" s="22">
        <f t="shared" si="22"/>
        <v>293.99061497304456</v>
      </c>
      <c r="FI36" s="62">
        <f t="shared" si="23"/>
        <v>535.87146080758532</v>
      </c>
      <c r="FJ36" s="62">
        <f ca="1">AVERAGE(OFFSET($FI$3,0,0,'Données projet'!$E$16+1,1))-AVERAGE(OFFSET($H$3,0,0,'Données projet'!$E$16+1,1))</f>
        <v>440.90856392064205</v>
      </c>
      <c r="FK36" s="62">
        <f t="shared" si="48"/>
        <v>373.33139300970629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>
        <f>EXP(-LN(2)/35)*FQ35+(1-EXP(-LN(2)/35))/(LN(2)/35)*FM36*FN36*VLOOKUP('Données projet'!$B$16,Paramètres!$A$1:$I$89,3,0)*0.475*44/12</f>
        <v>0</v>
      </c>
      <c r="FR36" s="23">
        <f>EXP(-LN(2)/25)*FR35+(1-EXP(-LN(2)/25))/(LN(2)/25)*Calculateur!FM36*Calculateur!FO36*VLOOKUP('Données projet'!$B$16,Paramètres!$A$1:$I$89,3,0)*0.475*44/12</f>
        <v>0</v>
      </c>
      <c r="FS36" s="23">
        <f>EXP(-LN(2)/2)*FS35+(1-EXP(-LN(2)/2))/(LN(2)/2)*FM36*FP36*VLOOKUP('Données projet'!$B$16,Paramètres!$A$1:$I$89,3,0)*0.475*44/12</f>
        <v>0</v>
      </c>
      <c r="FT36" s="24">
        <f t="shared" si="24"/>
        <v>0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70">
        <f t="shared" si="1"/>
        <v>183.33333333333334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10.8</v>
      </c>
      <c r="N37" s="14">
        <f>IF('Données projet'!$A$36&gt;35,N36+M37-V36,IF(A37&lt;'Données projet'!$A$36,$K$205^A37,IF(A37='Données projet'!$A$36,'Données projet'!$B$36,N36+M37-V36)))</f>
        <v>164.20000000000007</v>
      </c>
      <c r="O37" s="14">
        <f>N37*VLOOKUP('Données projet'!$B$9,Paramètres!$A$1:$I$89,3,0)*VLOOKUP('Données projet'!$B$9,Paramètres!$A$1:$I$89,5,0)</f>
        <v>148.56816000000006</v>
      </c>
      <c r="P37" s="14">
        <f t="shared" si="33"/>
        <v>38.253013425360628</v>
      </c>
      <c r="Q37" s="22">
        <f t="shared" si="53"/>
        <v>325.38021038250321</v>
      </c>
      <c r="R37" s="62">
        <f t="shared" si="0"/>
        <v>568.15364184461873</v>
      </c>
      <c r="S37" s="62">
        <f ca="1">AVERAGE(OFFSET($R$3,0,0,'Données projet'!$E$9+1,1))-AVERAGE(OFFSET($H$3,0,0,'Données projet'!$E$9+1,1))</f>
        <v>570.08763950759544</v>
      </c>
      <c r="T37" s="62">
        <f t="shared" si="34"/>
        <v>297.32483725004136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12.8</v>
      </c>
      <c r="AI37" s="14">
        <f>IF('Données projet'!$A$62&gt;35,AI36+AH37-AQ36,IF(A37&lt;'Données projet'!$A$62,$AF$205^A37,IF(A37='Données projet'!$A$62,'Données projet'!$B$62,AI36+AH37-AQ36)))</f>
        <v>193.2</v>
      </c>
      <c r="AJ37" s="14">
        <f>AI37*VLOOKUP('Données projet'!$B$10,Paramètres!$A$1:$I$89,3,0)*VLOOKUP('Données projet'!$B$10,Paramètres!$A$1:$I$89,5,0)</f>
        <v>153.70992000000001</v>
      </c>
      <c r="AK37" s="14">
        <f t="shared" si="35"/>
        <v>39.420475690379831</v>
      </c>
      <c r="AL37" s="22">
        <f t="shared" si="4"/>
        <v>336.3687724940782</v>
      </c>
      <c r="AM37" s="62">
        <f t="shared" si="5"/>
        <v>579.14220395619373</v>
      </c>
      <c r="AN37" s="62">
        <f ca="1">AVERAGE(OFFSET($AM$3,0,0,'Données projet'!$E$10+1,1))-AVERAGE(OFFSET($H$3,0,0,'Données projet'!$E$10+1,1))</f>
        <v>394.70330963327166</v>
      </c>
      <c r="AO37" s="62">
        <f t="shared" si="36"/>
        <v>424.06445894109982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12.8</v>
      </c>
      <c r="BD37" s="13">
        <f>IF('Données projet'!$A$88&gt;35,BD36+BC37-BL36,IF(A37&lt;'Données projet'!$A$88,$BA$205^A37,IF(A37='Données projet'!$A$88,'Données projet'!$B$88,BD36+BC37-BL36)))</f>
        <v>193.2</v>
      </c>
      <c r="BE37" s="14">
        <f>BD37*VLOOKUP('Données projet'!$B$11,Paramètres!$A$1:$I$89,3,0)*VLOOKUP('Données projet'!$B$11,Paramètres!$A$1:$I$89,5,0)</f>
        <v>141.65423999999999</v>
      </c>
      <c r="BF37" s="14">
        <f t="shared" si="37"/>
        <v>36.675709178601963</v>
      </c>
      <c r="BG37" s="22">
        <f t="shared" si="7"/>
        <v>310.59132815273171</v>
      </c>
      <c r="BH37" s="62">
        <f t="shared" si="8"/>
        <v>553.36475961484734</v>
      </c>
      <c r="BI37" s="62">
        <f ca="1">AVERAGE(OFFSET($BH$3,0,0,'Données projet'!$E$11+1,1))-AVERAGE(OFFSET($H$3,0,0,'Données projet'!$E$11+1,1))</f>
        <v>368.54671978064204</v>
      </c>
      <c r="BJ37" s="62">
        <f t="shared" si="38"/>
        <v>395.83504504492237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11.5</v>
      </c>
      <c r="BY37" s="13">
        <f>IF('Données projet'!$A$114&gt;35,BY36+BX37-CG36,IF(A37&lt;'Données projet'!$A$114,$BV$205^A37,IF(A37='Données projet'!$A$114,'Données projet'!$B$114,BY36+BX37-CG36)))</f>
        <v>153.49999999999994</v>
      </c>
      <c r="BZ37" s="14">
        <f>BY37*VLOOKUP('Données projet'!$B$12,Paramètres!$A$1:$I$89,3,0)*VLOOKUP('Données projet'!$B$12,Paramètres!$A$1:$I$89,5,0)</f>
        <v>119.72999999999996</v>
      </c>
      <c r="CA37" s="14">
        <f t="shared" si="39"/>
        <v>31.612017974790529</v>
      </c>
      <c r="CB37" s="22">
        <f t="shared" si="10"/>
        <v>263.58734797276003</v>
      </c>
      <c r="CC37" s="62">
        <f t="shared" si="11"/>
        <v>506.36077943487561</v>
      </c>
      <c r="CD37" s="62">
        <f ca="1">AVERAGE(OFFSET($CC$3,0,0,'Données projet'!$E$12+1,1))-AVERAGE(OFFSET($H$3,0,0,'Données projet'!$E$12+1,1))</f>
        <v>309.21625451786218</v>
      </c>
      <c r="CE37" s="62">
        <f t="shared" si="40"/>
        <v>302.59481222418219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8.0769230769230713</v>
      </c>
      <c r="CT37" s="13">
        <f>IF('Données projet'!$A$140&gt;35,CT36+CS37-DB36,IF(A37&lt;'Données projet'!$A$140,$CQ$205^A37,IF(A37='Données projet'!$A$140,'Données projet'!$B$140,CT36+CS37-DB36)))</f>
        <v>162.43589743589746</v>
      </c>
      <c r="CU37" s="18">
        <f>CT37*VLOOKUP('Données projet'!$B$13,Paramètres!$A$1:$I$89,3,0)*VLOOKUP('Données projet'!$B$13,Paramètres!$A$1:$I$89,5,0)</f>
        <v>154.57400000000004</v>
      </c>
      <c r="CV37" s="14">
        <f t="shared" si="41"/>
        <v>39.616219397474659</v>
      </c>
      <c r="CW37" s="22">
        <f t="shared" si="13"/>
        <v>338.21463211726842</v>
      </c>
      <c r="CX37" s="62">
        <f t="shared" si="14"/>
        <v>580.98806357938406</v>
      </c>
      <c r="CY37" s="62">
        <f ca="1">AVERAGE(OFFSET($CX$3,0,0,'Données projet'!$E$13+1,1))-AVERAGE(OFFSET($H$3,0,0,'Données projet'!$E$13+1,1))</f>
        <v>491.87038198656927</v>
      </c>
      <c r="CZ37" s="62">
        <f t="shared" si="42"/>
        <v>406.49261644949559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0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10.8</v>
      </c>
      <c r="DO37" s="13">
        <f>IF('Données projet'!$A$166&gt;35,DO36+DN37-DW36,IF(A37&lt;'Données projet'!$A$166,$DL$205^A37,IF(A37='Données projet'!$A$166,'Données projet'!$B$166,DO36+DN37-DW36)))</f>
        <v>164.20000000000007</v>
      </c>
      <c r="DP37" s="18">
        <f>DO37*VLOOKUP('Données projet'!$B$14,Paramètres!$A$1:$I$89,3,0)*VLOOKUP('Données projet'!$B$14,Paramètres!$A$1:$I$89,5,0)</f>
        <v>158.81424000000007</v>
      </c>
      <c r="DQ37" s="14">
        <f t="shared" si="43"/>
        <v>40.574948252224658</v>
      </c>
      <c r="DR37" s="22">
        <f t="shared" si="16"/>
        <v>347.26950287262474</v>
      </c>
      <c r="DS37" s="62">
        <f t="shared" si="17"/>
        <v>590.04293433474027</v>
      </c>
      <c r="DT37" s="62">
        <f ca="1">AVERAGE(OFFSET($DS$3,0,0,'Données projet'!$E$14+1,1))-AVERAGE(OFFSET($H$3,0,0,'Données projet'!$E$14+1,1))</f>
        <v>603.52431522262032</v>
      </c>
      <c r="DU37" s="62">
        <f t="shared" si="44"/>
        <v>313.56299786481338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projet'!$B$14,Paramètres!$A$1:$I$89,3,0)*0.475*44/12</f>
        <v>0</v>
      </c>
      <c r="EB37" s="23">
        <f>EXP(-LN(2)/25)*EB36+(1-EXP(-LN(2)/25))/(LN(2)/25)*Calculateur!DW37*Calculateur!DY37*VLOOKUP('Données projet'!$B$14,Paramètres!$A$1:$I$89,3,0)*0.475*44/12</f>
        <v>0</v>
      </c>
      <c r="EC37" s="23">
        <f>EXP(-LN(2)/2)*EC36+(1-EXP(-LN(2)/2))/(LN(2)/2)*DW37*DZ37*VLOOKUP('Données projet'!$B$14,Paramètres!$A$1:$I$89,3,0)*0.475*44/12</f>
        <v>0</v>
      </c>
      <c r="ED37" s="24">
        <f t="shared" si="18"/>
        <v>0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8.8000000000000007</v>
      </c>
      <c r="EJ37" s="13">
        <f>IF('Données projet'!$A$192&gt;35,EJ36+EI37-ER36,IF(A37&lt;'Données projet'!$A$192,$EG$205^A37,IF(A37='Données projet'!$A$192,'Données projet'!$B$192,EJ36+EI37-ER36)))</f>
        <v>181.20000000000005</v>
      </c>
      <c r="EK37" s="18">
        <f>EJ37*VLOOKUP('Données projet'!$B$15,Paramètres!$A$1:$I$89,3,0)*VLOOKUP('Données projet'!$B$15,Paramètres!$A$1:$I$89,5,0)</f>
        <v>146.98944000000006</v>
      </c>
      <c r="EL37" s="14">
        <f t="shared" si="45"/>
        <v>37.893619858723746</v>
      </c>
      <c r="EM37" s="22">
        <f t="shared" si="19"/>
        <v>322.00466258727732</v>
      </c>
      <c r="EN37" s="62">
        <f t="shared" si="20"/>
        <v>564.77809404939285</v>
      </c>
      <c r="EO37" s="62">
        <f ca="1">AVERAGE(OFFSET($EN$3,0,0,'Données projet'!$E$15+1,1))-AVERAGE(OFFSET($H$3,0,0,'Données projet'!$E$15+1,1))</f>
        <v>272.69564942740931</v>
      </c>
      <c r="EP37" s="62">
        <f t="shared" si="46"/>
        <v>316.57989180609252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>
        <f>EXP(-LN(2)/35)*EV36+(1-EXP(-LN(2)/35))/(LN(2)/35)*ER37*ES37*VLOOKUP('Données projet'!$B$15,Paramètres!$A$1:$I$89,3,0)*0.475*44/12</f>
        <v>0</v>
      </c>
      <c r="EW37" s="23">
        <f>EXP(-LN(2)/25)*EW36+(1-EXP(-LN(2)/25))/(LN(2)/25)*Calculateur!ER37*Calculateur!ET37*VLOOKUP('Données projet'!$B$15,Paramètres!$A$1:$I$89,3,0)*0.475*44/12</f>
        <v>0</v>
      </c>
      <c r="EX37" s="23">
        <f>EXP(-LN(2)/2)*EX36+(1-EXP(-LN(2)/2))/(LN(2)/2)*ER37*EU37*VLOOKUP('Données projet'!$B$15,Paramètres!$A$1:$I$89,3,0)*0.475*44/12</f>
        <v>0</v>
      </c>
      <c r="EY37" s="24">
        <f t="shared" si="21"/>
        <v>0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9.4871794871794854</v>
      </c>
      <c r="FE37" s="13">
        <f>IF('Données projet'!$A$218&gt;35,FE36+FD37-FM36,IF(A37&lt;'Données projet'!$A$218,$FB$205^A37,IF(A37='Données projet'!$A$218,'Données projet'!$B$218,FE36+FD37-FM36)))</f>
        <v>209.10256410256403</v>
      </c>
      <c r="FF37" s="18">
        <f>FE37*VLOOKUP('Données projet'!$B$16,Paramètres!$A$1:$I$89,3,0)*VLOOKUP('Données projet'!$B$16,Paramètres!$A$1:$I$89,5,0)</f>
        <v>140.26599999999996</v>
      </c>
      <c r="FG37" s="14">
        <f t="shared" si="47"/>
        <v>36.357935626074344</v>
      </c>
      <c r="FH37" s="22">
        <f t="shared" si="22"/>
        <v>307.62002121541275</v>
      </c>
      <c r="FI37" s="62">
        <f t="shared" si="23"/>
        <v>550.39345267752833</v>
      </c>
      <c r="FJ37" s="62">
        <f ca="1">AVERAGE(OFFSET($FI$3,0,0,'Données projet'!$E$16+1,1))-AVERAGE(OFFSET($H$3,0,0,'Données projet'!$E$16+1,1))</f>
        <v>440.90856392064205</v>
      </c>
      <c r="FK37" s="62">
        <f t="shared" si="48"/>
        <v>373.33139300970629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>
        <f>EXP(-LN(2)/35)*FQ36+(1-EXP(-LN(2)/35))/(LN(2)/35)*FM37*FN37*VLOOKUP('Données projet'!$B$16,Paramètres!$A$1:$I$89,3,0)*0.475*44/12</f>
        <v>0</v>
      </c>
      <c r="FR37" s="23">
        <f>EXP(-LN(2)/25)*FR36+(1-EXP(-LN(2)/25))/(LN(2)/25)*Calculateur!FM37*Calculateur!FO37*VLOOKUP('Données projet'!$B$16,Paramètres!$A$1:$I$89,3,0)*0.475*44/12</f>
        <v>0</v>
      </c>
      <c r="FS37" s="23">
        <f>EXP(-LN(2)/2)*FS36+(1-EXP(-LN(2)/2))/(LN(2)/2)*FM37*FP37*VLOOKUP('Données projet'!$B$16,Paramètres!$A$1:$I$89,3,0)*0.475*44/12</f>
        <v>0</v>
      </c>
      <c r="FT37" s="24">
        <f t="shared" si="24"/>
        <v>0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70">
        <f t="shared" si="1"/>
        <v>183.33333333333334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175</v>
      </c>
      <c r="L38" s="13">
        <f>VLOOKUP(A38,'Données projet'!$A$35:$I$55,9,0)</f>
        <v>10.8</v>
      </c>
      <c r="M38" s="13">
        <f t="array" ref="M38">INDEX(L:L,MIN(IF(ISNUMBER(L38:L234),ROW(L38:L234),"")))</f>
        <v>10.8</v>
      </c>
      <c r="N38" s="14">
        <f>IF('Données projet'!$A$36&gt;35,N37+M38-V37,IF(A38&lt;'Données projet'!$A$36,$K$205^A38,IF(A38='Données projet'!$A$36,'Données projet'!$B$36,N37+M38-V37)))</f>
        <v>175.00000000000009</v>
      </c>
      <c r="O38" s="14">
        <f>N38*VLOOKUP('Données projet'!$B$9,Paramètres!$A$1:$I$89,3,0)*VLOOKUP('Données projet'!$B$9,Paramètres!$A$1:$I$89,5,0)</f>
        <v>158.34000000000006</v>
      </c>
      <c r="P38" s="14">
        <f t="shared" si="33"/>
        <v>40.467870812652819</v>
      </c>
      <c r="Q38" s="22">
        <f t="shared" si="53"/>
        <v>346.25704166537042</v>
      </c>
      <c r="R38" s="62">
        <f t="shared" si="0"/>
        <v>589.9075743899449</v>
      </c>
      <c r="S38" s="62">
        <f ca="1">AVERAGE(OFFSET($R$3,0,0,'Données projet'!$E$9+1,1))-AVERAGE(OFFSET($H$3,0,0,'Données projet'!$E$9+1,1))</f>
        <v>570.08763950759544</v>
      </c>
      <c r="T38" s="62">
        <f t="shared" si="34"/>
        <v>297.32483725004136</v>
      </c>
      <c r="U38" s="16">
        <f>IF(ISNA(VLOOKUP(A38,'Données projet'!$A$35:$I$55,3,0)),0,VLOOKUP(A38,'Données projet'!$A$35:$I$55,3,0))</f>
        <v>2</v>
      </c>
      <c r="V38" s="16">
        <f>IF(ISNA(VLOOKUP(A38,'Données projet'!$A$35:$I$55,4,0)),0,VLOOKUP(A38,'Données projet'!$A$35:$I$55,4,0))</f>
        <v>56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206</v>
      </c>
      <c r="AG38" s="13">
        <f>VLOOKUP(A38,'Données projet'!$A$61:$I$81,9,0)</f>
        <v>12.8</v>
      </c>
      <c r="AH38" s="13">
        <f t="array" ref="AH38">INDEX(AG:AG,MIN(IF(ISNUMBER(AG38:AG234),ROW(AG38:AG234),"")))</f>
        <v>12.8</v>
      </c>
      <c r="AI38" s="14">
        <f>IF('Données projet'!$A$62&gt;35,AI37+AH38-AQ37,IF(A38&lt;'Données projet'!$A$62,$AF$205^A38,IF(A38='Données projet'!$A$62,'Données projet'!$B$62,AI37+AH38-AQ37)))</f>
        <v>206</v>
      </c>
      <c r="AJ38" s="14">
        <f>AI38*VLOOKUP('Données projet'!$B$10,Paramètres!$A$1:$I$89,3,0)*VLOOKUP('Données projet'!$B$10,Paramètres!$A$1:$I$89,5,0)</f>
        <v>163.89360000000002</v>
      </c>
      <c r="AK38" s="14">
        <f t="shared" si="35"/>
        <v>41.71949506642347</v>
      </c>
      <c r="AL38" s="22">
        <f t="shared" si="4"/>
        <v>358.10947390735419</v>
      </c>
      <c r="AM38" s="62">
        <f t="shared" si="5"/>
        <v>601.76000663192872</v>
      </c>
      <c r="AN38" s="62">
        <f ca="1">AVERAGE(OFFSET($AM$3,0,0,'Données projet'!$E$10+1,1))-AVERAGE(OFFSET($H$3,0,0,'Données projet'!$E$10+1,1))</f>
        <v>394.70330963327166</v>
      </c>
      <c r="AO38" s="62">
        <f t="shared" si="36"/>
        <v>424.06445894109982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206</v>
      </c>
      <c r="BB38" s="13">
        <f>VLOOKUP(A38,'Données projet'!$A$87:$I$107,9,0)</f>
        <v>12.8</v>
      </c>
      <c r="BC38" s="13">
        <f t="array" ref="BC38">INDEX(BB:BB,MIN(IF(ISNUMBER(BB38:BB234),ROW(BB38:BB234),"")))</f>
        <v>12.8</v>
      </c>
      <c r="BD38" s="13">
        <f>IF('Données projet'!$A$88&gt;35,BD37+BC38-BL37,IF(A38&lt;'Données projet'!$A$88,$BA$205^A38,IF(A38='Données projet'!$A$88,'Données projet'!$B$88,BD37+BC38-BL37)))</f>
        <v>206</v>
      </c>
      <c r="BE38" s="14">
        <f>BD38*VLOOKUP('Données projet'!$B$11,Paramètres!$A$1:$I$89,3,0)*VLOOKUP('Données projet'!$B$11,Paramètres!$A$1:$I$89,5,0)</f>
        <v>151.03919999999999</v>
      </c>
      <c r="BF38" s="14">
        <f t="shared" si="37"/>
        <v>38.814652571726079</v>
      </c>
      <c r="BG38" s="22">
        <f t="shared" si="7"/>
        <v>330.66212656242288</v>
      </c>
      <c r="BH38" s="62">
        <f t="shared" si="8"/>
        <v>574.31265928699736</v>
      </c>
      <c r="BI38" s="62">
        <f ca="1">AVERAGE(OFFSET($BH$3,0,0,'Données projet'!$E$11+1,1))-AVERAGE(OFFSET($H$3,0,0,'Données projet'!$E$11+1,1))</f>
        <v>368.54671978064204</v>
      </c>
      <c r="BJ38" s="62">
        <f t="shared" si="38"/>
        <v>395.83504504492237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11.5</v>
      </c>
      <c r="BY38" s="13">
        <f>IF('Données projet'!$A$114&gt;35,BY37+BX38-CG37,IF(A38&lt;'Données projet'!$A$114,$BV$205^A38,IF(A38='Données projet'!$A$114,'Données projet'!$B$114,BY37+BX38-CG37)))</f>
        <v>164.99999999999994</v>
      </c>
      <c r="BZ38" s="14">
        <f>BY38*VLOOKUP('Données projet'!$B$12,Paramètres!$A$1:$I$89,3,0)*VLOOKUP('Données projet'!$B$12,Paramètres!$A$1:$I$89,5,0)</f>
        <v>128.69999999999996</v>
      </c>
      <c r="CA38" s="14">
        <f t="shared" si="39"/>
        <v>33.695792019186115</v>
      </c>
      <c r="CB38" s="22">
        <f t="shared" si="10"/>
        <v>282.83933776674911</v>
      </c>
      <c r="CC38" s="62">
        <f t="shared" si="11"/>
        <v>526.48987049132359</v>
      </c>
      <c r="CD38" s="62">
        <f ca="1">AVERAGE(OFFSET($CC$3,0,0,'Données projet'!$E$12+1,1))-AVERAGE(OFFSET($H$3,0,0,'Données projet'!$E$12+1,1))</f>
        <v>309.21625451786218</v>
      </c>
      <c r="CE38" s="62">
        <f t="shared" si="40"/>
        <v>302.59481222418219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170.5128205128205</v>
      </c>
      <c r="CR38" s="13">
        <f>VLOOKUP(A38,'Données projet'!$A$139:$I$159,9,0)</f>
        <v>8.0769230769230713</v>
      </c>
      <c r="CS38" s="13">
        <f t="array" ref="CS38">INDEX(CR:CR,MIN(IF(ISNUMBER(CR38:CR234),ROW(CR38:CR234),"")))</f>
        <v>8.0769230769230713</v>
      </c>
      <c r="CT38" s="13">
        <f>IF('Données projet'!$A$140&gt;35,CT37+CS38-DB37,IF(A38&lt;'Données projet'!$A$140,$CQ$205^A38,IF(A38='Données projet'!$A$140,'Données projet'!$B$140,CT37+CS38-DB37)))</f>
        <v>170.51282051282053</v>
      </c>
      <c r="CU38" s="18">
        <f>CT38*VLOOKUP('Données projet'!$B$13,Paramètres!$A$1:$I$89,3,0)*VLOOKUP('Données projet'!$B$13,Paramètres!$A$1:$I$89,5,0)</f>
        <v>162.26000000000002</v>
      </c>
      <c r="CV38" s="14">
        <f t="shared" si="41"/>
        <v>41.35184784932715</v>
      </c>
      <c r="CW38" s="22">
        <f t="shared" si="13"/>
        <v>354.62396833757816</v>
      </c>
      <c r="CX38" s="62">
        <f t="shared" si="14"/>
        <v>598.27450106215269</v>
      </c>
      <c r="CY38" s="62">
        <f ca="1">AVERAGE(OFFSET($CX$3,0,0,'Données projet'!$E$13+1,1))-AVERAGE(OFFSET($H$3,0,0,'Données projet'!$E$13+1,1))</f>
        <v>491.87038198656927</v>
      </c>
      <c r="CZ38" s="62">
        <f t="shared" si="42"/>
        <v>406.49261644949559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0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>
        <f>VLOOKUP(A38,'Données projet'!$A$165:$I$185,2,0)</f>
        <v>175</v>
      </c>
      <c r="DM38" s="13">
        <f>VLOOKUP(A38,'Données projet'!$A$165:$I$185,9,0)</f>
        <v>10.8</v>
      </c>
      <c r="DN38" s="13">
        <f t="array" ref="DN38">INDEX(DM:DM,MIN(IF(ISNUMBER(DM38:DM234),ROW(DM38:DM234),"")))</f>
        <v>10.8</v>
      </c>
      <c r="DO38" s="13">
        <f>IF('Données projet'!$A$166&gt;35,DO37+DN38-DW37,IF(A38&lt;'Données projet'!$A$166,$DL$205^A38,IF(A38='Données projet'!$A$166,'Données projet'!$B$166,DO37+DN38-DW37)))</f>
        <v>175.00000000000009</v>
      </c>
      <c r="DP38" s="18">
        <f>DO38*VLOOKUP('Données projet'!$B$14,Paramètres!$A$1:$I$89,3,0)*VLOOKUP('Données projet'!$B$14,Paramètres!$A$1:$I$89,5,0)</f>
        <v>169.2600000000001</v>
      </c>
      <c r="DQ38" s="14">
        <f t="shared" si="43"/>
        <v>42.924246146122314</v>
      </c>
      <c r="DR38" s="22">
        <f t="shared" si="16"/>
        <v>369.55422870449644</v>
      </c>
      <c r="DS38" s="62">
        <f t="shared" si="17"/>
        <v>613.20476142907091</v>
      </c>
      <c r="DT38" s="62">
        <f ca="1">AVERAGE(OFFSET($DS$3,0,0,'Données projet'!$E$14+1,1))-AVERAGE(OFFSET($H$3,0,0,'Données projet'!$E$14+1,1))</f>
        <v>603.52431522262032</v>
      </c>
      <c r="DU38" s="62">
        <f t="shared" si="44"/>
        <v>313.56299786481338</v>
      </c>
      <c r="DV38" s="16">
        <f>IF(ISNA(VLOOKUP(A38,'Données projet'!$A$165:$I$185,3,0)),0,VLOOKUP(A38,'Données projet'!$A$165:$I$185,3,0))</f>
        <v>2</v>
      </c>
      <c r="DW38" s="16">
        <f>IF(ISNA(VLOOKUP(A38,'Données projet'!$A$165:$I$185,4,0)),0,VLOOKUP(A38,'Données projet'!$A$165:$I$185,4,0))</f>
        <v>56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projet'!$B$14,Paramètres!$A$1:$I$89,3,0)*0.475*44/12</f>
        <v>0</v>
      </c>
      <c r="EB38" s="23">
        <f>EXP(-LN(2)/25)*EB37+(1-EXP(-LN(2)/25))/(LN(2)/25)*Calculateur!DW38*Calculateur!DY38*VLOOKUP('Données projet'!$B$14,Paramètres!$A$1:$I$89,3,0)*0.475*44/12</f>
        <v>0</v>
      </c>
      <c r="EC38" s="23">
        <f>EXP(-LN(2)/2)*EC37+(1-EXP(-LN(2)/2))/(LN(2)/2)*DW38*DZ38*VLOOKUP('Données projet'!$B$14,Paramètres!$A$1:$I$89,3,0)*0.475*44/12</f>
        <v>0</v>
      </c>
      <c r="ED38" s="24">
        <f t="shared" si="18"/>
        <v>0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>
        <f>VLOOKUP(A38,'Données projet'!$A$191:$I$211,2,0)</f>
        <v>190</v>
      </c>
      <c r="EH38" s="13">
        <f>VLOOKUP(A38,'Données projet'!$A$191:$I$211,9,0)</f>
        <v>8.8000000000000007</v>
      </c>
      <c r="EI38" s="13">
        <f t="array" ref="EI38">INDEX(EH:EH,MIN(IF(ISNUMBER(EH38:EH234),ROW(EH38:EH234),"")))</f>
        <v>8.8000000000000007</v>
      </c>
      <c r="EJ38" s="13">
        <f>IF('Données projet'!$A$192&gt;35,EJ37+EI38-ER37,IF(A38&lt;'Données projet'!$A$192,$EG$205^A38,IF(A38='Données projet'!$A$192,'Données projet'!$B$192,EJ37+EI38-ER37)))</f>
        <v>190.00000000000006</v>
      </c>
      <c r="EK38" s="18">
        <f>EJ38*VLOOKUP('Données projet'!$B$15,Paramètres!$A$1:$I$89,3,0)*VLOOKUP('Données projet'!$B$15,Paramètres!$A$1:$I$89,5,0)</f>
        <v>154.12800000000007</v>
      </c>
      <c r="EL38" s="14">
        <f t="shared" si="45"/>
        <v>39.51520107536119</v>
      </c>
      <c r="EM38" s="22">
        <f t="shared" si="19"/>
        <v>337.26190853958752</v>
      </c>
      <c r="EN38" s="62">
        <f t="shared" si="20"/>
        <v>580.912441264162</v>
      </c>
      <c r="EO38" s="62">
        <f ca="1">AVERAGE(OFFSET($EN$3,0,0,'Données projet'!$E$15+1,1))-AVERAGE(OFFSET($H$3,0,0,'Données projet'!$E$15+1,1))</f>
        <v>272.69564942740931</v>
      </c>
      <c r="EP38" s="62">
        <f t="shared" si="46"/>
        <v>316.57989180609252</v>
      </c>
      <c r="EQ38" s="16">
        <f>IF(ISNA(VLOOKUP(A38,'Données projet'!$A$191:$I$211,3,0)),0,VLOOKUP(A38,'Données projet'!$A$191:$I$211,3,0))</f>
        <v>2</v>
      </c>
      <c r="ER38" s="16">
        <f>IF(ISNA(VLOOKUP(A38,'Données projet'!$A$191:$I$211,4,0)),0,VLOOKUP(A38,'Données projet'!$A$191:$I$211,4,0))</f>
        <v>76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>
        <f>EXP(-LN(2)/35)*EV37+(1-EXP(-LN(2)/35))/(LN(2)/35)*ER38*ES38*VLOOKUP('Données projet'!$B$15,Paramètres!$A$1:$I$89,3,0)*0.475*44/12</f>
        <v>0</v>
      </c>
      <c r="EW38" s="23">
        <f>EXP(-LN(2)/25)*EW37+(1-EXP(-LN(2)/25))/(LN(2)/25)*Calculateur!ER38*Calculateur!ET38*VLOOKUP('Données projet'!$B$15,Paramètres!$A$1:$I$89,3,0)*0.475*44/12</f>
        <v>0</v>
      </c>
      <c r="EX38" s="23">
        <f>EXP(-LN(2)/2)*EX37+(1-EXP(-LN(2)/2))/(LN(2)/2)*ER38*EU38*VLOOKUP('Données projet'!$B$15,Paramètres!$A$1:$I$89,3,0)*0.475*44/12</f>
        <v>0</v>
      </c>
      <c r="EY38" s="24">
        <f t="shared" si="21"/>
        <v>0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>
        <f>VLOOKUP(A38,'Données projet'!$A$217:$I$237,2,0)</f>
        <v>218.58974358974359</v>
      </c>
      <c r="FC38" s="13">
        <f>VLOOKUP(A38,'Données projet'!$A$217:$I$237,9,0)</f>
        <v>9.4871794871794854</v>
      </c>
      <c r="FD38" s="13">
        <f t="array" ref="FD38">INDEX(FC:FC,MIN(IF(ISNUMBER(FC38:FC234),ROW(FC38:FC234),"")))</f>
        <v>9.4871794871794854</v>
      </c>
      <c r="FE38" s="13">
        <f>IF('Données projet'!$A$218&gt;35,FE37+FD38-FM37,IF(A38&lt;'Données projet'!$A$218,$FB$205^A38,IF(A38='Données projet'!$A$218,'Données projet'!$B$218,FE37+FD38-FM37)))</f>
        <v>218.58974358974351</v>
      </c>
      <c r="FF38" s="18">
        <f>FE38*VLOOKUP('Données projet'!$B$16,Paramètres!$A$1:$I$89,3,0)*VLOOKUP('Données projet'!$B$16,Paramètres!$A$1:$I$89,5,0)</f>
        <v>146.62999999999994</v>
      </c>
      <c r="FG38" s="14">
        <f t="shared" si="47"/>
        <v>37.811731167176816</v>
      </c>
      <c r="FH38" s="22">
        <f t="shared" si="22"/>
        <v>321.23601511616613</v>
      </c>
      <c r="FI38" s="62">
        <f t="shared" si="23"/>
        <v>564.8865478407406</v>
      </c>
      <c r="FJ38" s="62">
        <f ca="1">AVERAGE(OFFSET($FI$3,0,0,'Données projet'!$E$16+1,1))-AVERAGE(OFFSET($H$3,0,0,'Données projet'!$E$16+1,1))</f>
        <v>440.90856392064205</v>
      </c>
      <c r="FK38" s="62">
        <f t="shared" si="48"/>
        <v>373.33139300970629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>
        <f>EXP(-LN(2)/35)*FQ37+(1-EXP(-LN(2)/35))/(LN(2)/35)*FM38*FN38*VLOOKUP('Données projet'!$B$16,Paramètres!$A$1:$I$89,3,0)*0.475*44/12</f>
        <v>0</v>
      </c>
      <c r="FR38" s="23">
        <f>EXP(-LN(2)/25)*FR37+(1-EXP(-LN(2)/25))/(LN(2)/25)*Calculateur!FM38*Calculateur!FO38*VLOOKUP('Données projet'!$B$16,Paramètres!$A$1:$I$89,3,0)*0.475*44/12</f>
        <v>0</v>
      </c>
      <c r="FS38" s="23">
        <f>EXP(-LN(2)/2)*FS37+(1-EXP(-LN(2)/2))/(LN(2)/2)*FM38*FP38*VLOOKUP('Données projet'!$B$16,Paramètres!$A$1:$I$89,3,0)*0.475*44/12</f>
        <v>0</v>
      </c>
      <c r="FT38" s="24">
        <f t="shared" si="24"/>
        <v>0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70">
        <f t="shared" si="1"/>
        <v>183.33333333333334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11.2</v>
      </c>
      <c r="N39" s="14">
        <f>IF('Données projet'!$A$36&gt;35,N38+M39-V38,IF(A39&lt;'Données projet'!$A$36,$K$205^A39,IF(A39='Données projet'!$A$36,'Données projet'!$B$36,N38+M39-V38)))</f>
        <v>130.20000000000007</v>
      </c>
      <c r="O39" s="14">
        <f>N39*VLOOKUP('Données projet'!$B$9,Paramètres!$A$1:$I$89,3,0)*VLOOKUP('Données projet'!$B$9,Paramètres!$A$1:$I$89,5,0)</f>
        <v>117.80496000000005</v>
      </c>
      <c r="P39" s="14">
        <f t="shared" si="33"/>
        <v>31.162493487829593</v>
      </c>
      <c r="Q39" s="22">
        <f t="shared" si="53"/>
        <v>259.45164815796994</v>
      </c>
      <c r="R39" s="62">
        <f t="shared" si="0"/>
        <v>503.96406639900437</v>
      </c>
      <c r="S39" s="62">
        <f ca="1">AVERAGE(OFFSET($R$3,0,0,'Données projet'!$E$9+1,1))-AVERAGE(OFFSET($H$3,0,0,'Données projet'!$E$9+1,1))</f>
        <v>570.08763950759544</v>
      </c>
      <c r="T39" s="62">
        <f t="shared" si="34"/>
        <v>297.32483725004136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11.4</v>
      </c>
      <c r="AI39" s="14">
        <f>IF('Données projet'!$A$62&gt;35,AI38+AH39-AQ38,IF(A39&lt;'Données projet'!$A$62,$AF$205^A39,IF(A39='Données projet'!$A$62,'Données projet'!$B$62,AI38+AH39-AQ38)))</f>
        <v>217.4</v>
      </c>
      <c r="AJ39" s="14">
        <f>AI39*VLOOKUP('Données projet'!$B$10,Paramètres!$A$1:$I$89,3,0)*VLOOKUP('Données projet'!$B$10,Paramètres!$A$1:$I$89,5,0)</f>
        <v>172.96344000000002</v>
      </c>
      <c r="AK39" s="14">
        <f t="shared" si="35"/>
        <v>43.753066528893434</v>
      </c>
      <c r="AL39" s="22">
        <f t="shared" si="4"/>
        <v>377.44791553782278</v>
      </c>
      <c r="AM39" s="62">
        <f t="shared" si="5"/>
        <v>621.96033377885715</v>
      </c>
      <c r="AN39" s="62">
        <f ca="1">AVERAGE(OFFSET($AM$3,0,0,'Données projet'!$E$10+1,1))-AVERAGE(OFFSET($H$3,0,0,'Données projet'!$E$10+1,1))</f>
        <v>394.70330963327166</v>
      </c>
      <c r="AO39" s="62">
        <f t="shared" si="36"/>
        <v>424.06445894109982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11.4</v>
      </c>
      <c r="BD39" s="13">
        <f>IF('Données projet'!$A$88&gt;35,BD38+BC39-BL38,IF(A39&lt;'Données projet'!$A$88,$BA$205^A39,IF(A39='Données projet'!$A$88,'Données projet'!$B$88,BD38+BC39-BL38)))</f>
        <v>217.4</v>
      </c>
      <c r="BE39" s="14">
        <f>BD39*VLOOKUP('Données projet'!$B$11,Paramètres!$A$1:$I$89,3,0)*VLOOKUP('Données projet'!$B$11,Paramètres!$A$1:$I$89,5,0)</f>
        <v>159.39768000000001</v>
      </c>
      <c r="BF39" s="14">
        <f t="shared" si="37"/>
        <v>40.706630642646523</v>
      </c>
      <c r="BG39" s="22">
        <f t="shared" si="7"/>
        <v>348.51500770260941</v>
      </c>
      <c r="BH39" s="62">
        <f t="shared" si="8"/>
        <v>593.02742594364383</v>
      </c>
      <c r="BI39" s="62">
        <f ca="1">AVERAGE(OFFSET($BH$3,0,0,'Données projet'!$E$11+1,1))-AVERAGE(OFFSET($H$3,0,0,'Données projet'!$E$11+1,1))</f>
        <v>368.54671978064204</v>
      </c>
      <c r="BJ39" s="62">
        <f t="shared" si="38"/>
        <v>395.83504504492237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11.5</v>
      </c>
      <c r="BY39" s="13">
        <f>IF('Données projet'!$A$114&gt;35,BY38+BX39-CG38,IF(A39&lt;'Données projet'!$A$114,$BV$205^A39,IF(A39='Données projet'!$A$114,'Données projet'!$B$114,BY38+BX39-CG38)))</f>
        <v>176.49999999999994</v>
      </c>
      <c r="BZ39" s="14">
        <f>BY39*VLOOKUP('Données projet'!$B$12,Paramètres!$A$1:$I$89,3,0)*VLOOKUP('Données projet'!$B$12,Paramètres!$A$1:$I$89,5,0)</f>
        <v>137.66999999999996</v>
      </c>
      <c r="CA39" s="14">
        <f t="shared" si="39"/>
        <v>35.762714965854656</v>
      </c>
      <c r="CB39" s="22">
        <f t="shared" si="10"/>
        <v>302.06197856553007</v>
      </c>
      <c r="CC39" s="62">
        <f t="shared" si="11"/>
        <v>546.57439680656444</v>
      </c>
      <c r="CD39" s="62">
        <f ca="1">AVERAGE(OFFSET($CC$3,0,0,'Données projet'!$E$12+1,1))-AVERAGE(OFFSET($H$3,0,0,'Données projet'!$E$12+1,1))</f>
        <v>309.21625451786218</v>
      </c>
      <c r="CE39" s="62">
        <f t="shared" si="40"/>
        <v>302.59481222418219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7.5641025641025639</v>
      </c>
      <c r="CT39" s="13">
        <f>IF('Données projet'!$A$140&gt;35,CT38+CS39-DB38,IF(A39&lt;'Données projet'!$A$140,$CQ$205^A39,IF(A39='Données projet'!$A$140,'Données projet'!$B$140,CT38+CS39-DB38)))</f>
        <v>178.07692307692309</v>
      </c>
      <c r="CU39" s="18">
        <f>CT39*VLOOKUP('Données projet'!$B$13,Paramètres!$A$1:$I$89,3,0)*VLOOKUP('Données projet'!$B$13,Paramètres!$A$1:$I$89,5,0)</f>
        <v>169.45800000000003</v>
      </c>
      <c r="CV39" s="14">
        <f t="shared" si="41"/>
        <v>42.968611063971913</v>
      </c>
      <c r="CW39" s="22">
        <f t="shared" si="13"/>
        <v>369.97634760308438</v>
      </c>
      <c r="CX39" s="62">
        <f t="shared" si="14"/>
        <v>614.4887658441188</v>
      </c>
      <c r="CY39" s="62">
        <f ca="1">AVERAGE(OFFSET($CX$3,0,0,'Données projet'!$E$13+1,1))-AVERAGE(OFFSET($H$3,0,0,'Données projet'!$E$13+1,1))</f>
        <v>491.87038198656927</v>
      </c>
      <c r="CZ39" s="62">
        <f t="shared" si="42"/>
        <v>406.49261644949559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0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11.2</v>
      </c>
      <c r="DO39" s="13">
        <f>IF('Données projet'!$A$166&gt;35,DO38+DN39-DW38,IF(A39&lt;'Données projet'!$A$166,$DL$205^A39,IF(A39='Données projet'!$A$166,'Données projet'!$B$166,DO38+DN39-DW38)))</f>
        <v>130.20000000000007</v>
      </c>
      <c r="DP39" s="18">
        <f>DO39*VLOOKUP('Données projet'!$B$14,Paramètres!$A$1:$I$89,3,0)*VLOOKUP('Données projet'!$B$14,Paramètres!$A$1:$I$89,5,0)</f>
        <v>125.92944000000007</v>
      </c>
      <c r="DQ39" s="14">
        <f t="shared" si="43"/>
        <v>33.054038034052077</v>
      </c>
      <c r="DR39" s="22">
        <f t="shared" si="16"/>
        <v>276.89622424264081</v>
      </c>
      <c r="DS39" s="62">
        <f t="shared" si="17"/>
        <v>521.40864248367529</v>
      </c>
      <c r="DT39" s="62">
        <f ca="1">AVERAGE(OFFSET($DS$3,0,0,'Données projet'!$E$14+1,1))-AVERAGE(OFFSET($H$3,0,0,'Données projet'!$E$14+1,1))</f>
        <v>603.52431522262032</v>
      </c>
      <c r="DU39" s="62">
        <f t="shared" si="44"/>
        <v>313.56299786481338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projet'!$B$14,Paramètres!$A$1:$I$89,3,0)*0.475*44/12</f>
        <v>0</v>
      </c>
      <c r="EB39" s="23">
        <f>EXP(-LN(2)/25)*EB38+(1-EXP(-LN(2)/25))/(LN(2)/25)*Calculateur!DW39*Calculateur!DY39*VLOOKUP('Données projet'!$B$14,Paramètres!$A$1:$I$89,3,0)*0.475*44/12</f>
        <v>0</v>
      </c>
      <c r="EC39" s="23">
        <f>EXP(-LN(2)/2)*EC38+(1-EXP(-LN(2)/2))/(LN(2)/2)*DW39*DZ39*VLOOKUP('Données projet'!$B$14,Paramètres!$A$1:$I$89,3,0)*0.475*44/12</f>
        <v>0</v>
      </c>
      <c r="ED39" s="24">
        <f t="shared" si="18"/>
        <v>0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7.6</v>
      </c>
      <c r="EJ39" s="13">
        <f>IF('Données projet'!$A$192&gt;35,EJ38+EI39-ER38,IF(A39&lt;'Données projet'!$A$192,$EG$205^A39,IF(A39='Données projet'!$A$192,'Données projet'!$B$192,EJ38+EI39-ER38)))</f>
        <v>121.60000000000005</v>
      </c>
      <c r="EK39" s="18">
        <f>EJ39*VLOOKUP('Données projet'!$B$15,Paramètres!$A$1:$I$89,3,0)*VLOOKUP('Données projet'!$B$15,Paramètres!$A$1:$I$89,5,0)</f>
        <v>98.641920000000042</v>
      </c>
      <c r="EL39" s="14">
        <f t="shared" si="45"/>
        <v>26.638196684151392</v>
      </c>
      <c r="EM39" s="22">
        <f t="shared" si="19"/>
        <v>218.19620322489709</v>
      </c>
      <c r="EN39" s="62">
        <f t="shared" si="20"/>
        <v>462.70862146593151</v>
      </c>
      <c r="EO39" s="62">
        <f ca="1">AVERAGE(OFFSET($EN$3,0,0,'Données projet'!$E$15+1,1))-AVERAGE(OFFSET($H$3,0,0,'Données projet'!$E$15+1,1))</f>
        <v>272.69564942740931</v>
      </c>
      <c r="EP39" s="62">
        <f t="shared" si="46"/>
        <v>316.57989180609252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>
        <f>EXP(-LN(2)/35)*EV38+(1-EXP(-LN(2)/35))/(LN(2)/35)*ER39*ES39*VLOOKUP('Données projet'!$B$15,Paramètres!$A$1:$I$89,3,0)*0.475*44/12</f>
        <v>0</v>
      </c>
      <c r="EW39" s="23">
        <f>EXP(-LN(2)/25)*EW38+(1-EXP(-LN(2)/25))/(LN(2)/25)*Calculateur!ER39*Calculateur!ET39*VLOOKUP('Données projet'!$B$15,Paramètres!$A$1:$I$89,3,0)*0.475*44/12</f>
        <v>0</v>
      </c>
      <c r="EX39" s="23">
        <f>EXP(-LN(2)/2)*EX38+(1-EXP(-LN(2)/2))/(LN(2)/2)*ER39*EU39*VLOOKUP('Données projet'!$B$15,Paramètres!$A$1:$I$89,3,0)*0.475*44/12</f>
        <v>0</v>
      </c>
      <c r="EY39" s="24">
        <f t="shared" si="21"/>
        <v>0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8.8461538461538449</v>
      </c>
      <c r="FE39" s="13">
        <f>IF('Données projet'!$A$218&gt;35,FE38+FD39-FM38,IF(A39&lt;'Données projet'!$A$218,$FB$205^A39,IF(A39='Données projet'!$A$218,'Données projet'!$B$218,FE38+FD39-FM38)))</f>
        <v>227.43589743589735</v>
      </c>
      <c r="FF39" s="18">
        <f>FE39*VLOOKUP('Données projet'!$B$16,Paramètres!$A$1:$I$89,3,0)*VLOOKUP('Données projet'!$B$16,Paramètres!$A$1:$I$89,5,0)</f>
        <v>152.56399999999994</v>
      </c>
      <c r="FG39" s="14">
        <f t="shared" si="47"/>
        <v>39.16068780876315</v>
      </c>
      <c r="FH39" s="22">
        <f t="shared" si="22"/>
        <v>333.9204979335957</v>
      </c>
      <c r="FI39" s="62">
        <f t="shared" si="23"/>
        <v>578.43291617463012</v>
      </c>
      <c r="FJ39" s="62">
        <f ca="1">AVERAGE(OFFSET($FI$3,0,0,'Données projet'!$E$16+1,1))-AVERAGE(OFFSET($H$3,0,0,'Données projet'!$E$16+1,1))</f>
        <v>440.90856392064205</v>
      </c>
      <c r="FK39" s="62">
        <f t="shared" si="48"/>
        <v>373.33139300970629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>
        <f>EXP(-LN(2)/35)*FQ38+(1-EXP(-LN(2)/35))/(LN(2)/35)*FM39*FN39*VLOOKUP('Données projet'!$B$16,Paramètres!$A$1:$I$89,3,0)*0.475*44/12</f>
        <v>0</v>
      </c>
      <c r="FR39" s="23">
        <f>EXP(-LN(2)/25)*FR38+(1-EXP(-LN(2)/25))/(LN(2)/25)*Calculateur!FM39*Calculateur!FO39*VLOOKUP('Données projet'!$B$16,Paramètres!$A$1:$I$89,3,0)*0.475*44/12</f>
        <v>0</v>
      </c>
      <c r="FS39" s="23">
        <f>EXP(-LN(2)/2)*FS38+(1-EXP(-LN(2)/2))/(LN(2)/2)*FM39*FP39*VLOOKUP('Données projet'!$B$16,Paramètres!$A$1:$I$89,3,0)*0.475*44/12</f>
        <v>0</v>
      </c>
      <c r="FT39" s="24">
        <f t="shared" si="24"/>
        <v>0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70">
        <f t="shared" si="1"/>
        <v>183.33333333333334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11.2</v>
      </c>
      <c r="N40" s="14">
        <f>IF('Données projet'!$A$36&gt;35,N39+M40-V39,IF(A40&lt;'Données projet'!$A$36,$K$205^A40,IF(A40='Données projet'!$A$36,'Données projet'!$B$36,N39+M40-V39)))</f>
        <v>141.40000000000006</v>
      </c>
      <c r="O40" s="14">
        <f>N40*VLOOKUP('Données projet'!$B$9,Paramètres!$A$1:$I$89,3,0)*VLOOKUP('Données projet'!$B$9,Paramètres!$A$1:$I$89,5,0)</f>
        <v>127.93872000000005</v>
      </c>
      <c r="P40" s="14">
        <f t="shared" si="33"/>
        <v>33.519615889545641</v>
      </c>
      <c r="Q40" s="22">
        <f t="shared" si="53"/>
        <v>281.20660167429202</v>
      </c>
      <c r="R40" s="62">
        <f t="shared" si="0"/>
        <v>526.56595364496309</v>
      </c>
      <c r="S40" s="62">
        <f ca="1">AVERAGE(OFFSET($R$3,0,0,'Données projet'!$E$9+1,1))-AVERAGE(OFFSET($H$3,0,0,'Données projet'!$E$9+1,1))</f>
        <v>570.08763950759544</v>
      </c>
      <c r="T40" s="62">
        <f t="shared" si="34"/>
        <v>297.32483725004136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11.4</v>
      </c>
      <c r="AI40" s="14">
        <f>IF('Données projet'!$A$62&gt;35,AI39+AH40-AQ39,IF(A40&lt;'Données projet'!$A$62,$AF$205^A40,IF(A40='Données projet'!$A$62,'Données projet'!$B$62,AI39+AH40-AQ39)))</f>
        <v>228.8</v>
      </c>
      <c r="AJ40" s="14">
        <f>AI40*VLOOKUP('Données projet'!$B$10,Paramètres!$A$1:$I$89,3,0)*VLOOKUP('Données projet'!$B$10,Paramètres!$A$1:$I$89,5,0)</f>
        <v>182.03328000000002</v>
      </c>
      <c r="AK40" s="14">
        <f t="shared" si="35"/>
        <v>45.774257349740282</v>
      </c>
      <c r="AL40" s="22">
        <f t="shared" si="4"/>
        <v>396.76479421746438</v>
      </c>
      <c r="AM40" s="62">
        <f t="shared" si="5"/>
        <v>642.12414618813546</v>
      </c>
      <c r="AN40" s="62">
        <f ca="1">AVERAGE(OFFSET($AM$3,0,0,'Données projet'!$E$10+1,1))-AVERAGE(OFFSET($H$3,0,0,'Données projet'!$E$10+1,1))</f>
        <v>394.70330963327166</v>
      </c>
      <c r="AO40" s="62">
        <f t="shared" si="36"/>
        <v>424.06445894109982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11.4</v>
      </c>
      <c r="BD40" s="13">
        <f>IF('Données projet'!$A$88&gt;35,BD39+BC40-BL39,IF(A40&lt;'Données projet'!$A$88,$BA$205^A40,IF(A40='Données projet'!$A$88,'Données projet'!$B$88,BD39+BC40-BL39)))</f>
        <v>228.8</v>
      </c>
      <c r="BE40" s="14">
        <f>BD40*VLOOKUP('Données projet'!$B$11,Paramètres!$A$1:$I$89,3,0)*VLOOKUP('Données projet'!$B$11,Paramètres!$A$1:$I$89,5,0)</f>
        <v>167.75615999999999</v>
      </c>
      <c r="BF40" s="14">
        <f t="shared" si="37"/>
        <v>42.587090110514616</v>
      </c>
      <c r="BG40" s="22">
        <f t="shared" si="7"/>
        <v>366.34782727581296</v>
      </c>
      <c r="BH40" s="62">
        <f t="shared" si="8"/>
        <v>611.70717924648409</v>
      </c>
      <c r="BI40" s="62">
        <f ca="1">AVERAGE(OFFSET($BH$3,0,0,'Données projet'!$E$11+1,1))-AVERAGE(OFFSET($H$3,0,0,'Données projet'!$E$11+1,1))</f>
        <v>368.54671978064204</v>
      </c>
      <c r="BJ40" s="62">
        <f t="shared" si="38"/>
        <v>395.83504504492237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>
        <f>VLOOKUP(A40,'Données projet'!$A$113:$I$133,2,0)</f>
        <v>188</v>
      </c>
      <c r="BW40" s="13">
        <f>VLOOKUP(A40,'Données projet'!$A$113:$I$133,9,0)</f>
        <v>11.5</v>
      </c>
      <c r="BX40" s="13">
        <f t="array" ref="BX40">INDEX(BW:BW,MIN(IF(ISNUMBER(BW40:BW236),ROW(BW40:BW236),"")))</f>
        <v>11.5</v>
      </c>
      <c r="BY40" s="13">
        <f>IF('Données projet'!$A$114&gt;35,BY39+BX40-CG39,IF(A40&lt;'Données projet'!$A$114,$BV$205^A40,IF(A40='Données projet'!$A$114,'Données projet'!$B$114,BY39+BX40-CG39)))</f>
        <v>187.99999999999994</v>
      </c>
      <c r="BZ40" s="14">
        <f>BY40*VLOOKUP('Données projet'!$B$12,Paramètres!$A$1:$I$89,3,0)*VLOOKUP('Données projet'!$B$12,Paramètres!$A$1:$I$89,5,0)</f>
        <v>146.63999999999996</v>
      </c>
      <c r="CA40" s="14">
        <f t="shared" si="39"/>
        <v>37.814009712703026</v>
      </c>
      <c r="CB40" s="22">
        <f t="shared" si="10"/>
        <v>321.25740024962437</v>
      </c>
      <c r="CC40" s="62">
        <f t="shared" si="11"/>
        <v>566.61675222029544</v>
      </c>
      <c r="CD40" s="62">
        <f ca="1">AVERAGE(OFFSET($CC$3,0,0,'Données projet'!$E$12+1,1))-AVERAGE(OFFSET($H$3,0,0,'Données projet'!$E$12+1,1))</f>
        <v>309.21625451786218</v>
      </c>
      <c r="CE40" s="62">
        <f t="shared" si="40"/>
        <v>302.59481222418219</v>
      </c>
      <c r="CF40" s="16">
        <f>IF(ISNA(VLOOKUP(A40,'Données projet'!$A$113:$I$133,3,0)),0,VLOOKUP(A40,'Données projet'!$A$113:$I$133,3,0))</f>
        <v>4</v>
      </c>
      <c r="CG40" s="16">
        <f>IF(ISNA(VLOOKUP(A40,'Données projet'!$A$113:$I$133,4,0)),0,VLOOKUP(A40,'Données projet'!$A$113:$I$133,4,0))</f>
        <v>36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7.5641025641025639</v>
      </c>
      <c r="CT40" s="13">
        <f>IF('Données projet'!$A$140&gt;35,CT39+CS40-DB39,IF(A40&lt;'Données projet'!$A$140,$CQ$205^A40,IF(A40='Données projet'!$A$140,'Données projet'!$B$140,CT39+CS40-DB39)))</f>
        <v>185.64102564102566</v>
      </c>
      <c r="CU40" s="18">
        <f>CT40*VLOOKUP('Données projet'!$B$13,Paramètres!$A$1:$I$89,3,0)*VLOOKUP('Données projet'!$B$13,Paramètres!$A$1:$I$89,5,0)</f>
        <v>176.65600000000003</v>
      </c>
      <c r="CV40" s="14">
        <f t="shared" si="41"/>
        <v>44.577397750316685</v>
      </c>
      <c r="CW40" s="22">
        <f t="shared" si="13"/>
        <v>385.31483441513495</v>
      </c>
      <c r="CX40" s="62">
        <f t="shared" si="14"/>
        <v>630.67418638580602</v>
      </c>
      <c r="CY40" s="62">
        <f ca="1">AVERAGE(OFFSET($CX$3,0,0,'Données projet'!$E$13+1,1))-AVERAGE(OFFSET($H$3,0,0,'Données projet'!$E$13+1,1))</f>
        <v>491.87038198656927</v>
      </c>
      <c r="CZ40" s="62">
        <f t="shared" si="42"/>
        <v>406.49261644949559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0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11.2</v>
      </c>
      <c r="DO40" s="13">
        <f>IF('Données projet'!$A$166&gt;35,DO39+DN40-DW39,IF(A40&lt;'Données projet'!$A$166,$DL$205^A40,IF(A40='Données projet'!$A$166,'Données projet'!$B$166,DO39+DN40-DW39)))</f>
        <v>141.40000000000006</v>
      </c>
      <c r="DP40" s="18">
        <f>DO40*VLOOKUP('Données projet'!$B$14,Paramètres!$A$1:$I$89,3,0)*VLOOKUP('Données projet'!$B$14,Paramètres!$A$1:$I$89,5,0)</f>
        <v>136.76208000000005</v>
      </c>
      <c r="DQ40" s="14">
        <f t="shared" si="43"/>
        <v>35.554236342883392</v>
      </c>
      <c r="DR40" s="22">
        <f t="shared" si="16"/>
        <v>300.11758429718867</v>
      </c>
      <c r="DS40" s="62">
        <f t="shared" si="17"/>
        <v>545.47693626785974</v>
      </c>
      <c r="DT40" s="62">
        <f ca="1">AVERAGE(OFFSET($DS$3,0,0,'Données projet'!$E$14+1,1))-AVERAGE(OFFSET($H$3,0,0,'Données projet'!$E$14+1,1))</f>
        <v>603.52431522262032</v>
      </c>
      <c r="DU40" s="62">
        <f t="shared" si="44"/>
        <v>313.56299786481338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projet'!$B$14,Paramètres!$A$1:$I$89,3,0)*0.475*44/12</f>
        <v>0</v>
      </c>
      <c r="EB40" s="23">
        <f>EXP(-LN(2)/25)*EB39+(1-EXP(-LN(2)/25))/(LN(2)/25)*Calculateur!DW40*Calculateur!DY40*VLOOKUP('Données projet'!$B$14,Paramètres!$A$1:$I$89,3,0)*0.475*44/12</f>
        <v>0</v>
      </c>
      <c r="EC40" s="23">
        <f>EXP(-LN(2)/2)*EC39+(1-EXP(-LN(2)/2))/(LN(2)/2)*DW40*DZ40*VLOOKUP('Données projet'!$B$14,Paramètres!$A$1:$I$89,3,0)*0.475*44/12</f>
        <v>0</v>
      </c>
      <c r="ED40" s="24">
        <f t="shared" si="18"/>
        <v>0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7.6</v>
      </c>
      <c r="EJ40" s="13">
        <f>IF('Données projet'!$A$192&gt;35,EJ39+EI40-ER39,IF(A40&lt;'Données projet'!$A$192,$EG$205^A40,IF(A40='Données projet'!$A$192,'Données projet'!$B$192,EJ39+EI40-ER39)))</f>
        <v>129.20000000000005</v>
      </c>
      <c r="EK40" s="18">
        <f>EJ40*VLOOKUP('Données projet'!$B$15,Paramètres!$A$1:$I$89,3,0)*VLOOKUP('Données projet'!$B$15,Paramètres!$A$1:$I$89,5,0)</f>
        <v>104.80704000000004</v>
      </c>
      <c r="EL40" s="14">
        <f t="shared" si="45"/>
        <v>28.104060486002457</v>
      </c>
      <c r="EM40" s="22">
        <f t="shared" si="19"/>
        <v>231.48683334645435</v>
      </c>
      <c r="EN40" s="62">
        <f t="shared" si="20"/>
        <v>476.84618531712545</v>
      </c>
      <c r="EO40" s="62">
        <f ca="1">AVERAGE(OFFSET($EN$3,0,0,'Données projet'!$E$15+1,1))-AVERAGE(OFFSET($H$3,0,0,'Données projet'!$E$15+1,1))</f>
        <v>272.69564942740931</v>
      </c>
      <c r="EP40" s="62">
        <f t="shared" si="46"/>
        <v>316.57989180609252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>
        <f>EXP(-LN(2)/35)*EV39+(1-EXP(-LN(2)/35))/(LN(2)/35)*ER40*ES40*VLOOKUP('Données projet'!$B$15,Paramètres!$A$1:$I$89,3,0)*0.475*44/12</f>
        <v>0</v>
      </c>
      <c r="EW40" s="23">
        <f>EXP(-LN(2)/25)*EW39+(1-EXP(-LN(2)/25))/(LN(2)/25)*Calculateur!ER40*Calculateur!ET40*VLOOKUP('Données projet'!$B$15,Paramètres!$A$1:$I$89,3,0)*0.475*44/12</f>
        <v>0</v>
      </c>
      <c r="EX40" s="23">
        <f>EXP(-LN(2)/2)*EX39+(1-EXP(-LN(2)/2))/(LN(2)/2)*ER40*EU40*VLOOKUP('Données projet'!$B$15,Paramètres!$A$1:$I$89,3,0)*0.475*44/12</f>
        <v>0</v>
      </c>
      <c r="EY40" s="24">
        <f t="shared" si="21"/>
        <v>0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8.8461538461538449</v>
      </c>
      <c r="FE40" s="13">
        <f>IF('Données projet'!$A$218&gt;35,FE39+FD40-FM39,IF(A40&lt;'Données projet'!$A$218,$FB$205^A40,IF(A40='Données projet'!$A$218,'Données projet'!$B$218,FE39+FD40-FM39)))</f>
        <v>236.28205128205119</v>
      </c>
      <c r="FF40" s="18">
        <f>FE40*VLOOKUP('Données projet'!$B$16,Paramètres!$A$1:$I$89,3,0)*VLOOKUP('Données projet'!$B$16,Paramètres!$A$1:$I$89,5,0)</f>
        <v>158.49799999999993</v>
      </c>
      <c r="FG40" s="14">
        <f t="shared" si="47"/>
        <v>40.503549370816764</v>
      </c>
      <c r="FH40" s="22">
        <f t="shared" si="22"/>
        <v>346.59436515417241</v>
      </c>
      <c r="FI40" s="62">
        <f t="shared" si="23"/>
        <v>591.95371712484348</v>
      </c>
      <c r="FJ40" s="62">
        <f ca="1">AVERAGE(OFFSET($FI$3,0,0,'Données projet'!$E$16+1,1))-AVERAGE(OFFSET($H$3,0,0,'Données projet'!$E$16+1,1))</f>
        <v>440.90856392064205</v>
      </c>
      <c r="FK40" s="62">
        <f t="shared" si="48"/>
        <v>373.33139300970629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>
        <f>EXP(-LN(2)/35)*FQ39+(1-EXP(-LN(2)/35))/(LN(2)/35)*FM40*FN40*VLOOKUP('Données projet'!$B$16,Paramètres!$A$1:$I$89,3,0)*0.475*44/12</f>
        <v>0</v>
      </c>
      <c r="FR40" s="23">
        <f>EXP(-LN(2)/25)*FR39+(1-EXP(-LN(2)/25))/(LN(2)/25)*Calculateur!FM40*Calculateur!FO40*VLOOKUP('Données projet'!$B$16,Paramètres!$A$1:$I$89,3,0)*0.475*44/12</f>
        <v>0</v>
      </c>
      <c r="FS40" s="23">
        <f>EXP(-LN(2)/2)*FS39+(1-EXP(-LN(2)/2))/(LN(2)/2)*FM40*FP40*VLOOKUP('Données projet'!$B$16,Paramètres!$A$1:$I$89,3,0)*0.475*44/12</f>
        <v>0</v>
      </c>
      <c r="FT40" s="24">
        <f t="shared" si="24"/>
        <v>0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70">
        <f t="shared" si="1"/>
        <v>183.33333333333334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11.2</v>
      </c>
      <c r="N41" s="14">
        <f>IF('Données projet'!$A$36&gt;35,N40+M41-V40,IF(A41&lt;'Données projet'!$A$36,$K$205^A41,IF(A41='Données projet'!$A$36,'Données projet'!$B$36,N40+M41-V40)))</f>
        <v>152.60000000000005</v>
      </c>
      <c r="O41" s="14">
        <f>N41*VLOOKUP('Données projet'!$B$9,Paramètres!$A$1:$I$89,3,0)*VLOOKUP('Données projet'!$B$9,Paramètres!$A$1:$I$89,5,0)</f>
        <v>138.07248000000004</v>
      </c>
      <c r="P41" s="14">
        <f t="shared" si="33"/>
        <v>35.85508207677799</v>
      </c>
      <c r="Q41" s="22">
        <f t="shared" si="53"/>
        <v>302.92383728372175</v>
      </c>
      <c r="R41" s="62">
        <f t="shared" si="0"/>
        <v>549.11543057728045</v>
      </c>
      <c r="S41" s="62">
        <f ca="1">AVERAGE(OFFSET($R$3,0,0,'Données projet'!$E$9+1,1))-AVERAGE(OFFSET($H$3,0,0,'Données projet'!$E$9+1,1))</f>
        <v>570.08763950759544</v>
      </c>
      <c r="T41" s="62">
        <f t="shared" si="34"/>
        <v>297.32483725004136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11.4</v>
      </c>
      <c r="AI41" s="14">
        <f>IF('Données projet'!$A$62&gt;35,AI40+AH41-AQ40,IF(A41&lt;'Données projet'!$A$62,$AF$205^A41,IF(A41='Données projet'!$A$62,'Données projet'!$B$62,AI40+AH41-AQ40)))</f>
        <v>240.20000000000002</v>
      </c>
      <c r="AJ41" s="14">
        <f>AI41*VLOOKUP('Données projet'!$B$10,Paramètres!$A$1:$I$89,3,0)*VLOOKUP('Données projet'!$B$10,Paramètres!$A$1:$I$89,5,0)</f>
        <v>191.10312000000002</v>
      </c>
      <c r="AK41" s="14">
        <f t="shared" si="35"/>
        <v>47.783754789189338</v>
      </c>
      <c r="AL41" s="22">
        <f t="shared" si="4"/>
        <v>416.06130692450483</v>
      </c>
      <c r="AM41" s="62">
        <f t="shared" si="5"/>
        <v>662.25290021806359</v>
      </c>
      <c r="AN41" s="62">
        <f ca="1">AVERAGE(OFFSET($AM$3,0,0,'Données projet'!$E$10+1,1))-AVERAGE(OFFSET($H$3,0,0,'Données projet'!$E$10+1,1))</f>
        <v>394.70330963327166</v>
      </c>
      <c r="AO41" s="62">
        <f t="shared" si="36"/>
        <v>424.06445894109982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11.4</v>
      </c>
      <c r="BD41" s="13">
        <f>IF('Données projet'!$A$88&gt;35,BD40+BC41-BL40,IF(A41&lt;'Données projet'!$A$88,$BA$205^A41,IF(A41='Données projet'!$A$88,'Données projet'!$B$88,BD40+BC41-BL40)))</f>
        <v>240.20000000000002</v>
      </c>
      <c r="BE41" s="14">
        <f>BD41*VLOOKUP('Données projet'!$B$11,Paramètres!$A$1:$I$89,3,0)*VLOOKUP('Données projet'!$B$11,Paramètres!$A$1:$I$89,5,0)</f>
        <v>176.11464000000001</v>
      </c>
      <c r="BF41" s="14">
        <f t="shared" si="37"/>
        <v>44.456670383041981</v>
      </c>
      <c r="BG41" s="22">
        <f t="shared" si="7"/>
        <v>384.16169891713145</v>
      </c>
      <c r="BH41" s="62">
        <f t="shared" si="8"/>
        <v>630.35329221069014</v>
      </c>
      <c r="BI41" s="62">
        <f ca="1">AVERAGE(OFFSET($BH$3,0,0,'Données projet'!$E$11+1,1))-AVERAGE(OFFSET($H$3,0,0,'Données projet'!$E$11+1,1))</f>
        <v>368.54671978064204</v>
      </c>
      <c r="BJ41" s="62">
        <f t="shared" si="38"/>
        <v>395.83504504492237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11.142857142857142</v>
      </c>
      <c r="BY41" s="13">
        <f>IF('Données projet'!$A$114&gt;35,BY40+BX41-CG40,IF(A41&lt;'Données projet'!$A$114,$BV$205^A41,IF(A41='Données projet'!$A$114,'Données projet'!$B$114,BY40+BX41-CG40)))</f>
        <v>163.14285714285708</v>
      </c>
      <c r="BZ41" s="14">
        <f>BY41*VLOOKUP('Données projet'!$B$12,Paramètres!$A$1:$I$89,3,0)*VLOOKUP('Données projet'!$B$12,Paramètres!$A$1:$I$89,5,0)</f>
        <v>127.25142857142853</v>
      </c>
      <c r="CA41" s="14">
        <f t="shared" si="39"/>
        <v>33.360457439554281</v>
      </c>
      <c r="CB41" s="22">
        <f t="shared" si="10"/>
        <v>279.73236813579501</v>
      </c>
      <c r="CC41" s="62">
        <f t="shared" si="11"/>
        <v>525.92396142935377</v>
      </c>
      <c r="CD41" s="62">
        <f ca="1">AVERAGE(OFFSET($CC$3,0,0,'Données projet'!$E$12+1,1))-AVERAGE(OFFSET($H$3,0,0,'Données projet'!$E$12+1,1))</f>
        <v>309.21625451786218</v>
      </c>
      <c r="CE41" s="62">
        <f t="shared" si="40"/>
        <v>302.59481222418219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7.5641025641025639</v>
      </c>
      <c r="CT41" s="13">
        <f>IF('Données projet'!$A$140&gt;35,CT40+CS41-DB40,IF(A41&lt;'Données projet'!$A$140,$CQ$205^A41,IF(A41='Données projet'!$A$140,'Données projet'!$B$140,CT40+CS41-DB40)))</f>
        <v>193.20512820512823</v>
      </c>
      <c r="CU41" s="18">
        <f>CT41*VLOOKUP('Données projet'!$B$13,Paramètres!$A$1:$I$89,3,0)*VLOOKUP('Données projet'!$B$13,Paramètres!$A$1:$I$89,5,0)</f>
        <v>183.85400000000004</v>
      </c>
      <c r="CV41" s="14">
        <f t="shared" si="41"/>
        <v>46.178570095276363</v>
      </c>
      <c r="CW41" s="22">
        <f t="shared" si="13"/>
        <v>400.6400595826064</v>
      </c>
      <c r="CX41" s="62">
        <f t="shared" si="14"/>
        <v>646.83165287616509</v>
      </c>
      <c r="CY41" s="62">
        <f ca="1">AVERAGE(OFFSET($CX$3,0,0,'Données projet'!$E$13+1,1))-AVERAGE(OFFSET($H$3,0,0,'Données projet'!$E$13+1,1))</f>
        <v>491.87038198656927</v>
      </c>
      <c r="CZ41" s="62">
        <f t="shared" si="42"/>
        <v>406.49261644949559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0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11.2</v>
      </c>
      <c r="DO41" s="13">
        <f>IF('Données projet'!$A$166&gt;35,DO40+DN41-DW40,IF(A41&lt;'Données projet'!$A$166,$DL$205^A41,IF(A41='Données projet'!$A$166,'Données projet'!$B$166,DO40+DN41-DW40)))</f>
        <v>152.60000000000005</v>
      </c>
      <c r="DP41" s="18">
        <f>DO41*VLOOKUP('Données projet'!$B$14,Paramètres!$A$1:$I$89,3,0)*VLOOKUP('Données projet'!$B$14,Paramètres!$A$1:$I$89,5,0)</f>
        <v>147.59472000000005</v>
      </c>
      <c r="DQ41" s="14">
        <f t="shared" si="43"/>
        <v>38.031463918082679</v>
      </c>
      <c r="DR41" s="22">
        <f t="shared" si="16"/>
        <v>323.29893699066071</v>
      </c>
      <c r="DS41" s="62">
        <f t="shared" si="17"/>
        <v>569.4905302842194</v>
      </c>
      <c r="DT41" s="62">
        <f ca="1">AVERAGE(OFFSET($DS$3,0,0,'Données projet'!$E$14+1,1))-AVERAGE(OFFSET($H$3,0,0,'Données projet'!$E$14+1,1))</f>
        <v>603.52431522262032</v>
      </c>
      <c r="DU41" s="62">
        <f t="shared" si="44"/>
        <v>313.56299786481338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projet'!$B$14,Paramètres!$A$1:$I$89,3,0)*0.475*44/12</f>
        <v>0</v>
      </c>
      <c r="EB41" s="23">
        <f>EXP(-LN(2)/25)*EB40+(1-EXP(-LN(2)/25))/(LN(2)/25)*Calculateur!DW41*Calculateur!DY41*VLOOKUP('Données projet'!$B$14,Paramètres!$A$1:$I$89,3,0)*0.475*44/12</f>
        <v>0</v>
      </c>
      <c r="EC41" s="23">
        <f>EXP(-LN(2)/2)*EC40+(1-EXP(-LN(2)/2))/(LN(2)/2)*DW41*DZ41*VLOOKUP('Données projet'!$B$14,Paramètres!$A$1:$I$89,3,0)*0.475*44/12</f>
        <v>0</v>
      </c>
      <c r="ED41" s="24">
        <f t="shared" si="18"/>
        <v>0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7.6</v>
      </c>
      <c r="EJ41" s="13">
        <f>IF('Données projet'!$A$192&gt;35,EJ40+EI41-ER40,IF(A41&lt;'Données projet'!$A$192,$EG$205^A41,IF(A41='Données projet'!$A$192,'Données projet'!$B$192,EJ40+EI41-ER40)))</f>
        <v>136.80000000000004</v>
      </c>
      <c r="EK41" s="18">
        <f>EJ41*VLOOKUP('Données projet'!$B$15,Paramètres!$A$1:$I$89,3,0)*VLOOKUP('Données projet'!$B$15,Paramètres!$A$1:$I$89,5,0)</f>
        <v>110.97216000000004</v>
      </c>
      <c r="EL41" s="14">
        <f t="shared" si="45"/>
        <v>29.559915623187329</v>
      </c>
      <c r="EM41" s="22">
        <f t="shared" si="19"/>
        <v>244.76003171038471</v>
      </c>
      <c r="EN41" s="62">
        <f t="shared" si="20"/>
        <v>490.95162500394343</v>
      </c>
      <c r="EO41" s="62">
        <f ca="1">AVERAGE(OFFSET($EN$3,0,0,'Données projet'!$E$15+1,1))-AVERAGE(OFFSET($H$3,0,0,'Données projet'!$E$15+1,1))</f>
        <v>272.69564942740931</v>
      </c>
      <c r="EP41" s="62">
        <f t="shared" si="46"/>
        <v>316.57989180609252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>
        <f>EXP(-LN(2)/35)*EV40+(1-EXP(-LN(2)/35))/(LN(2)/35)*ER41*ES41*VLOOKUP('Données projet'!$B$15,Paramètres!$A$1:$I$89,3,0)*0.475*44/12</f>
        <v>0</v>
      </c>
      <c r="EW41" s="23">
        <f>EXP(-LN(2)/25)*EW40+(1-EXP(-LN(2)/25))/(LN(2)/25)*Calculateur!ER41*Calculateur!ET41*VLOOKUP('Données projet'!$B$15,Paramètres!$A$1:$I$89,3,0)*0.475*44/12</f>
        <v>0</v>
      </c>
      <c r="EX41" s="23">
        <f>EXP(-LN(2)/2)*EX40+(1-EXP(-LN(2)/2))/(LN(2)/2)*ER41*EU41*VLOOKUP('Données projet'!$B$15,Paramètres!$A$1:$I$89,3,0)*0.475*44/12</f>
        <v>0</v>
      </c>
      <c r="EY41" s="24">
        <f t="shared" si="21"/>
        <v>0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8.8461538461538449</v>
      </c>
      <c r="FE41" s="13">
        <f>IF('Données projet'!$A$218&gt;35,FE40+FD41-FM40,IF(A41&lt;'Données projet'!$A$218,$FB$205^A41,IF(A41='Données projet'!$A$218,'Données projet'!$B$218,FE40+FD41-FM40)))</f>
        <v>245.12820512820502</v>
      </c>
      <c r="FF41" s="18">
        <f>FE41*VLOOKUP('Données projet'!$B$16,Paramètres!$A$1:$I$89,3,0)*VLOOKUP('Données projet'!$B$16,Paramètres!$A$1:$I$89,5,0)</f>
        <v>164.43199999999993</v>
      </c>
      <c r="FG41" s="14">
        <f t="shared" si="47"/>
        <v>41.840570175108574</v>
      </c>
      <c r="FH41" s="22">
        <f t="shared" si="22"/>
        <v>359.25805972164727</v>
      </c>
      <c r="FI41" s="62">
        <f t="shared" si="23"/>
        <v>605.44965301520597</v>
      </c>
      <c r="FJ41" s="62">
        <f ca="1">AVERAGE(OFFSET($FI$3,0,0,'Données projet'!$E$16+1,1))-AVERAGE(OFFSET($H$3,0,0,'Données projet'!$E$16+1,1))</f>
        <v>440.90856392064205</v>
      </c>
      <c r="FK41" s="62">
        <f t="shared" si="48"/>
        <v>373.33139300970629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>
        <f>EXP(-LN(2)/35)*FQ40+(1-EXP(-LN(2)/35))/(LN(2)/35)*FM41*FN41*VLOOKUP('Données projet'!$B$16,Paramètres!$A$1:$I$89,3,0)*0.475*44/12</f>
        <v>0</v>
      </c>
      <c r="FR41" s="23">
        <f>EXP(-LN(2)/25)*FR40+(1-EXP(-LN(2)/25))/(LN(2)/25)*Calculateur!FM41*Calculateur!FO41*VLOOKUP('Données projet'!$B$16,Paramètres!$A$1:$I$89,3,0)*0.475*44/12</f>
        <v>0</v>
      </c>
      <c r="FS41" s="23">
        <f>EXP(-LN(2)/2)*FS40+(1-EXP(-LN(2)/2))/(LN(2)/2)*FM41*FP41*VLOOKUP('Données projet'!$B$16,Paramètres!$A$1:$I$89,3,0)*0.475*44/12</f>
        <v>0</v>
      </c>
      <c r="FT41" s="24">
        <f t="shared" si="24"/>
        <v>0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70">
        <f t="shared" si="1"/>
        <v>183.33333333333334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11.2</v>
      </c>
      <c r="N42" s="14">
        <f>IF('Données projet'!$A$36&gt;35,N41+M42-V41,IF(A42&lt;'Données projet'!$A$36,$K$205^A42,IF(A42='Données projet'!$A$36,'Données projet'!$B$36,N41+M42-V41)))</f>
        <v>163.80000000000004</v>
      </c>
      <c r="O42" s="14">
        <f>N42*VLOOKUP('Données projet'!$B$9,Paramètres!$A$1:$I$89,3,0)*VLOOKUP('Données projet'!$B$9,Paramètres!$A$1:$I$89,5,0)</f>
        <v>148.20624000000004</v>
      </c>
      <c r="P42" s="14">
        <f t="shared" si="33"/>
        <v>38.170662245893794</v>
      </c>
      <c r="Q42" s="22">
        <f t="shared" si="53"/>
        <v>324.60643807826506</v>
      </c>
      <c r="R42" s="62">
        <f t="shared" si="0"/>
        <v>571.6158351683722</v>
      </c>
      <c r="S42" s="62">
        <f ca="1">AVERAGE(OFFSET($R$3,0,0,'Données projet'!$E$9+1,1))-AVERAGE(OFFSET($H$3,0,0,'Données projet'!$E$9+1,1))</f>
        <v>570.08763950759544</v>
      </c>
      <c r="T42" s="62">
        <f t="shared" si="34"/>
        <v>297.32483725004136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11.4</v>
      </c>
      <c r="AI42" s="14">
        <f>IF('Données projet'!$A$62&gt;35,AI41+AH42-AQ41,IF(A42&lt;'Données projet'!$A$62,$AF$205^A42,IF(A42='Données projet'!$A$62,'Données projet'!$B$62,AI41+AH42-AQ41)))</f>
        <v>251.60000000000002</v>
      </c>
      <c r="AJ42" s="14">
        <f>AI42*VLOOKUP('Données projet'!$B$10,Paramètres!$A$1:$I$89,3,0)*VLOOKUP('Données projet'!$B$10,Paramètres!$A$1:$I$89,5,0)</f>
        <v>200.17296000000002</v>
      </c>
      <c r="AK42" s="14">
        <f t="shared" si="35"/>
        <v>49.782177185856028</v>
      </c>
      <c r="AL42" s="22">
        <f t="shared" si="4"/>
        <v>435.33853059869926</v>
      </c>
      <c r="AM42" s="62">
        <f t="shared" si="5"/>
        <v>682.34792768880641</v>
      </c>
      <c r="AN42" s="62">
        <f ca="1">AVERAGE(OFFSET($AM$3,0,0,'Données projet'!$E$10+1,1))-AVERAGE(OFFSET($H$3,0,0,'Données projet'!$E$10+1,1))</f>
        <v>394.70330963327166</v>
      </c>
      <c r="AO42" s="62">
        <f t="shared" si="36"/>
        <v>424.06445894109982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11.4</v>
      </c>
      <c r="BD42" s="13">
        <f>IF('Données projet'!$A$88&gt;35,BD41+BC42-BL41,IF(A42&lt;'Données projet'!$A$88,$BA$205^A42,IF(A42='Données projet'!$A$88,'Données projet'!$B$88,BD41+BC42-BL41)))</f>
        <v>251.60000000000002</v>
      </c>
      <c r="BE42" s="14">
        <f>BD42*VLOOKUP('Données projet'!$B$11,Paramètres!$A$1:$I$89,3,0)*VLOOKUP('Données projet'!$B$11,Paramètres!$A$1:$I$89,5,0)</f>
        <v>184.47312000000002</v>
      </c>
      <c r="BF42" s="14">
        <f t="shared" si="37"/>
        <v>46.315946745200151</v>
      </c>
      <c r="BG42" s="22">
        <f t="shared" si="7"/>
        <v>401.95762458122357</v>
      </c>
      <c r="BH42" s="62">
        <f t="shared" si="8"/>
        <v>648.96702167133071</v>
      </c>
      <c r="BI42" s="62">
        <f ca="1">AVERAGE(OFFSET($BH$3,0,0,'Données projet'!$E$11+1,1))-AVERAGE(OFFSET($H$3,0,0,'Données projet'!$E$11+1,1))</f>
        <v>368.54671978064204</v>
      </c>
      <c r="BJ42" s="62">
        <f t="shared" si="38"/>
        <v>395.83504504492237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11.142857142857142</v>
      </c>
      <c r="BY42" s="13">
        <f>IF('Données projet'!$A$114&gt;35,BY41+BX42-CG41,IF(A42&lt;'Données projet'!$A$114,$BV$205^A42,IF(A42='Données projet'!$A$114,'Données projet'!$B$114,BY41+BX42-CG41)))</f>
        <v>174.28571428571422</v>
      </c>
      <c r="BZ42" s="14">
        <f>BY42*VLOOKUP('Données projet'!$B$12,Paramètres!$A$1:$I$89,3,0)*VLOOKUP('Données projet'!$B$12,Paramètres!$A$1:$I$89,5,0)</f>
        <v>135.94285714285709</v>
      </c>
      <c r="CA42" s="14">
        <f t="shared" si="39"/>
        <v>35.365986273808367</v>
      </c>
      <c r="CB42" s="22">
        <f t="shared" si="10"/>
        <v>298.36290228402567</v>
      </c>
      <c r="CC42" s="62">
        <f t="shared" si="11"/>
        <v>545.37229937413281</v>
      </c>
      <c r="CD42" s="62">
        <f ca="1">AVERAGE(OFFSET($CC$3,0,0,'Données projet'!$E$12+1,1))-AVERAGE(OFFSET($H$3,0,0,'Données projet'!$E$12+1,1))</f>
        <v>309.21625451786218</v>
      </c>
      <c r="CE42" s="62">
        <f t="shared" si="40"/>
        <v>302.59481222418219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7.5641025641025639</v>
      </c>
      <c r="CT42" s="13">
        <f>IF('Données projet'!$A$140&gt;35,CT41+CS42-DB41,IF(A42&lt;'Données projet'!$A$140,$CQ$205^A42,IF(A42='Données projet'!$A$140,'Données projet'!$B$140,CT41+CS42-DB41)))</f>
        <v>200.7692307692308</v>
      </c>
      <c r="CU42" s="18">
        <f>CT42*VLOOKUP('Données projet'!$B$13,Paramètres!$A$1:$I$89,3,0)*VLOOKUP('Données projet'!$B$13,Paramètres!$A$1:$I$89,5,0)</f>
        <v>191.05200000000005</v>
      </c>
      <c r="CV42" s="14">
        <f t="shared" si="41"/>
        <v>47.77246032039492</v>
      </c>
      <c r="CW42" s="22">
        <f t="shared" si="13"/>
        <v>415.95260172468784</v>
      </c>
      <c r="CX42" s="62">
        <f t="shared" si="14"/>
        <v>662.96199881479492</v>
      </c>
      <c r="CY42" s="62">
        <f ca="1">AVERAGE(OFFSET($CX$3,0,0,'Données projet'!$E$13+1,1))-AVERAGE(OFFSET($H$3,0,0,'Données projet'!$E$13+1,1))</f>
        <v>491.87038198656927</v>
      </c>
      <c r="CZ42" s="62">
        <f t="shared" si="42"/>
        <v>406.49261644949559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0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11.2</v>
      </c>
      <c r="DO42" s="13">
        <f>IF('Données projet'!$A$166&gt;35,DO41+DN42-DW41,IF(A42&lt;'Données projet'!$A$166,$DL$205^A42,IF(A42='Données projet'!$A$166,'Données projet'!$B$166,DO41+DN42-DW41)))</f>
        <v>163.80000000000004</v>
      </c>
      <c r="DP42" s="18">
        <f>DO42*VLOOKUP('Données projet'!$B$14,Paramètres!$A$1:$I$89,3,0)*VLOOKUP('Données projet'!$B$14,Paramètres!$A$1:$I$89,5,0)</f>
        <v>158.42736000000005</v>
      </c>
      <c r="DQ42" s="14">
        <f t="shared" si="43"/>
        <v>40.487598405868248</v>
      </c>
      <c r="DR42" s="22">
        <f t="shared" si="16"/>
        <v>346.44355255688725</v>
      </c>
      <c r="DS42" s="62">
        <f t="shared" si="17"/>
        <v>593.4529496469944</v>
      </c>
      <c r="DT42" s="62">
        <f ca="1">AVERAGE(OFFSET($DS$3,0,0,'Données projet'!$E$14+1,1))-AVERAGE(OFFSET($H$3,0,0,'Données projet'!$E$14+1,1))</f>
        <v>603.52431522262032</v>
      </c>
      <c r="DU42" s="62">
        <f t="shared" si="44"/>
        <v>313.56299786481338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projet'!$B$14,Paramètres!$A$1:$I$89,3,0)*0.475*44/12</f>
        <v>0</v>
      </c>
      <c r="EB42" s="23">
        <f>EXP(-LN(2)/25)*EB41+(1-EXP(-LN(2)/25))/(LN(2)/25)*Calculateur!DW42*Calculateur!DY42*VLOOKUP('Données projet'!$B$14,Paramètres!$A$1:$I$89,3,0)*0.475*44/12</f>
        <v>0</v>
      </c>
      <c r="EC42" s="23">
        <f>EXP(-LN(2)/2)*EC41+(1-EXP(-LN(2)/2))/(LN(2)/2)*DW42*DZ42*VLOOKUP('Données projet'!$B$14,Paramètres!$A$1:$I$89,3,0)*0.475*44/12</f>
        <v>0</v>
      </c>
      <c r="ED42" s="24">
        <f t="shared" si="18"/>
        <v>0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7.6</v>
      </c>
      <c r="EJ42" s="13">
        <f>IF('Données projet'!$A$192&gt;35,EJ41+EI42-ER41,IF(A42&lt;'Données projet'!$A$192,$EG$205^A42,IF(A42='Données projet'!$A$192,'Données projet'!$B$192,EJ41+EI42-ER41)))</f>
        <v>144.40000000000003</v>
      </c>
      <c r="EK42" s="18">
        <f>EJ42*VLOOKUP('Données projet'!$B$15,Paramètres!$A$1:$I$89,3,0)*VLOOKUP('Données projet'!$B$15,Paramètres!$A$1:$I$89,5,0)</f>
        <v>117.13728000000003</v>
      </c>
      <c r="EL42" s="14">
        <f t="shared" si="45"/>
        <v>31.006381507018595</v>
      </c>
      <c r="EM42" s="22">
        <f t="shared" si="19"/>
        <v>258.01687712472409</v>
      </c>
      <c r="EN42" s="62">
        <f t="shared" si="20"/>
        <v>505.02627421483123</v>
      </c>
      <c r="EO42" s="62">
        <f ca="1">AVERAGE(OFFSET($EN$3,0,0,'Données projet'!$E$15+1,1))-AVERAGE(OFFSET($H$3,0,0,'Données projet'!$E$15+1,1))</f>
        <v>272.69564942740931</v>
      </c>
      <c r="EP42" s="62">
        <f t="shared" si="46"/>
        <v>316.57989180609252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>
        <f>EXP(-LN(2)/35)*EV41+(1-EXP(-LN(2)/35))/(LN(2)/35)*ER42*ES42*VLOOKUP('Données projet'!$B$15,Paramètres!$A$1:$I$89,3,0)*0.475*44/12</f>
        <v>0</v>
      </c>
      <c r="EW42" s="23">
        <f>EXP(-LN(2)/25)*EW41+(1-EXP(-LN(2)/25))/(LN(2)/25)*Calculateur!ER42*Calculateur!ET42*VLOOKUP('Données projet'!$B$15,Paramètres!$A$1:$I$89,3,0)*0.475*44/12</f>
        <v>0</v>
      </c>
      <c r="EX42" s="23">
        <f>EXP(-LN(2)/2)*EX41+(1-EXP(-LN(2)/2))/(LN(2)/2)*ER42*EU42*VLOOKUP('Données projet'!$B$15,Paramètres!$A$1:$I$89,3,0)*0.475*44/12</f>
        <v>0</v>
      </c>
      <c r="EY42" s="24">
        <f t="shared" si="21"/>
        <v>0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8.8461538461538449</v>
      </c>
      <c r="FE42" s="13">
        <f>IF('Données projet'!$A$218&gt;35,FE41+FD42-FM41,IF(A42&lt;'Données projet'!$A$218,$FB$205^A42,IF(A42='Données projet'!$A$218,'Données projet'!$B$218,FE41+FD42-FM41)))</f>
        <v>253.97435897435886</v>
      </c>
      <c r="FF42" s="18">
        <f>FE42*VLOOKUP('Données projet'!$B$16,Paramètres!$A$1:$I$89,3,0)*VLOOKUP('Données projet'!$B$16,Paramètres!$A$1:$I$89,5,0)</f>
        <v>170.36599999999993</v>
      </c>
      <c r="FG42" s="14">
        <f t="shared" si="47"/>
        <v>43.171985147138862</v>
      </c>
      <c r="FH42" s="22">
        <f t="shared" si="22"/>
        <v>371.91199079793336</v>
      </c>
      <c r="FI42" s="62">
        <f t="shared" si="23"/>
        <v>618.9213878880405</v>
      </c>
      <c r="FJ42" s="62">
        <f ca="1">AVERAGE(OFFSET($FI$3,0,0,'Données projet'!$E$16+1,1))-AVERAGE(OFFSET($H$3,0,0,'Données projet'!$E$16+1,1))</f>
        <v>440.90856392064205</v>
      </c>
      <c r="FK42" s="62">
        <f t="shared" si="48"/>
        <v>373.33139300970629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>
        <f>EXP(-LN(2)/35)*FQ41+(1-EXP(-LN(2)/35))/(LN(2)/35)*FM42*FN42*VLOOKUP('Données projet'!$B$16,Paramètres!$A$1:$I$89,3,0)*0.475*44/12</f>
        <v>0</v>
      </c>
      <c r="FR42" s="23">
        <f>EXP(-LN(2)/25)*FR41+(1-EXP(-LN(2)/25))/(LN(2)/25)*Calculateur!FM42*Calculateur!FO42*VLOOKUP('Données projet'!$B$16,Paramètres!$A$1:$I$89,3,0)*0.475*44/12</f>
        <v>0</v>
      </c>
      <c r="FS42" s="23">
        <f>EXP(-LN(2)/2)*FS41+(1-EXP(-LN(2)/2))/(LN(2)/2)*FM42*FP42*VLOOKUP('Données projet'!$B$16,Paramètres!$A$1:$I$89,3,0)*0.475*44/12</f>
        <v>0</v>
      </c>
      <c r="FT42" s="24">
        <f t="shared" si="24"/>
        <v>0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70">
        <f t="shared" si="1"/>
        <v>183.33333333333334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175</v>
      </c>
      <c r="L43" s="13">
        <f>VLOOKUP(A43,'Données projet'!$A$35:$I$55,9,0)</f>
        <v>11.2</v>
      </c>
      <c r="M43" s="13">
        <f t="array" ref="M43">INDEX(L:L,MIN(IF(ISNUMBER(L43:L239),ROW(L43:L239),"")))</f>
        <v>11.2</v>
      </c>
      <c r="N43" s="14">
        <f>IF('Données projet'!$A$36&gt;35,N42+M43-V42,IF(A43&lt;'Données projet'!$A$36,$K$205^A43,IF(A43='Données projet'!$A$36,'Données projet'!$B$36,N42+M43-V42)))</f>
        <v>175.00000000000003</v>
      </c>
      <c r="O43" s="14">
        <f>N43*VLOOKUP('Données projet'!$B$9,Paramètres!$A$1:$I$89,3,0)*VLOOKUP('Données projet'!$B$9,Paramètres!$A$1:$I$89,5,0)</f>
        <v>158.34000000000003</v>
      </c>
      <c r="P43" s="14">
        <f t="shared" si="33"/>
        <v>40.467870812652819</v>
      </c>
      <c r="Q43" s="22">
        <f t="shared" si="53"/>
        <v>346.25704166537042</v>
      </c>
      <c r="R43" s="62">
        <f t="shared" si="0"/>
        <v>594.07005548449126</v>
      </c>
      <c r="S43" s="62">
        <f ca="1">AVERAGE(OFFSET($R$3,0,0,'Données projet'!$E$9+1,1))-AVERAGE(OFFSET($H$3,0,0,'Données projet'!$E$9+1,1))</f>
        <v>570.08763950759544</v>
      </c>
      <c r="T43" s="62">
        <f t="shared" si="34"/>
        <v>297.32483725004136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263</v>
      </c>
      <c r="AG43" s="13">
        <f>VLOOKUP(A43,'Données projet'!$A$61:$I$81,9,0)</f>
        <v>11.4</v>
      </c>
      <c r="AH43" s="13">
        <f t="array" ref="AH43">INDEX(AG:AG,MIN(IF(ISNUMBER(AG43:AG239),ROW(AG43:AG239),"")))</f>
        <v>11.4</v>
      </c>
      <c r="AI43" s="14">
        <f>IF('Données projet'!$A$62&gt;35,AI42+AH43-AQ42,IF(A43&lt;'Données projet'!$A$62,$AF$205^A43,IF(A43='Données projet'!$A$62,'Données projet'!$B$62,AI42+AH43-AQ42)))</f>
        <v>263</v>
      </c>
      <c r="AJ43" s="14">
        <f>AI43*VLOOKUP('Données projet'!$B$10,Paramètres!$A$1:$I$89,3,0)*VLOOKUP('Données projet'!$B$10,Paramètres!$A$1:$I$89,5,0)</f>
        <v>209.24279999999999</v>
      </c>
      <c r="AK43" s="14">
        <f t="shared" si="35"/>
        <v>51.770083677016814</v>
      </c>
      <c r="AL43" s="22">
        <f t="shared" si="4"/>
        <v>454.59743907080428</v>
      </c>
      <c r="AM43" s="62">
        <f t="shared" si="5"/>
        <v>702.41045288992507</v>
      </c>
      <c r="AN43" s="62">
        <f ca="1">AVERAGE(OFFSET($AM$3,0,0,'Données projet'!$E$10+1,1))-AVERAGE(OFFSET($H$3,0,0,'Données projet'!$E$10+1,1))</f>
        <v>394.70330963327166</v>
      </c>
      <c r="AO43" s="62">
        <f t="shared" si="36"/>
        <v>424.06445894109982</v>
      </c>
      <c r="AP43" s="16">
        <f>IF(ISNA(VLOOKUP(A43,'Données projet'!$A$61:$I$81,3,0)),0,VLOOKUP(A43,'Données projet'!$A$61:$I$81,3,0))</f>
        <v>3</v>
      </c>
      <c r="AQ43" s="16">
        <f>IF(ISNA(VLOOKUP(A43,'Données projet'!$A$61:$I$81,4,0)),0,VLOOKUP(A43,'Données projet'!$A$61:$I$81,4,0))</f>
        <v>70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263</v>
      </c>
      <c r="BB43" s="13">
        <f>VLOOKUP(A43,'Données projet'!$A$87:$I$107,9,0)</f>
        <v>11.4</v>
      </c>
      <c r="BC43" s="13">
        <f t="array" ref="BC43">INDEX(BB:BB,MIN(IF(ISNUMBER(BB43:BB239),ROW(BB43:BB239),"")))</f>
        <v>11.4</v>
      </c>
      <c r="BD43" s="13">
        <f>IF('Données projet'!$A$88&gt;35,BD42+BC43-BL42,IF(A43&lt;'Données projet'!$A$88,$BA$205^A43,IF(A43='Données projet'!$A$88,'Données projet'!$B$88,BD42+BC43-BL42)))</f>
        <v>263</v>
      </c>
      <c r="BE43" s="14">
        <f>BD43*VLOOKUP('Données projet'!$B$11,Paramètres!$A$1:$I$89,3,0)*VLOOKUP('Données projet'!$B$11,Paramètres!$A$1:$I$89,5,0)</f>
        <v>192.83160000000001</v>
      </c>
      <c r="BF43" s="14">
        <f t="shared" si="37"/>
        <v>48.165439402688818</v>
      </c>
      <c r="BG43" s="22">
        <f t="shared" si="7"/>
        <v>419.73651029301635</v>
      </c>
      <c r="BH43" s="62">
        <f t="shared" si="8"/>
        <v>667.54952411213719</v>
      </c>
      <c r="BI43" s="62">
        <f ca="1">AVERAGE(OFFSET($BH$3,0,0,'Données projet'!$E$11+1,1))-AVERAGE(OFFSET($H$3,0,0,'Données projet'!$E$11+1,1))</f>
        <v>368.54671978064204</v>
      </c>
      <c r="BJ43" s="62">
        <f t="shared" si="38"/>
        <v>395.83504504492237</v>
      </c>
      <c r="BK43" s="16">
        <f>IF(ISNA(VLOOKUP(A43,'Données projet'!$A$87:$I$107,3,0)),0,VLOOKUP(A43,'Données projet'!$A$87:$I$107,3,0))</f>
        <v>3</v>
      </c>
      <c r="BL43" s="16">
        <f>IF(ISNA(VLOOKUP(A43,'Données projet'!$A$87:$I$107,4,0)),0,VLOOKUP(A43,'Données projet'!$A$87:$I$107,4,0))</f>
        <v>70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11.142857142857142</v>
      </c>
      <c r="BY43" s="13">
        <f>IF('Données projet'!$A$114&gt;35,BY42+BX43-CG42,IF(A43&lt;'Données projet'!$A$114,$BV$205^A43,IF(A43='Données projet'!$A$114,'Données projet'!$B$114,BY42+BX43-CG42)))</f>
        <v>185.42857142857136</v>
      </c>
      <c r="BZ43" s="14">
        <f>BY43*VLOOKUP('Données projet'!$B$12,Paramètres!$A$1:$I$89,3,0)*VLOOKUP('Données projet'!$B$12,Paramètres!$A$1:$I$89,5,0)</f>
        <v>144.63428571428565</v>
      </c>
      <c r="CA43" s="14">
        <f t="shared" si="39"/>
        <v>37.356634728420524</v>
      </c>
      <c r="CB43" s="22">
        <f t="shared" si="10"/>
        <v>316.96751977104657</v>
      </c>
      <c r="CC43" s="62">
        <f t="shared" si="11"/>
        <v>564.78053359016735</v>
      </c>
      <c r="CD43" s="62">
        <f ca="1">AVERAGE(OFFSET($CC$3,0,0,'Données projet'!$E$12+1,1))-AVERAGE(OFFSET($H$3,0,0,'Données projet'!$E$12+1,1))</f>
        <v>309.21625451786218</v>
      </c>
      <c r="CE43" s="62">
        <f t="shared" si="40"/>
        <v>302.59481222418219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208.33333333333331</v>
      </c>
      <c r="CR43" s="13">
        <f>VLOOKUP(A43,'Données projet'!$A$139:$I$159,9,0)</f>
        <v>7.5641025641025639</v>
      </c>
      <c r="CS43" s="13">
        <f t="array" ref="CS43">INDEX(CR:CR,MIN(IF(ISNUMBER(CR43:CR239),ROW(CR43:CR239),"")))</f>
        <v>7.5641025641025639</v>
      </c>
      <c r="CT43" s="13">
        <f>IF('Données projet'!$A$140&gt;35,CT42+CS43-DB42,IF(A43&lt;'Données projet'!$A$140,$CQ$205^A43,IF(A43='Données projet'!$A$140,'Données projet'!$B$140,CT42+CS43-DB42)))</f>
        <v>208.33333333333337</v>
      </c>
      <c r="CU43" s="18">
        <f>CT43*VLOOKUP('Données projet'!$B$13,Paramètres!$A$1:$I$89,3,0)*VLOOKUP('Données projet'!$B$13,Paramètres!$A$1:$I$89,5,0)</f>
        <v>198.25000000000006</v>
      </c>
      <c r="CV43" s="14">
        <f t="shared" si="41"/>
        <v>49.359374195866835</v>
      </c>
      <c r="CW43" s="22">
        <f t="shared" si="13"/>
        <v>431.25299339113485</v>
      </c>
      <c r="CX43" s="62">
        <f t="shared" si="14"/>
        <v>679.06600721025563</v>
      </c>
      <c r="CY43" s="62">
        <f ca="1">AVERAGE(OFFSET($CX$3,0,0,'Données projet'!$E$13+1,1))-AVERAGE(OFFSET($H$3,0,0,'Données projet'!$E$13+1,1))</f>
        <v>491.87038198656927</v>
      </c>
      <c r="CZ43" s="62">
        <f t="shared" si="42"/>
        <v>406.49261644949559</v>
      </c>
      <c r="DA43" s="16">
        <f>IF(ISNA(VLOOKUP(A43,'Données projet'!$A$139:$I$159,3,0)),0,VLOOKUP(A43,'Données projet'!$A$139:$I$159,3,0))</f>
        <v>3</v>
      </c>
      <c r="DB43" s="16">
        <f>IF(ISNA(VLOOKUP(A43,'Données projet'!$A$139:$I$159,4,0)),0,VLOOKUP(A43,'Données projet'!$A$139:$I$159,4,0))</f>
        <v>41.025641025641022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0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>
        <f>VLOOKUP(A43,'Données projet'!$A$165:$I$185,2,0)</f>
        <v>175</v>
      </c>
      <c r="DM43" s="13">
        <f>VLOOKUP(A43,'Données projet'!$A$165:$I$185,9,0)</f>
        <v>11.2</v>
      </c>
      <c r="DN43" s="13">
        <f t="array" ref="DN43">INDEX(DM:DM,MIN(IF(ISNUMBER(DM43:DM239),ROW(DM43:DM239),"")))</f>
        <v>11.2</v>
      </c>
      <c r="DO43" s="13">
        <f>IF('Données projet'!$A$166&gt;35,DO42+DN43-DW42,IF(A43&lt;'Données projet'!$A$166,$DL$205^A43,IF(A43='Données projet'!$A$166,'Données projet'!$B$166,DO42+DN43-DW42)))</f>
        <v>175.00000000000003</v>
      </c>
      <c r="DP43" s="18">
        <f>DO43*VLOOKUP('Données projet'!$B$14,Paramètres!$A$1:$I$89,3,0)*VLOOKUP('Données projet'!$B$14,Paramètres!$A$1:$I$89,5,0)</f>
        <v>169.26000000000002</v>
      </c>
      <c r="DQ43" s="14">
        <f t="shared" si="43"/>
        <v>42.924246146122272</v>
      </c>
      <c r="DR43" s="22">
        <f t="shared" si="16"/>
        <v>369.55422870449632</v>
      </c>
      <c r="DS43" s="62">
        <f t="shared" si="17"/>
        <v>617.36724252361716</v>
      </c>
      <c r="DT43" s="62">
        <f ca="1">AVERAGE(OFFSET($DS$3,0,0,'Données projet'!$E$14+1,1))-AVERAGE(OFFSET($H$3,0,0,'Données projet'!$E$14+1,1))</f>
        <v>603.52431522262032</v>
      </c>
      <c r="DU43" s="62">
        <f t="shared" si="44"/>
        <v>313.56299786481338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projet'!$B$14,Paramètres!$A$1:$I$89,3,0)*0.475*44/12</f>
        <v>0</v>
      </c>
      <c r="EB43" s="23">
        <f>EXP(-LN(2)/25)*EB42+(1-EXP(-LN(2)/25))/(LN(2)/25)*Calculateur!DW43*Calculateur!DY43*VLOOKUP('Données projet'!$B$14,Paramètres!$A$1:$I$89,3,0)*0.475*44/12</f>
        <v>0</v>
      </c>
      <c r="EC43" s="23">
        <f>EXP(-LN(2)/2)*EC42+(1-EXP(-LN(2)/2))/(LN(2)/2)*DW43*DZ43*VLOOKUP('Données projet'!$B$14,Paramètres!$A$1:$I$89,3,0)*0.475*44/12</f>
        <v>0</v>
      </c>
      <c r="ED43" s="24">
        <f t="shared" si="18"/>
        <v>0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>
        <f>VLOOKUP(A43,'Données projet'!$A$191:$I$211,2,0)</f>
        <v>152</v>
      </c>
      <c r="EH43" s="13">
        <f>VLOOKUP(A43,'Données projet'!$A$191:$I$211,9,0)</f>
        <v>7.6</v>
      </c>
      <c r="EI43" s="13">
        <f t="array" ref="EI43">INDEX(EH:EH,MIN(IF(ISNUMBER(EH43:EH239),ROW(EH43:EH239),"")))</f>
        <v>7.6</v>
      </c>
      <c r="EJ43" s="13">
        <f>IF('Données projet'!$A$192&gt;35,EJ42+EI43-ER42,IF(A43&lt;'Données projet'!$A$192,$EG$205^A43,IF(A43='Données projet'!$A$192,'Données projet'!$B$192,EJ42+EI43-ER42)))</f>
        <v>152.00000000000003</v>
      </c>
      <c r="EK43" s="18">
        <f>EJ43*VLOOKUP('Données projet'!$B$15,Paramètres!$A$1:$I$89,3,0)*VLOOKUP('Données projet'!$B$15,Paramètres!$A$1:$I$89,5,0)</f>
        <v>123.30240000000003</v>
      </c>
      <c r="EL43" s="14">
        <f t="shared" si="45"/>
        <v>32.444008665071891</v>
      </c>
      <c r="EM43" s="22">
        <f t="shared" si="19"/>
        <v>271.25832842500023</v>
      </c>
      <c r="EN43" s="62">
        <f t="shared" si="20"/>
        <v>519.07134224412107</v>
      </c>
      <c r="EO43" s="62">
        <f ca="1">AVERAGE(OFFSET($EN$3,0,0,'Données projet'!$E$15+1,1))-AVERAGE(OFFSET($H$3,0,0,'Données projet'!$E$15+1,1))</f>
        <v>272.69564942740931</v>
      </c>
      <c r="EP43" s="62">
        <f t="shared" si="46"/>
        <v>316.57989180609252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>
        <f>EXP(-LN(2)/35)*EV42+(1-EXP(-LN(2)/35))/(LN(2)/35)*ER43*ES43*VLOOKUP('Données projet'!$B$15,Paramètres!$A$1:$I$89,3,0)*0.475*44/12</f>
        <v>0</v>
      </c>
      <c r="EW43" s="23">
        <f>EXP(-LN(2)/25)*EW42+(1-EXP(-LN(2)/25))/(LN(2)/25)*Calculateur!ER43*Calculateur!ET43*VLOOKUP('Données projet'!$B$15,Paramètres!$A$1:$I$89,3,0)*0.475*44/12</f>
        <v>0</v>
      </c>
      <c r="EX43" s="23">
        <f>EXP(-LN(2)/2)*EX42+(1-EXP(-LN(2)/2))/(LN(2)/2)*ER43*EU43*VLOOKUP('Données projet'!$B$15,Paramètres!$A$1:$I$89,3,0)*0.475*44/12</f>
        <v>0</v>
      </c>
      <c r="EY43" s="24">
        <f t="shared" si="21"/>
        <v>0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>
        <f>VLOOKUP(A43,'Données projet'!$A$217:$I$237,2,0)</f>
        <v>262.82051282051282</v>
      </c>
      <c r="FC43" s="13">
        <f>VLOOKUP(A43,'Données projet'!$A$217:$I$237,9,0)</f>
        <v>8.8461538461538449</v>
      </c>
      <c r="FD43" s="13">
        <f t="array" ref="FD43">INDEX(FC:FC,MIN(IF(ISNUMBER(FC43:FC239),ROW(FC43:FC239),"")))</f>
        <v>8.8461538461538449</v>
      </c>
      <c r="FE43" s="13">
        <f>IF('Données projet'!$A$218&gt;35,FE42+FD43-FM42,IF(A43&lt;'Données projet'!$A$218,$FB$205^A43,IF(A43='Données projet'!$A$218,'Données projet'!$B$218,FE42+FD43-FM42)))</f>
        <v>262.8205128205127</v>
      </c>
      <c r="FF43" s="18">
        <f>FE43*VLOOKUP('Données projet'!$B$16,Paramètres!$A$1:$I$89,3,0)*VLOOKUP('Données projet'!$B$16,Paramètres!$A$1:$I$89,5,0)</f>
        <v>176.29999999999993</v>
      </c>
      <c r="FG43" s="14">
        <f t="shared" si="47"/>
        <v>44.498011919024627</v>
      </c>
      <c r="FH43" s="22">
        <f t="shared" si="22"/>
        <v>384.55653742563442</v>
      </c>
      <c r="FI43" s="62">
        <f t="shared" si="23"/>
        <v>632.36955124475526</v>
      </c>
      <c r="FJ43" s="62">
        <f ca="1">AVERAGE(OFFSET($FI$3,0,0,'Données projet'!$E$16+1,1))-AVERAGE(OFFSET($H$3,0,0,'Données projet'!$E$16+1,1))</f>
        <v>440.90856392064205</v>
      </c>
      <c r="FK43" s="62">
        <f t="shared" si="48"/>
        <v>373.33139300970629</v>
      </c>
      <c r="FL43" s="16">
        <f>IF(ISNA(VLOOKUP(A43,'Données projet'!$A$217:$I$237,3,0)),0,VLOOKUP(A43,'Données projet'!$A$217:$I$237,3,0))</f>
        <v>3</v>
      </c>
      <c r="FM43" s="16">
        <f>IF(ISNA(VLOOKUP(A43,'Données projet'!$A$217:$I$237,4,0)),0,VLOOKUP(A43,'Données projet'!$A$217:$I$237,4,0))</f>
        <v>42.948717948717949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>
        <f>EXP(-LN(2)/35)*FQ42+(1-EXP(-LN(2)/35))/(LN(2)/35)*FM43*FN43*VLOOKUP('Données projet'!$B$16,Paramètres!$A$1:$I$89,3,0)*0.475*44/12</f>
        <v>0</v>
      </c>
      <c r="FR43" s="23">
        <f>EXP(-LN(2)/25)*FR42+(1-EXP(-LN(2)/25))/(LN(2)/25)*Calculateur!FM43*Calculateur!FO43*VLOOKUP('Données projet'!$B$16,Paramètres!$A$1:$I$89,3,0)*0.475*44/12</f>
        <v>0</v>
      </c>
      <c r="FS43" s="23">
        <f>EXP(-LN(2)/2)*FS42+(1-EXP(-LN(2)/2))/(LN(2)/2)*FM43*FP43*VLOOKUP('Données projet'!$B$16,Paramètres!$A$1:$I$89,3,0)*0.475*44/12</f>
        <v>0</v>
      </c>
      <c r="FT43" s="24">
        <f t="shared" si="24"/>
        <v>0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70">
        <f t="shared" si="1"/>
        <v>183.33333333333334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11.4</v>
      </c>
      <c r="N44" s="14">
        <f>IF('Données projet'!$A$36&gt;35,N43+M44-V43,IF(A44&lt;'Données projet'!$A$36,$K$205^A44,IF(A44='Données projet'!$A$36,'Données projet'!$B$36,N43+M44-V43)))</f>
        <v>186.40000000000003</v>
      </c>
      <c r="O44" s="14">
        <f>N44*VLOOKUP('Données projet'!$B$9,Paramètres!$A$1:$I$89,3,0)*VLOOKUP('Données projet'!$B$9,Paramètres!$A$1:$I$89,5,0)</f>
        <v>168.65472000000003</v>
      </c>
      <c r="P44" s="14">
        <f t="shared" si="33"/>
        <v>42.78858644059585</v>
      </c>
      <c r="Q44" s="22">
        <f t="shared" si="53"/>
        <v>368.2637587173711</v>
      </c>
      <c r="R44" s="62">
        <f t="shared" si="0"/>
        <v>616.86644831187505</v>
      </c>
      <c r="S44" s="62">
        <f ca="1">AVERAGE(OFFSET($R$3,0,0,'Données projet'!$E$9+1,1))-AVERAGE(OFFSET($H$3,0,0,'Données projet'!$E$9+1,1))</f>
        <v>570.08763950759544</v>
      </c>
      <c r="T44" s="62">
        <f t="shared" si="34"/>
        <v>297.32483725004136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9.8000000000000007</v>
      </c>
      <c r="AI44" s="14">
        <f>IF('Données projet'!$A$62&gt;35,AI43+AH44-AQ43,IF(A44&lt;'Données projet'!$A$62,$AF$205^A44,IF(A44='Données projet'!$A$62,'Données projet'!$B$62,AI43+AH44-AQ43)))</f>
        <v>202.8</v>
      </c>
      <c r="AJ44" s="14">
        <f>AI44*VLOOKUP('Données projet'!$B$10,Paramètres!$A$1:$I$89,3,0)*VLOOKUP('Données projet'!$B$10,Paramètres!$A$1:$I$89,5,0)</f>
        <v>161.34768000000003</v>
      </c>
      <c r="AK44" s="14">
        <f t="shared" si="35"/>
        <v>41.146339844316657</v>
      </c>
      <c r="AL44" s="22">
        <f t="shared" si="4"/>
        <v>352.6770845621848</v>
      </c>
      <c r="AM44" s="62">
        <f t="shared" si="5"/>
        <v>601.27977415668875</v>
      </c>
      <c r="AN44" s="62">
        <f ca="1">AVERAGE(OFFSET($AM$3,0,0,'Données projet'!$E$10+1,1))-AVERAGE(OFFSET($H$3,0,0,'Données projet'!$E$10+1,1))</f>
        <v>394.70330963327166</v>
      </c>
      <c r="AO44" s="62">
        <f t="shared" si="36"/>
        <v>424.06445894109982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9.8000000000000007</v>
      </c>
      <c r="BD44" s="13">
        <f>IF('Données projet'!$A$88&gt;35,BD43+BC44-BL43,IF(A44&lt;'Données projet'!$A$88,$BA$205^A44,IF(A44='Données projet'!$A$88,'Données projet'!$B$88,BD43+BC44-BL43)))</f>
        <v>202.8</v>
      </c>
      <c r="BE44" s="14">
        <f>BD44*VLOOKUP('Données projet'!$B$11,Paramètres!$A$1:$I$89,3,0)*VLOOKUP('Données projet'!$B$11,Paramètres!$A$1:$I$89,5,0)</f>
        <v>148.69296</v>
      </c>
      <c r="BF44" s="14">
        <f t="shared" si="37"/>
        <v>38.281404966971365</v>
      </c>
      <c r="BG44" s="22">
        <f t="shared" si="7"/>
        <v>325.64701898414177</v>
      </c>
      <c r="BH44" s="62">
        <f t="shared" si="8"/>
        <v>574.24970857864571</v>
      </c>
      <c r="BI44" s="62">
        <f ca="1">AVERAGE(OFFSET($BH$3,0,0,'Données projet'!$E$11+1,1))-AVERAGE(OFFSET($H$3,0,0,'Données projet'!$E$11+1,1))</f>
        <v>368.54671978064204</v>
      </c>
      <c r="BJ44" s="62">
        <f t="shared" si="38"/>
        <v>395.83504504492237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11.142857142857142</v>
      </c>
      <c r="BY44" s="13">
        <f>IF('Données projet'!$A$114&gt;35,BY43+BX44-CG43,IF(A44&lt;'Données projet'!$A$114,$BV$205^A44,IF(A44='Données projet'!$A$114,'Données projet'!$B$114,BY43+BX44-CG43)))</f>
        <v>196.5714285714285</v>
      </c>
      <c r="BZ44" s="14">
        <f>BY44*VLOOKUP('Données projet'!$B$12,Paramètres!$A$1:$I$89,3,0)*VLOOKUP('Données projet'!$B$12,Paramètres!$A$1:$I$89,5,0)</f>
        <v>153.32571428571424</v>
      </c>
      <c r="CA44" s="14">
        <f t="shared" si="39"/>
        <v>39.333398837614155</v>
      </c>
      <c r="CB44" s="22">
        <f t="shared" si="10"/>
        <v>335.5479553564636</v>
      </c>
      <c r="CC44" s="62">
        <f t="shared" si="11"/>
        <v>584.1506449509676</v>
      </c>
      <c r="CD44" s="62">
        <f ca="1">AVERAGE(OFFSET($CC$3,0,0,'Données projet'!$E$12+1,1))-AVERAGE(OFFSET($H$3,0,0,'Données projet'!$E$12+1,1))</f>
        <v>309.21625451786218</v>
      </c>
      <c r="CE44" s="62">
        <f t="shared" si="40"/>
        <v>302.59481222418219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7.1794871794871824</v>
      </c>
      <c r="CT44" s="13">
        <f>IF('Données projet'!$A$140&gt;35,CT43+CS44-DB43,IF(A44&lt;'Données projet'!$A$140,$CQ$205^A44,IF(A44='Données projet'!$A$140,'Données projet'!$B$140,CT43+CS44-DB43)))</f>
        <v>174.48717948717953</v>
      </c>
      <c r="CU44" s="18">
        <f>CT44*VLOOKUP('Données projet'!$B$13,Paramètres!$A$1:$I$89,3,0)*VLOOKUP('Données projet'!$B$13,Paramètres!$A$1:$I$89,5,0)</f>
        <v>166.04200000000003</v>
      </c>
      <c r="CV44" s="14">
        <f t="shared" si="41"/>
        <v>42.202351530478488</v>
      </c>
      <c r="CW44" s="22">
        <f t="shared" si="13"/>
        <v>362.69224558225005</v>
      </c>
      <c r="CX44" s="62">
        <f t="shared" si="14"/>
        <v>611.29493517675405</v>
      </c>
      <c r="CY44" s="62">
        <f ca="1">AVERAGE(OFFSET($CX$3,0,0,'Données projet'!$E$13+1,1))-AVERAGE(OFFSET($H$3,0,0,'Données projet'!$E$13+1,1))</f>
        <v>491.87038198656927</v>
      </c>
      <c r="CZ44" s="62">
        <f t="shared" si="42"/>
        <v>406.49261644949559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0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11.4</v>
      </c>
      <c r="DO44" s="13">
        <f>IF('Données projet'!$A$166&gt;35,DO43+DN44-DW43,IF(A44&lt;'Données projet'!$A$166,$DL$205^A44,IF(A44='Données projet'!$A$166,'Données projet'!$B$166,DO43+DN44-DW43)))</f>
        <v>186.40000000000003</v>
      </c>
      <c r="DP44" s="18">
        <f>DO44*VLOOKUP('Données projet'!$B$14,Paramètres!$A$1:$I$89,3,0)*VLOOKUP('Données projet'!$B$14,Paramètres!$A$1:$I$89,5,0)</f>
        <v>180.28608000000006</v>
      </c>
      <c r="DQ44" s="14">
        <f t="shared" si="43"/>
        <v>45.38582781198636</v>
      </c>
      <c r="DR44" s="22">
        <f t="shared" si="16"/>
        <v>393.04523943920964</v>
      </c>
      <c r="DS44" s="62">
        <f t="shared" si="17"/>
        <v>641.64792903371358</v>
      </c>
      <c r="DT44" s="62">
        <f ca="1">AVERAGE(OFFSET($DS$3,0,0,'Données projet'!$E$14+1,1))-AVERAGE(OFFSET($H$3,0,0,'Données projet'!$E$14+1,1))</f>
        <v>603.52431522262032</v>
      </c>
      <c r="DU44" s="62">
        <f t="shared" si="44"/>
        <v>313.56299786481338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projet'!$B$14,Paramètres!$A$1:$I$89,3,0)*0.475*44/12</f>
        <v>0</v>
      </c>
      <c r="EB44" s="23">
        <f>EXP(-LN(2)/25)*EB43+(1-EXP(-LN(2)/25))/(LN(2)/25)*Calculateur!DW44*Calculateur!DY44*VLOOKUP('Données projet'!$B$14,Paramètres!$A$1:$I$89,3,0)*0.475*44/12</f>
        <v>0</v>
      </c>
      <c r="EC44" s="23">
        <f>EXP(-LN(2)/2)*EC43+(1-EXP(-LN(2)/2))/(LN(2)/2)*DW44*DZ44*VLOOKUP('Données projet'!$B$14,Paramètres!$A$1:$I$89,3,0)*0.475*44/12</f>
        <v>0</v>
      </c>
      <c r="ED44" s="24">
        <f t="shared" si="18"/>
        <v>0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7.6</v>
      </c>
      <c r="EJ44" s="13">
        <f>IF('Données projet'!$A$192&gt;35,EJ43+EI44-ER43,IF(A44&lt;'Données projet'!$A$192,$EG$205^A44,IF(A44='Données projet'!$A$192,'Données projet'!$B$192,EJ43+EI44-ER43)))</f>
        <v>159.60000000000002</v>
      </c>
      <c r="EK44" s="18">
        <f>EJ44*VLOOKUP('Données projet'!$B$15,Paramètres!$A$1:$I$89,3,0)*VLOOKUP('Données projet'!$B$15,Paramètres!$A$1:$I$89,5,0)</f>
        <v>129.46752000000004</v>
      </c>
      <c r="EL44" s="14">
        <f t="shared" si="45"/>
        <v>33.873289462262882</v>
      </c>
      <c r="EM44" s="22">
        <f t="shared" si="19"/>
        <v>284.48524314677451</v>
      </c>
      <c r="EN44" s="62">
        <f t="shared" si="20"/>
        <v>533.08793274127845</v>
      </c>
      <c r="EO44" s="62">
        <f ca="1">AVERAGE(OFFSET($EN$3,0,0,'Données projet'!$E$15+1,1))-AVERAGE(OFFSET($H$3,0,0,'Données projet'!$E$15+1,1))</f>
        <v>272.69564942740931</v>
      </c>
      <c r="EP44" s="62">
        <f t="shared" si="46"/>
        <v>316.57989180609252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>
        <f>EXP(-LN(2)/35)*EV43+(1-EXP(-LN(2)/35))/(LN(2)/35)*ER44*ES44*VLOOKUP('Données projet'!$B$15,Paramètres!$A$1:$I$89,3,0)*0.475*44/12</f>
        <v>0</v>
      </c>
      <c r="EW44" s="23">
        <f>EXP(-LN(2)/25)*EW43+(1-EXP(-LN(2)/25))/(LN(2)/25)*Calculateur!ER44*Calculateur!ET44*VLOOKUP('Données projet'!$B$15,Paramètres!$A$1:$I$89,3,0)*0.475*44/12</f>
        <v>0</v>
      </c>
      <c r="EX44" s="23">
        <f>EXP(-LN(2)/2)*EX43+(1-EXP(-LN(2)/2))/(LN(2)/2)*ER44*EU44*VLOOKUP('Données projet'!$B$15,Paramètres!$A$1:$I$89,3,0)*0.475*44/12</f>
        <v>0</v>
      </c>
      <c r="EY44" s="24">
        <f t="shared" si="21"/>
        <v>0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7.4358974358974361</v>
      </c>
      <c r="FE44" s="13">
        <f>IF('Données projet'!$A$218&gt;35,FE43+FD44-FM43,IF(A44&lt;'Données projet'!$A$218,$FB$205^A44,IF(A44='Données projet'!$A$218,'Données projet'!$B$218,FE43+FD44-FM43)))</f>
        <v>227.30769230769221</v>
      </c>
      <c r="FF44" s="18">
        <f>FE44*VLOOKUP('Données projet'!$B$16,Paramètres!$A$1:$I$89,3,0)*VLOOKUP('Données projet'!$B$16,Paramètres!$A$1:$I$89,5,0)</f>
        <v>152.47799999999992</v>
      </c>
      <c r="FG44" s="14">
        <f t="shared" si="47"/>
        <v>39.141181879116075</v>
      </c>
      <c r="FH44" s="22">
        <f t="shared" si="22"/>
        <v>333.73674177279372</v>
      </c>
      <c r="FI44" s="62">
        <f t="shared" si="23"/>
        <v>582.33943136729772</v>
      </c>
      <c r="FJ44" s="62">
        <f ca="1">AVERAGE(OFFSET($FI$3,0,0,'Données projet'!$E$16+1,1))-AVERAGE(OFFSET($H$3,0,0,'Données projet'!$E$16+1,1))</f>
        <v>440.90856392064205</v>
      </c>
      <c r="FK44" s="62">
        <f t="shared" si="48"/>
        <v>373.33139300970629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>
        <f>EXP(-LN(2)/35)*FQ43+(1-EXP(-LN(2)/35))/(LN(2)/35)*FM44*FN44*VLOOKUP('Données projet'!$B$16,Paramètres!$A$1:$I$89,3,0)*0.475*44/12</f>
        <v>0</v>
      </c>
      <c r="FR44" s="23">
        <f>EXP(-LN(2)/25)*FR43+(1-EXP(-LN(2)/25))/(LN(2)/25)*Calculateur!FM44*Calculateur!FO44*VLOOKUP('Données projet'!$B$16,Paramètres!$A$1:$I$89,3,0)*0.475*44/12</f>
        <v>0</v>
      </c>
      <c r="FS44" s="23">
        <f>EXP(-LN(2)/2)*FS43+(1-EXP(-LN(2)/2))/(LN(2)/2)*FM44*FP44*VLOOKUP('Données projet'!$B$16,Paramètres!$A$1:$I$89,3,0)*0.475*44/12</f>
        <v>0</v>
      </c>
      <c r="FT44" s="24">
        <f t="shared" si="24"/>
        <v>0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70">
        <f t="shared" si="1"/>
        <v>183.33333333333334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11.4</v>
      </c>
      <c r="N45" s="14">
        <f>IF('Données projet'!$A$36&gt;35,N44+M45-V44,IF(A45&lt;'Données projet'!$A$36,$K$205^A45,IF(A45='Données projet'!$A$36,'Données projet'!$B$36,N44+M45-V44)))</f>
        <v>197.80000000000004</v>
      </c>
      <c r="O45" s="14">
        <f>N45*VLOOKUP('Données projet'!$B$9,Paramètres!$A$1:$I$89,3,0)*VLOOKUP('Données projet'!$B$9,Paramètres!$A$1:$I$89,5,0)</f>
        <v>178.96944000000002</v>
      </c>
      <c r="P45" s="14">
        <f t="shared" si="33"/>
        <v>45.092828990632619</v>
      </c>
      <c r="Q45" s="22">
        <f t="shared" si="53"/>
        <v>390.24178515868516</v>
      </c>
      <c r="R45" s="62">
        <f t="shared" si="0"/>
        <v>639.62045141931992</v>
      </c>
      <c r="S45" s="62">
        <f ca="1">AVERAGE(OFFSET($R$3,0,0,'Données projet'!$E$9+1,1))-AVERAGE(OFFSET($H$3,0,0,'Données projet'!$E$9+1,1))</f>
        <v>570.08763950759544</v>
      </c>
      <c r="T45" s="62">
        <f t="shared" si="34"/>
        <v>297.32483725004136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9.8000000000000007</v>
      </c>
      <c r="AI45" s="14">
        <f>IF('Données projet'!$A$62&gt;35,AI44+AH45-AQ44,IF(A45&lt;'Données projet'!$A$62,$AF$205^A45,IF(A45='Données projet'!$A$62,'Données projet'!$B$62,AI44+AH45-AQ44)))</f>
        <v>212.60000000000002</v>
      </c>
      <c r="AJ45" s="14">
        <f>AI45*VLOOKUP('Données projet'!$B$10,Paramètres!$A$1:$I$89,3,0)*VLOOKUP('Données projet'!$B$10,Paramètres!$A$1:$I$89,5,0)</f>
        <v>169.14456000000004</v>
      </c>
      <c r="AK45" s="14">
        <f t="shared" si="35"/>
        <v>42.898377267189964</v>
      </c>
      <c r="AL45" s="22">
        <f t="shared" si="4"/>
        <v>369.30811574035596</v>
      </c>
      <c r="AM45" s="62">
        <f t="shared" si="5"/>
        <v>618.68678200099066</v>
      </c>
      <c r="AN45" s="62">
        <f ca="1">AVERAGE(OFFSET($AM$3,0,0,'Données projet'!$E$10+1,1))-AVERAGE(OFFSET($H$3,0,0,'Données projet'!$E$10+1,1))</f>
        <v>394.70330963327166</v>
      </c>
      <c r="AO45" s="62">
        <f t="shared" si="36"/>
        <v>424.06445894109982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9.8000000000000007</v>
      </c>
      <c r="BD45" s="13">
        <f>IF('Données projet'!$A$88&gt;35,BD44+BC45-BL44,IF(A45&lt;'Données projet'!$A$88,$BA$205^A45,IF(A45='Données projet'!$A$88,'Données projet'!$B$88,BD44+BC45-BL44)))</f>
        <v>212.60000000000002</v>
      </c>
      <c r="BE45" s="14">
        <f>BD45*VLOOKUP('Données projet'!$B$11,Paramètres!$A$1:$I$89,3,0)*VLOOKUP('Données projet'!$B$11,Paramètres!$A$1:$I$89,5,0)</f>
        <v>155.87832000000003</v>
      </c>
      <c r="BF45" s="14">
        <f t="shared" si="37"/>
        <v>39.911451633481022</v>
      </c>
      <c r="BG45" s="22">
        <f t="shared" si="7"/>
        <v>341.00051892831283</v>
      </c>
      <c r="BH45" s="62">
        <f t="shared" si="8"/>
        <v>590.37918518894753</v>
      </c>
      <c r="BI45" s="62">
        <f ca="1">AVERAGE(OFFSET($BH$3,0,0,'Données projet'!$E$11+1,1))-AVERAGE(OFFSET($H$3,0,0,'Données projet'!$E$11+1,1))</f>
        <v>368.54671978064204</v>
      </c>
      <c r="BJ45" s="62">
        <f t="shared" si="38"/>
        <v>395.83504504492237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11.142857142857142</v>
      </c>
      <c r="BY45" s="13">
        <f>IF('Données projet'!$A$114&gt;35,BY44+BX45-CG44,IF(A45&lt;'Données projet'!$A$114,$BV$205^A45,IF(A45='Données projet'!$A$114,'Données projet'!$B$114,BY44+BX45-CG44)))</f>
        <v>207.71428571428564</v>
      </c>
      <c r="BZ45" s="14">
        <f>BY45*VLOOKUP('Données projet'!$B$12,Paramètres!$A$1:$I$89,3,0)*VLOOKUP('Données projet'!$B$12,Paramètres!$A$1:$I$89,5,0)</f>
        <v>162.0171428571428</v>
      </c>
      <c r="CA45" s="14">
        <f t="shared" si="39"/>
        <v>41.29715533509664</v>
      </c>
      <c r="CB45" s="22">
        <f t="shared" si="10"/>
        <v>354.10573601815037</v>
      </c>
      <c r="CC45" s="62">
        <f t="shared" si="11"/>
        <v>603.48440227878507</v>
      </c>
      <c r="CD45" s="62">
        <f ca="1">AVERAGE(OFFSET($CC$3,0,0,'Données projet'!$E$12+1,1))-AVERAGE(OFFSET($H$3,0,0,'Données projet'!$E$12+1,1))</f>
        <v>309.21625451786218</v>
      </c>
      <c r="CE45" s="62">
        <f t="shared" si="40"/>
        <v>302.59481222418219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7.1794871794871824</v>
      </c>
      <c r="CT45" s="13">
        <f>IF('Données projet'!$A$140&gt;35,CT44+CS45-DB44,IF(A45&lt;'Données projet'!$A$140,$CQ$205^A45,IF(A45='Données projet'!$A$140,'Données projet'!$B$140,CT44+CS45-DB44)))</f>
        <v>181.66666666666671</v>
      </c>
      <c r="CU45" s="18">
        <f>CT45*VLOOKUP('Données projet'!$B$13,Paramètres!$A$1:$I$89,3,0)*VLOOKUP('Données projet'!$B$13,Paramètres!$A$1:$I$89,5,0)</f>
        <v>172.87400000000005</v>
      </c>
      <c r="CV45" s="14">
        <f t="shared" si="41"/>
        <v>43.733074597486798</v>
      </c>
      <c r="CW45" s="22">
        <f t="shared" si="13"/>
        <v>377.25732159062289</v>
      </c>
      <c r="CX45" s="62">
        <f t="shared" si="14"/>
        <v>626.6359878512576</v>
      </c>
      <c r="CY45" s="62">
        <f ca="1">AVERAGE(OFFSET($CX$3,0,0,'Données projet'!$E$13+1,1))-AVERAGE(OFFSET($H$3,0,0,'Données projet'!$E$13+1,1))</f>
        <v>491.87038198656927</v>
      </c>
      <c r="CZ45" s="62">
        <f t="shared" si="42"/>
        <v>406.49261644949559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0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11.4</v>
      </c>
      <c r="DO45" s="13">
        <f>IF('Données projet'!$A$166&gt;35,DO44+DN45-DW44,IF(A45&lt;'Données projet'!$A$166,$DL$205^A45,IF(A45='Données projet'!$A$166,'Données projet'!$B$166,DO44+DN45-DW44)))</f>
        <v>197.80000000000004</v>
      </c>
      <c r="DP45" s="18">
        <f>DO45*VLOOKUP('Données projet'!$B$14,Paramètres!$A$1:$I$89,3,0)*VLOOKUP('Données projet'!$B$14,Paramètres!$A$1:$I$89,5,0)</f>
        <v>191.31216000000003</v>
      </c>
      <c r="DQ45" s="14">
        <f t="shared" si="43"/>
        <v>47.829936494057677</v>
      </c>
      <c r="DR45" s="22">
        <f t="shared" si="16"/>
        <v>416.50581806048382</v>
      </c>
      <c r="DS45" s="62">
        <f t="shared" si="17"/>
        <v>665.88448432111852</v>
      </c>
      <c r="DT45" s="62">
        <f ca="1">AVERAGE(OFFSET($DS$3,0,0,'Données projet'!$E$14+1,1))-AVERAGE(OFFSET($H$3,0,0,'Données projet'!$E$14+1,1))</f>
        <v>603.52431522262032</v>
      </c>
      <c r="DU45" s="62">
        <f t="shared" si="44"/>
        <v>313.56299786481338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projet'!$B$14,Paramètres!$A$1:$I$89,3,0)*0.475*44/12</f>
        <v>0</v>
      </c>
      <c r="EB45" s="23">
        <f>EXP(-LN(2)/25)*EB44+(1-EXP(-LN(2)/25))/(LN(2)/25)*Calculateur!DW45*Calculateur!DY45*VLOOKUP('Données projet'!$B$14,Paramètres!$A$1:$I$89,3,0)*0.475*44/12</f>
        <v>0</v>
      </c>
      <c r="EC45" s="23">
        <f>EXP(-LN(2)/2)*EC44+(1-EXP(-LN(2)/2))/(LN(2)/2)*DW45*DZ45*VLOOKUP('Données projet'!$B$14,Paramètres!$A$1:$I$89,3,0)*0.475*44/12</f>
        <v>0</v>
      </c>
      <c r="ED45" s="24">
        <f t="shared" si="18"/>
        <v>0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7.6</v>
      </c>
      <c r="EJ45" s="13">
        <f>IF('Données projet'!$A$192&gt;35,EJ44+EI45-ER44,IF(A45&lt;'Données projet'!$A$192,$EG$205^A45,IF(A45='Données projet'!$A$192,'Données projet'!$B$192,EJ44+EI45-ER44)))</f>
        <v>167.20000000000002</v>
      </c>
      <c r="EK45" s="18">
        <f>EJ45*VLOOKUP('Données projet'!$B$15,Paramètres!$A$1:$I$89,3,0)*VLOOKUP('Données projet'!$B$15,Paramètres!$A$1:$I$89,5,0)</f>
        <v>135.63264000000004</v>
      </c>
      <c r="EL45" s="14">
        <f t="shared" si="45"/>
        <v>35.294666721954265</v>
      </c>
      <c r="EM45" s="22">
        <f t="shared" si="19"/>
        <v>297.69839254073707</v>
      </c>
      <c r="EN45" s="62">
        <f t="shared" si="20"/>
        <v>547.07705880137178</v>
      </c>
      <c r="EO45" s="62">
        <f ca="1">AVERAGE(OFFSET($EN$3,0,0,'Données projet'!$E$15+1,1))-AVERAGE(OFFSET($H$3,0,0,'Données projet'!$E$15+1,1))</f>
        <v>272.69564942740931</v>
      </c>
      <c r="EP45" s="62">
        <f t="shared" si="46"/>
        <v>316.57989180609252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>
        <f>EXP(-LN(2)/35)*EV44+(1-EXP(-LN(2)/35))/(LN(2)/35)*ER45*ES45*VLOOKUP('Données projet'!$B$15,Paramètres!$A$1:$I$89,3,0)*0.475*44/12</f>
        <v>0</v>
      </c>
      <c r="EW45" s="23">
        <f>EXP(-LN(2)/25)*EW44+(1-EXP(-LN(2)/25))/(LN(2)/25)*Calculateur!ER45*Calculateur!ET45*VLOOKUP('Données projet'!$B$15,Paramètres!$A$1:$I$89,3,0)*0.475*44/12</f>
        <v>0</v>
      </c>
      <c r="EX45" s="23">
        <f>EXP(-LN(2)/2)*EX44+(1-EXP(-LN(2)/2))/(LN(2)/2)*ER45*EU45*VLOOKUP('Données projet'!$B$15,Paramètres!$A$1:$I$89,3,0)*0.475*44/12</f>
        <v>0</v>
      </c>
      <c r="EY45" s="24">
        <f t="shared" si="21"/>
        <v>0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7.4358974358974361</v>
      </c>
      <c r="FE45" s="13">
        <f>IF('Données projet'!$A$218&gt;35,FE44+FD45-FM44,IF(A45&lt;'Données projet'!$A$218,$FB$205^A45,IF(A45='Données projet'!$A$218,'Données projet'!$B$218,FE44+FD45-FM44)))</f>
        <v>234.74358974358964</v>
      </c>
      <c r="FF45" s="18">
        <f>FE45*VLOOKUP('Données projet'!$B$16,Paramètres!$A$1:$I$89,3,0)*VLOOKUP('Données projet'!$B$16,Paramètres!$A$1:$I$89,5,0)</f>
        <v>157.46599999999992</v>
      </c>
      <c r="FG45" s="14">
        <f t="shared" si="47"/>
        <v>40.270434679626149</v>
      </c>
      <c r="FH45" s="22">
        <f t="shared" si="22"/>
        <v>344.39095706701545</v>
      </c>
      <c r="FI45" s="62">
        <f t="shared" si="23"/>
        <v>593.76962332765015</v>
      </c>
      <c r="FJ45" s="62">
        <f ca="1">AVERAGE(OFFSET($FI$3,0,0,'Données projet'!$E$16+1,1))-AVERAGE(OFFSET($H$3,0,0,'Données projet'!$E$16+1,1))</f>
        <v>440.90856392064205</v>
      </c>
      <c r="FK45" s="62">
        <f t="shared" si="48"/>
        <v>373.33139300970629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>
        <f>EXP(-LN(2)/35)*FQ44+(1-EXP(-LN(2)/35))/(LN(2)/35)*FM45*FN45*VLOOKUP('Données projet'!$B$16,Paramètres!$A$1:$I$89,3,0)*0.475*44/12</f>
        <v>0</v>
      </c>
      <c r="FR45" s="23">
        <f>EXP(-LN(2)/25)*FR44+(1-EXP(-LN(2)/25))/(LN(2)/25)*Calculateur!FM45*Calculateur!FO45*VLOOKUP('Données projet'!$B$16,Paramètres!$A$1:$I$89,3,0)*0.475*44/12</f>
        <v>0</v>
      </c>
      <c r="FS45" s="23">
        <f>EXP(-LN(2)/2)*FS44+(1-EXP(-LN(2)/2))/(LN(2)/2)*FM45*FP45*VLOOKUP('Données projet'!$B$16,Paramètres!$A$1:$I$89,3,0)*0.475*44/12</f>
        <v>0</v>
      </c>
      <c r="FT45" s="24">
        <f t="shared" si="24"/>
        <v>0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70">
        <f t="shared" si="1"/>
        <v>183.33333333333334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11.4</v>
      </c>
      <c r="N46" s="14">
        <f>IF('Données projet'!$A$36&gt;35,N45+M46-V45,IF(A46&lt;'Données projet'!$A$36,$K$205^A46,IF(A46='Données projet'!$A$36,'Données projet'!$B$36,N45+M46-V45)))</f>
        <v>209.20000000000005</v>
      </c>
      <c r="O46" s="14">
        <f>N46*VLOOKUP('Données projet'!$B$9,Paramètres!$A$1:$I$89,3,0)*VLOOKUP('Données projet'!$B$9,Paramètres!$A$1:$I$89,5,0)</f>
        <v>189.28416000000001</v>
      </c>
      <c r="P46" s="14">
        <f t="shared" si="33"/>
        <v>47.381656039514027</v>
      </c>
      <c r="Q46" s="22">
        <f t="shared" si="53"/>
        <v>412.19296293548695</v>
      </c>
      <c r="R46" s="62">
        <f t="shared" si="0"/>
        <v>662.33414440191905</v>
      </c>
      <c r="S46" s="62">
        <f ca="1">AVERAGE(OFFSET($R$3,0,0,'Données projet'!$E$9+1,1))-AVERAGE(OFFSET($H$3,0,0,'Données projet'!$E$9+1,1))</f>
        <v>570.08763950759544</v>
      </c>
      <c r="T46" s="62">
        <f t="shared" si="34"/>
        <v>297.32483725004136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9.8000000000000007</v>
      </c>
      <c r="AI46" s="14">
        <f>IF('Données projet'!$A$62&gt;35,AI45+AH46-AQ45,IF(A46&lt;'Données projet'!$A$62,$AF$205^A46,IF(A46='Données projet'!$A$62,'Données projet'!$B$62,AI45+AH46-AQ45)))</f>
        <v>222.40000000000003</v>
      </c>
      <c r="AJ46" s="14">
        <f>AI46*VLOOKUP('Données projet'!$B$10,Paramètres!$A$1:$I$89,3,0)*VLOOKUP('Données projet'!$B$10,Paramètres!$A$1:$I$89,5,0)</f>
        <v>176.94144000000003</v>
      </c>
      <c r="AK46" s="14">
        <f t="shared" si="35"/>
        <v>44.641035679901449</v>
      </c>
      <c r="AL46" s="22">
        <f t="shared" si="4"/>
        <v>385.92281180916171</v>
      </c>
      <c r="AM46" s="62">
        <f t="shared" si="5"/>
        <v>636.0639932755937</v>
      </c>
      <c r="AN46" s="62">
        <f ca="1">AVERAGE(OFFSET($AM$3,0,0,'Données projet'!$E$10+1,1))-AVERAGE(OFFSET($H$3,0,0,'Données projet'!$E$10+1,1))</f>
        <v>394.70330963327166</v>
      </c>
      <c r="AO46" s="62">
        <f t="shared" si="36"/>
        <v>424.06445894109982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9.8000000000000007</v>
      </c>
      <c r="BD46" s="13">
        <f>IF('Données projet'!$A$88&gt;35,BD45+BC46-BL45,IF(A46&lt;'Données projet'!$A$88,$BA$205^A46,IF(A46='Données projet'!$A$88,'Données projet'!$B$88,BD45+BC46-BL45)))</f>
        <v>222.40000000000003</v>
      </c>
      <c r="BE46" s="14">
        <f>BD46*VLOOKUP('Données projet'!$B$11,Paramètres!$A$1:$I$89,3,0)*VLOOKUP('Données projet'!$B$11,Paramètres!$A$1:$I$89,5,0)</f>
        <v>163.06368000000001</v>
      </c>
      <c r="BF46" s="14">
        <f t="shared" si="37"/>
        <v>41.532772330984628</v>
      </c>
      <c r="BG46" s="22">
        <f t="shared" si="7"/>
        <v>356.33882114313155</v>
      </c>
      <c r="BH46" s="62">
        <f t="shared" si="8"/>
        <v>606.4800026095636</v>
      </c>
      <c r="BI46" s="62">
        <f ca="1">AVERAGE(OFFSET($BH$3,0,0,'Données projet'!$E$11+1,1))-AVERAGE(OFFSET($H$3,0,0,'Données projet'!$E$11+1,1))</f>
        <v>368.54671978064204</v>
      </c>
      <c r="BJ46" s="62">
        <f t="shared" si="38"/>
        <v>395.83504504492237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11.142857142857142</v>
      </c>
      <c r="BY46" s="13">
        <f>IF('Données projet'!$A$114&gt;35,BY45+BX46-CG45,IF(A46&lt;'Données projet'!$A$114,$BV$205^A46,IF(A46='Données projet'!$A$114,'Données projet'!$B$114,BY45+BX46-CG45)))</f>
        <v>218.85714285714278</v>
      </c>
      <c r="BZ46" s="14">
        <f>BY46*VLOOKUP('Données projet'!$B$12,Paramètres!$A$1:$I$89,3,0)*VLOOKUP('Données projet'!$B$12,Paramètres!$A$1:$I$89,5,0)</f>
        <v>170.70857142857136</v>
      </c>
      <c r="CA46" s="14">
        <f t="shared" si="39"/>
        <v>43.248681576985376</v>
      </c>
      <c r="CB46" s="22">
        <f t="shared" si="10"/>
        <v>372.64221565134466</v>
      </c>
      <c r="CC46" s="62">
        <f t="shared" si="11"/>
        <v>622.78339711777676</v>
      </c>
      <c r="CD46" s="62">
        <f ca="1">AVERAGE(OFFSET($CC$3,0,0,'Données projet'!$E$12+1,1))-AVERAGE(OFFSET($H$3,0,0,'Données projet'!$E$12+1,1))</f>
        <v>309.21625451786218</v>
      </c>
      <c r="CE46" s="62">
        <f t="shared" si="40"/>
        <v>302.59481222418219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7.1794871794871824</v>
      </c>
      <c r="CT46" s="13">
        <f>IF('Données projet'!$A$140&gt;35,CT45+CS46-DB45,IF(A46&lt;'Données projet'!$A$140,$CQ$205^A46,IF(A46='Données projet'!$A$140,'Données projet'!$B$140,CT45+CS46-DB45)))</f>
        <v>188.8461538461539</v>
      </c>
      <c r="CU46" s="18">
        <f>CT46*VLOOKUP('Données projet'!$B$13,Paramètres!$A$1:$I$89,3,0)*VLOOKUP('Données projet'!$B$13,Paramètres!$A$1:$I$89,5,0)</f>
        <v>179.70600000000005</v>
      </c>
      <c r="CV46" s="14">
        <f t="shared" si="41"/>
        <v>45.256770361575043</v>
      </c>
      <c r="CW46" s="22">
        <f t="shared" si="13"/>
        <v>391.8101583797432</v>
      </c>
      <c r="CX46" s="62">
        <f t="shared" si="14"/>
        <v>641.95133984617519</v>
      </c>
      <c r="CY46" s="62">
        <f ca="1">AVERAGE(OFFSET($CX$3,0,0,'Données projet'!$E$13+1,1))-AVERAGE(OFFSET($H$3,0,0,'Données projet'!$E$13+1,1))</f>
        <v>491.87038198656927</v>
      </c>
      <c r="CZ46" s="62">
        <f t="shared" si="42"/>
        <v>406.49261644949559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0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11.4</v>
      </c>
      <c r="DO46" s="13">
        <f>IF('Données projet'!$A$166&gt;35,DO45+DN46-DW45,IF(A46&lt;'Données projet'!$A$166,$DL$205^A46,IF(A46='Données projet'!$A$166,'Données projet'!$B$166,DO45+DN46-DW45)))</f>
        <v>209.20000000000005</v>
      </c>
      <c r="DP46" s="18">
        <f>DO46*VLOOKUP('Données projet'!$B$14,Paramètres!$A$1:$I$89,3,0)*VLOOKUP('Données projet'!$B$14,Paramètres!$A$1:$I$89,5,0)</f>
        <v>202.33824000000007</v>
      </c>
      <c r="DQ46" s="14">
        <f t="shared" si="43"/>
        <v>50.257693963357795</v>
      </c>
      <c r="DR46" s="22">
        <f t="shared" si="16"/>
        <v>439.93791831951495</v>
      </c>
      <c r="DS46" s="62">
        <f t="shared" si="17"/>
        <v>690.07909978594694</v>
      </c>
      <c r="DT46" s="62">
        <f ca="1">AVERAGE(OFFSET($DS$3,0,0,'Données projet'!$E$14+1,1))-AVERAGE(OFFSET($H$3,0,0,'Données projet'!$E$14+1,1))</f>
        <v>603.52431522262032</v>
      </c>
      <c r="DU46" s="62">
        <f t="shared" si="44"/>
        <v>313.56299786481338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projet'!$B$14,Paramètres!$A$1:$I$89,3,0)*0.475*44/12</f>
        <v>0</v>
      </c>
      <c r="EB46" s="23">
        <f>EXP(-LN(2)/25)*EB45+(1-EXP(-LN(2)/25))/(LN(2)/25)*Calculateur!DW46*Calculateur!DY46*VLOOKUP('Données projet'!$B$14,Paramètres!$A$1:$I$89,3,0)*0.475*44/12</f>
        <v>0</v>
      </c>
      <c r="EC46" s="23">
        <f>EXP(-LN(2)/2)*EC45+(1-EXP(-LN(2)/2))/(LN(2)/2)*DW46*DZ46*VLOOKUP('Données projet'!$B$14,Paramètres!$A$1:$I$89,3,0)*0.475*44/12</f>
        <v>0</v>
      </c>
      <c r="ED46" s="24">
        <f t="shared" si="18"/>
        <v>0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7.6</v>
      </c>
      <c r="EJ46" s="13">
        <f>IF('Données projet'!$A$192&gt;35,EJ45+EI46-ER45,IF(A46&lt;'Données projet'!$A$192,$EG$205^A46,IF(A46='Données projet'!$A$192,'Données projet'!$B$192,EJ45+EI46-ER45)))</f>
        <v>174.8</v>
      </c>
      <c r="EK46" s="18">
        <f>EJ46*VLOOKUP('Données projet'!$B$15,Paramètres!$A$1:$I$89,3,0)*VLOOKUP('Données projet'!$B$15,Paramètres!$A$1:$I$89,5,0)</f>
        <v>141.79776000000004</v>
      </c>
      <c r="EL46" s="14">
        <f t="shared" si="45"/>
        <v>36.708540735279854</v>
      </c>
      <c r="EM46" s="22">
        <f t="shared" si="19"/>
        <v>310.89847378061245</v>
      </c>
      <c r="EN46" s="62">
        <f t="shared" si="20"/>
        <v>561.03965524704449</v>
      </c>
      <c r="EO46" s="62">
        <f ca="1">AVERAGE(OFFSET($EN$3,0,0,'Données projet'!$E$15+1,1))-AVERAGE(OFFSET($H$3,0,0,'Données projet'!$E$15+1,1))</f>
        <v>272.69564942740931</v>
      </c>
      <c r="EP46" s="62">
        <f t="shared" si="46"/>
        <v>316.57989180609252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>
        <f>EXP(-LN(2)/35)*EV45+(1-EXP(-LN(2)/35))/(LN(2)/35)*ER46*ES46*VLOOKUP('Données projet'!$B$15,Paramètres!$A$1:$I$89,3,0)*0.475*44/12</f>
        <v>0</v>
      </c>
      <c r="EW46" s="23">
        <f>EXP(-LN(2)/25)*EW45+(1-EXP(-LN(2)/25))/(LN(2)/25)*Calculateur!ER46*Calculateur!ET46*VLOOKUP('Données projet'!$B$15,Paramètres!$A$1:$I$89,3,0)*0.475*44/12</f>
        <v>0</v>
      </c>
      <c r="EX46" s="23">
        <f>EXP(-LN(2)/2)*EX45+(1-EXP(-LN(2)/2))/(LN(2)/2)*ER46*EU46*VLOOKUP('Données projet'!$B$15,Paramètres!$A$1:$I$89,3,0)*0.475*44/12</f>
        <v>0</v>
      </c>
      <c r="EY46" s="24">
        <f t="shared" si="21"/>
        <v>0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7.4358974358974361</v>
      </c>
      <c r="FE46" s="13">
        <f>IF('Données projet'!$A$218&gt;35,FE45+FD46-FM45,IF(A46&lt;'Données projet'!$A$218,$FB$205^A46,IF(A46='Données projet'!$A$218,'Données projet'!$B$218,FE45+FD46-FM45)))</f>
        <v>242.17948717948707</v>
      </c>
      <c r="FF46" s="18">
        <f>FE46*VLOOKUP('Données projet'!$B$16,Paramètres!$A$1:$I$89,3,0)*VLOOKUP('Données projet'!$B$16,Paramètres!$A$1:$I$89,5,0)</f>
        <v>162.45399999999992</v>
      </c>
      <c r="FG46" s="14">
        <f t="shared" si="47"/>
        <v>41.395530670517765</v>
      </c>
      <c r="FH46" s="22">
        <f t="shared" si="22"/>
        <v>355.03793258448491</v>
      </c>
      <c r="FI46" s="62">
        <f t="shared" si="23"/>
        <v>605.17911405091695</v>
      </c>
      <c r="FJ46" s="62">
        <f ca="1">AVERAGE(OFFSET($FI$3,0,0,'Données projet'!$E$16+1,1))-AVERAGE(OFFSET($H$3,0,0,'Données projet'!$E$16+1,1))</f>
        <v>440.90856392064205</v>
      </c>
      <c r="FK46" s="62">
        <f t="shared" si="48"/>
        <v>373.33139300970629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>
        <f>EXP(-LN(2)/35)*FQ45+(1-EXP(-LN(2)/35))/(LN(2)/35)*FM46*FN46*VLOOKUP('Données projet'!$B$16,Paramètres!$A$1:$I$89,3,0)*0.475*44/12</f>
        <v>0</v>
      </c>
      <c r="FR46" s="23">
        <f>EXP(-LN(2)/25)*FR45+(1-EXP(-LN(2)/25))/(LN(2)/25)*Calculateur!FM46*Calculateur!FO46*VLOOKUP('Données projet'!$B$16,Paramètres!$A$1:$I$89,3,0)*0.475*44/12</f>
        <v>0</v>
      </c>
      <c r="FS46" s="23">
        <f>EXP(-LN(2)/2)*FS45+(1-EXP(-LN(2)/2))/(LN(2)/2)*FM46*FP46*VLOOKUP('Données projet'!$B$16,Paramètres!$A$1:$I$89,3,0)*0.475*44/12</f>
        <v>0</v>
      </c>
      <c r="FT46" s="24">
        <f t="shared" si="24"/>
        <v>0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70">
        <f t="shared" si="1"/>
        <v>183.33333333333334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11.4</v>
      </c>
      <c r="N47" s="14">
        <f>IF('Données projet'!$A$36&gt;35,N46+M47-V46,IF(A47&lt;'Données projet'!$A$36,$K$205^A47,IF(A47='Données projet'!$A$36,'Données projet'!$B$36,N46+M47-V46)))</f>
        <v>220.60000000000005</v>
      </c>
      <c r="O47" s="14">
        <f>N47*VLOOKUP('Données projet'!$B$9,Paramètres!$A$1:$I$89,3,0)*VLOOKUP('Données projet'!$B$9,Paramètres!$A$1:$I$89,5,0)</f>
        <v>199.59888000000004</v>
      </c>
      <c r="P47" s="14">
        <f t="shared" si="33"/>
        <v>49.656003392529037</v>
      </c>
      <c r="Q47" s="22">
        <f t="shared" si="53"/>
        <v>434.11892190865478</v>
      </c>
      <c r="R47" s="62">
        <f t="shared" si="0"/>
        <v>685.00939064679221</v>
      </c>
      <c r="S47" s="62">
        <f ca="1">AVERAGE(OFFSET($R$3,0,0,'Données projet'!$E$9+1,1))-AVERAGE(OFFSET($H$3,0,0,'Données projet'!$E$9+1,1))</f>
        <v>570.08763950759544</v>
      </c>
      <c r="T47" s="62">
        <f t="shared" si="34"/>
        <v>297.32483725004136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9.8000000000000007</v>
      </c>
      <c r="AI47" s="14">
        <f>IF('Données projet'!$A$62&gt;35,AI46+AH47-AQ46,IF(A47&lt;'Données projet'!$A$62,$AF$205^A47,IF(A47='Données projet'!$A$62,'Données projet'!$B$62,AI46+AH47-AQ46)))</f>
        <v>232.20000000000005</v>
      </c>
      <c r="AJ47" s="14">
        <f>AI47*VLOOKUP('Données projet'!$B$10,Paramètres!$A$1:$I$89,3,0)*VLOOKUP('Données projet'!$B$10,Paramètres!$A$1:$I$89,5,0)</f>
        <v>184.73832000000004</v>
      </c>
      <c r="AK47" s="14">
        <f t="shared" si="35"/>
        <v>46.374775595471988</v>
      </c>
      <c r="AL47" s="22">
        <f t="shared" si="4"/>
        <v>402.52197482878046</v>
      </c>
      <c r="AM47" s="62">
        <f t="shared" si="5"/>
        <v>653.41244356691789</v>
      </c>
      <c r="AN47" s="62">
        <f ca="1">AVERAGE(OFFSET($AM$3,0,0,'Données projet'!$E$10+1,1))-AVERAGE(OFFSET($H$3,0,0,'Données projet'!$E$10+1,1))</f>
        <v>394.70330963327166</v>
      </c>
      <c r="AO47" s="62">
        <f t="shared" si="36"/>
        <v>424.06445894109982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9.8000000000000007</v>
      </c>
      <c r="BD47" s="13">
        <f>IF('Données projet'!$A$88&gt;35,BD46+BC47-BL46,IF(A47&lt;'Données projet'!$A$88,$BA$205^A47,IF(A47='Données projet'!$A$88,'Données projet'!$B$88,BD46+BC47-BL46)))</f>
        <v>232.20000000000005</v>
      </c>
      <c r="BE47" s="14">
        <f>BD47*VLOOKUP('Données projet'!$B$11,Paramètres!$A$1:$I$89,3,0)*VLOOKUP('Données projet'!$B$11,Paramètres!$A$1:$I$89,5,0)</f>
        <v>170.24904000000004</v>
      </c>
      <c r="BF47" s="14">
        <f t="shared" si="37"/>
        <v>43.145795507930117</v>
      </c>
      <c r="BG47" s="22">
        <f t="shared" si="7"/>
        <v>371.6626718429784</v>
      </c>
      <c r="BH47" s="62">
        <f t="shared" si="8"/>
        <v>622.55314058111583</v>
      </c>
      <c r="BI47" s="62">
        <f ca="1">AVERAGE(OFFSET($BH$3,0,0,'Données projet'!$E$11+1,1))-AVERAGE(OFFSET($H$3,0,0,'Données projet'!$E$11+1,1))</f>
        <v>368.54671978064204</v>
      </c>
      <c r="BJ47" s="62">
        <f t="shared" si="38"/>
        <v>395.83504504492237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>
        <f>VLOOKUP(A47,'Données projet'!$A$113:$I$133,2,0)</f>
        <v>230</v>
      </c>
      <c r="BW47" s="13">
        <f>VLOOKUP(A47,'Données projet'!$A$113:$I$133,9,0)</f>
        <v>11.142857142857142</v>
      </c>
      <c r="BX47" s="13">
        <f t="array" ref="BX47">INDEX(BW:BW,MIN(IF(ISNUMBER(BW47:BW243),ROW(BW47:BW243),"")))</f>
        <v>11.142857142857142</v>
      </c>
      <c r="BY47" s="13">
        <f>IF('Données projet'!$A$114&gt;35,BY46+BX47-CG46,IF(A47&lt;'Données projet'!$A$114,$BV$205^A47,IF(A47='Données projet'!$A$114,'Données projet'!$B$114,BY46+BX47-CG46)))</f>
        <v>229.99999999999991</v>
      </c>
      <c r="BZ47" s="14">
        <f>BY47*VLOOKUP('Données projet'!$B$12,Paramètres!$A$1:$I$89,3,0)*VLOOKUP('Données projet'!$B$12,Paramètres!$A$1:$I$89,5,0)</f>
        <v>179.39999999999995</v>
      </c>
      <c r="CA47" s="14">
        <f t="shared" si="39"/>
        <v>45.188671291872232</v>
      </c>
      <c r="CB47" s="22">
        <f t="shared" si="10"/>
        <v>391.15860250001066</v>
      </c>
      <c r="CC47" s="62">
        <f t="shared" si="11"/>
        <v>642.04907123814814</v>
      </c>
      <c r="CD47" s="62">
        <f ca="1">AVERAGE(OFFSET($CC$3,0,0,'Données projet'!$E$12+1,1))-AVERAGE(OFFSET($H$3,0,0,'Données projet'!$E$12+1,1))</f>
        <v>309.21625451786218</v>
      </c>
      <c r="CE47" s="62">
        <f t="shared" si="40"/>
        <v>302.59481222418219</v>
      </c>
      <c r="CF47" s="16">
        <f>IF(ISNA(VLOOKUP(A47,'Données projet'!$A$113:$I$133,3,0)),0,VLOOKUP(A47,'Données projet'!$A$113:$I$133,3,0))</f>
        <v>5</v>
      </c>
      <c r="CG47" s="16">
        <f>IF(ISNA(VLOOKUP(A47,'Données projet'!$A$113:$I$133,4,0)),0,VLOOKUP(A47,'Données projet'!$A$113:$I$133,4,0))</f>
        <v>43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7.1794871794871824</v>
      </c>
      <c r="CT47" s="13">
        <f>IF('Données projet'!$A$140&gt;35,CT46+CS47-DB46,IF(A47&lt;'Données projet'!$A$140,$CQ$205^A47,IF(A47='Données projet'!$A$140,'Données projet'!$B$140,CT46+CS47-DB46)))</f>
        <v>196.02564102564108</v>
      </c>
      <c r="CU47" s="18">
        <f>CT47*VLOOKUP('Données projet'!$B$13,Paramètres!$A$1:$I$89,3,0)*VLOOKUP('Données projet'!$B$13,Paramètres!$A$1:$I$89,5,0)</f>
        <v>186.53800000000007</v>
      </c>
      <c r="CV47" s="14">
        <f t="shared" si="41"/>
        <v>46.77373656895319</v>
      </c>
      <c r="CW47" s="22">
        <f t="shared" si="13"/>
        <v>406.35127452426019</v>
      </c>
      <c r="CX47" s="62">
        <f t="shared" si="14"/>
        <v>657.24174326239768</v>
      </c>
      <c r="CY47" s="62">
        <f ca="1">AVERAGE(OFFSET($CX$3,0,0,'Données projet'!$E$13+1,1))-AVERAGE(OFFSET($H$3,0,0,'Données projet'!$E$13+1,1))</f>
        <v>491.87038198656927</v>
      </c>
      <c r="CZ47" s="62">
        <f t="shared" si="42"/>
        <v>406.49261644949559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0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11.4</v>
      </c>
      <c r="DO47" s="13">
        <f>IF('Données projet'!$A$166&gt;35,DO46+DN47-DW46,IF(A47&lt;'Données projet'!$A$166,$DL$205^A47,IF(A47='Données projet'!$A$166,'Données projet'!$B$166,DO46+DN47-DW46)))</f>
        <v>220.60000000000005</v>
      </c>
      <c r="DP47" s="18">
        <f>DO47*VLOOKUP('Données projet'!$B$14,Paramètres!$A$1:$I$89,3,0)*VLOOKUP('Données projet'!$B$14,Paramètres!$A$1:$I$89,5,0)</f>
        <v>213.36432000000005</v>
      </c>
      <c r="DQ47" s="14">
        <f t="shared" si="43"/>
        <v>52.670092827991724</v>
      </c>
      <c r="DR47" s="22">
        <f t="shared" si="16"/>
        <v>463.34326900875232</v>
      </c>
      <c r="DS47" s="62">
        <f t="shared" si="17"/>
        <v>714.2337377468898</v>
      </c>
      <c r="DT47" s="62">
        <f ca="1">AVERAGE(OFFSET($DS$3,0,0,'Données projet'!$E$14+1,1))-AVERAGE(OFFSET($H$3,0,0,'Données projet'!$E$14+1,1))</f>
        <v>603.52431522262032</v>
      </c>
      <c r="DU47" s="62">
        <f t="shared" si="44"/>
        <v>313.56299786481338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projet'!$B$14,Paramètres!$A$1:$I$89,3,0)*0.475*44/12</f>
        <v>0</v>
      </c>
      <c r="EB47" s="23">
        <f>EXP(-LN(2)/25)*EB46+(1-EXP(-LN(2)/25))/(LN(2)/25)*Calculateur!DW47*Calculateur!DY47*VLOOKUP('Données projet'!$B$14,Paramètres!$A$1:$I$89,3,0)*0.475*44/12</f>
        <v>0</v>
      </c>
      <c r="EC47" s="23">
        <f>EXP(-LN(2)/2)*EC46+(1-EXP(-LN(2)/2))/(LN(2)/2)*DW47*DZ47*VLOOKUP('Données projet'!$B$14,Paramètres!$A$1:$I$89,3,0)*0.475*44/12</f>
        <v>0</v>
      </c>
      <c r="ED47" s="24">
        <f t="shared" si="18"/>
        <v>0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7.6</v>
      </c>
      <c r="EJ47" s="13">
        <f>IF('Données projet'!$A$192&gt;35,EJ46+EI47-ER46,IF(A47&lt;'Données projet'!$A$192,$EG$205^A47,IF(A47='Données projet'!$A$192,'Données projet'!$B$192,EJ46+EI47-ER46)))</f>
        <v>182.4</v>
      </c>
      <c r="EK47" s="18">
        <f>EJ47*VLOOKUP('Données projet'!$B$15,Paramètres!$A$1:$I$89,3,0)*VLOOKUP('Données projet'!$B$15,Paramètres!$A$1:$I$89,5,0)</f>
        <v>147.96288000000001</v>
      </c>
      <c r="EL47" s="14">
        <f t="shared" si="45"/>
        <v>38.115275017059226</v>
      </c>
      <c r="EM47" s="22">
        <f t="shared" si="19"/>
        <v>324.0861199880448</v>
      </c>
      <c r="EN47" s="62">
        <f t="shared" si="20"/>
        <v>574.97658872618217</v>
      </c>
      <c r="EO47" s="62">
        <f ca="1">AVERAGE(OFFSET($EN$3,0,0,'Données projet'!$E$15+1,1))-AVERAGE(OFFSET($H$3,0,0,'Données projet'!$E$15+1,1))</f>
        <v>272.69564942740931</v>
      </c>
      <c r="EP47" s="62">
        <f t="shared" si="46"/>
        <v>316.57989180609252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>
        <f>EXP(-LN(2)/35)*EV46+(1-EXP(-LN(2)/35))/(LN(2)/35)*ER47*ES47*VLOOKUP('Données projet'!$B$15,Paramètres!$A$1:$I$89,3,0)*0.475*44/12</f>
        <v>0</v>
      </c>
      <c r="EW47" s="23">
        <f>EXP(-LN(2)/25)*EW46+(1-EXP(-LN(2)/25))/(LN(2)/25)*Calculateur!ER47*Calculateur!ET47*VLOOKUP('Données projet'!$B$15,Paramètres!$A$1:$I$89,3,0)*0.475*44/12</f>
        <v>0</v>
      </c>
      <c r="EX47" s="23">
        <f>EXP(-LN(2)/2)*EX46+(1-EXP(-LN(2)/2))/(LN(2)/2)*ER47*EU47*VLOOKUP('Données projet'!$B$15,Paramètres!$A$1:$I$89,3,0)*0.475*44/12</f>
        <v>0</v>
      </c>
      <c r="EY47" s="24">
        <f t="shared" si="21"/>
        <v>0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7.4358974358974361</v>
      </c>
      <c r="FE47" s="13">
        <f>IF('Données projet'!$A$218&gt;35,FE46+FD47-FM46,IF(A47&lt;'Données projet'!$A$218,$FB$205^A47,IF(A47='Données projet'!$A$218,'Données projet'!$B$218,FE46+FD47-FM46)))</f>
        <v>249.6153846153845</v>
      </c>
      <c r="FF47" s="18">
        <f>FE47*VLOOKUP('Données projet'!$B$16,Paramètres!$A$1:$I$89,3,0)*VLOOKUP('Données projet'!$B$16,Paramètres!$A$1:$I$89,5,0)</f>
        <v>167.44199999999992</v>
      </c>
      <c r="FG47" s="14">
        <f t="shared" si="47"/>
        <v>42.516612130069383</v>
      </c>
      <c r="FH47" s="22">
        <f t="shared" si="22"/>
        <v>365.67791612653735</v>
      </c>
      <c r="FI47" s="62">
        <f t="shared" si="23"/>
        <v>616.56838486467473</v>
      </c>
      <c r="FJ47" s="62">
        <f ca="1">AVERAGE(OFFSET($FI$3,0,0,'Données projet'!$E$16+1,1))-AVERAGE(OFFSET($H$3,0,0,'Données projet'!$E$16+1,1))</f>
        <v>440.90856392064205</v>
      </c>
      <c r="FK47" s="62">
        <f t="shared" si="48"/>
        <v>373.33139300970629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>
        <f>EXP(-LN(2)/35)*FQ46+(1-EXP(-LN(2)/35))/(LN(2)/35)*FM47*FN47*VLOOKUP('Données projet'!$B$16,Paramètres!$A$1:$I$89,3,0)*0.475*44/12</f>
        <v>0</v>
      </c>
      <c r="FR47" s="23">
        <f>EXP(-LN(2)/25)*FR46+(1-EXP(-LN(2)/25))/(LN(2)/25)*Calculateur!FM47*Calculateur!FO47*VLOOKUP('Données projet'!$B$16,Paramètres!$A$1:$I$89,3,0)*0.475*44/12</f>
        <v>0</v>
      </c>
      <c r="FS47" s="23">
        <f>EXP(-LN(2)/2)*FS46+(1-EXP(-LN(2)/2))/(LN(2)/2)*FM47*FP47*VLOOKUP('Données projet'!$B$16,Paramètres!$A$1:$I$89,3,0)*0.475*44/12</f>
        <v>0</v>
      </c>
      <c r="FT47" s="24">
        <f t="shared" si="24"/>
        <v>0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70">
        <f t="shared" si="1"/>
        <v>183.33333333333334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232</v>
      </c>
      <c r="L48" s="13">
        <f>VLOOKUP(A48,'Données projet'!$A$35:$I$55,9,0)</f>
        <v>11.4</v>
      </c>
      <c r="M48" s="13">
        <f t="array" ref="M48">INDEX(L:L,MIN(IF(ISNUMBER(L48:L244),ROW(L48:L244),"")))</f>
        <v>11.4</v>
      </c>
      <c r="N48" s="14">
        <f>IF('Données projet'!$A$36&gt;35,N47+M48-V47,IF(A48&lt;'Données projet'!$A$36,$K$205^A48,IF(A48='Données projet'!$A$36,'Données projet'!$B$36,N47+M48-V47)))</f>
        <v>232.00000000000006</v>
      </c>
      <c r="O48" s="14">
        <f>N48*VLOOKUP('Données projet'!$B$9,Paramètres!$A$1:$I$89,3,0)*VLOOKUP('Données projet'!$B$9,Paramètres!$A$1:$I$89,5,0)</f>
        <v>209.91360000000006</v>
      </c>
      <c r="P48" s="14">
        <f t="shared" si="33"/>
        <v>51.916704672341361</v>
      </c>
      <c r="Q48" s="22">
        <f t="shared" si="53"/>
        <v>456.02111397099458</v>
      </c>
      <c r="R48" s="62">
        <f t="shared" si="0"/>
        <v>707.64787152182873</v>
      </c>
      <c r="S48" s="62">
        <f ca="1">AVERAGE(OFFSET($R$3,0,0,'Données projet'!$E$9+1,1))-AVERAGE(OFFSET($H$3,0,0,'Données projet'!$E$9+1,1))</f>
        <v>570.08763950759544</v>
      </c>
      <c r="T48" s="62">
        <f t="shared" si="34"/>
        <v>297.32483725004136</v>
      </c>
      <c r="U48" s="16">
        <f>IF(ISNA(VLOOKUP(A48,'Données projet'!$A$35:$I$55,3,0)),0,VLOOKUP(A48,'Données projet'!$A$35:$I$55,3,0))</f>
        <v>3</v>
      </c>
      <c r="V48" s="16">
        <f>IF(ISNA(VLOOKUP(A48,'Données projet'!$A$35:$I$55,4,0)),0,VLOOKUP(A48,'Données projet'!$A$35:$I$55,4,0))</f>
        <v>56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242</v>
      </c>
      <c r="AG48" s="13">
        <f>VLOOKUP(A48,'Données projet'!$A$61:$I$81,9,0)</f>
        <v>9.8000000000000007</v>
      </c>
      <c r="AH48" s="13">
        <f t="array" ref="AH48">INDEX(AG:AG,MIN(IF(ISNUMBER(AG48:AG244),ROW(AG48:AG244),"")))</f>
        <v>9.8000000000000007</v>
      </c>
      <c r="AI48" s="14">
        <f>IF('Données projet'!$A$62&gt;35,AI47+AH48-AQ47,IF(A48&lt;'Données projet'!$A$62,$AF$205^A48,IF(A48='Données projet'!$A$62,'Données projet'!$B$62,AI47+AH48-AQ47)))</f>
        <v>242.00000000000006</v>
      </c>
      <c r="AJ48" s="14">
        <f>AI48*VLOOKUP('Données projet'!$B$10,Paramètres!$A$1:$I$89,3,0)*VLOOKUP('Données projet'!$B$10,Paramètres!$A$1:$I$89,5,0)</f>
        <v>192.53520000000006</v>
      </c>
      <c r="AK48" s="14">
        <f t="shared" si="35"/>
        <v>48.100016456123079</v>
      </c>
      <c r="AL48" s="22">
        <f t="shared" si="4"/>
        <v>419.10633532774779</v>
      </c>
      <c r="AM48" s="62">
        <f t="shared" si="5"/>
        <v>670.73309287858194</v>
      </c>
      <c r="AN48" s="62">
        <f ca="1">AVERAGE(OFFSET($AM$3,0,0,'Données projet'!$E$10+1,1))-AVERAGE(OFFSET($H$3,0,0,'Données projet'!$E$10+1,1))</f>
        <v>394.70330963327166</v>
      </c>
      <c r="AO48" s="62">
        <f t="shared" si="36"/>
        <v>424.06445894109982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242</v>
      </c>
      <c r="BB48" s="13">
        <f>VLOOKUP(A48,'Données projet'!$A$87:$I$107,9,0)</f>
        <v>9.8000000000000007</v>
      </c>
      <c r="BC48" s="13">
        <f t="array" ref="BC48">INDEX(BB:BB,MIN(IF(ISNUMBER(BB48:BB244),ROW(BB48:BB244),"")))</f>
        <v>9.8000000000000007</v>
      </c>
      <c r="BD48" s="13">
        <f>IF('Données projet'!$A$88&gt;35,BD47+BC48-BL47,IF(A48&lt;'Données projet'!$A$88,$BA$205^A48,IF(A48='Données projet'!$A$88,'Données projet'!$B$88,BD47+BC48-BL47)))</f>
        <v>242.00000000000006</v>
      </c>
      <c r="BE48" s="14">
        <f>BD48*VLOOKUP('Données projet'!$B$11,Paramètres!$A$1:$I$89,3,0)*VLOOKUP('Données projet'!$B$11,Paramètres!$A$1:$I$89,5,0)</f>
        <v>177.43440000000004</v>
      </c>
      <c r="BF48" s="14">
        <f t="shared" si="37"/>
        <v>44.750911401641211</v>
      </c>
      <c r="BG48" s="22">
        <f t="shared" si="7"/>
        <v>386.97275069119183</v>
      </c>
      <c r="BH48" s="62">
        <f t="shared" si="8"/>
        <v>638.59950824202599</v>
      </c>
      <c r="BI48" s="62">
        <f ca="1">AVERAGE(OFFSET($BH$3,0,0,'Données projet'!$E$11+1,1))-AVERAGE(OFFSET($H$3,0,0,'Données projet'!$E$11+1,1))</f>
        <v>368.54671978064204</v>
      </c>
      <c r="BJ48" s="62">
        <f t="shared" si="38"/>
        <v>395.83504504492237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10.375</v>
      </c>
      <c r="BY48" s="13">
        <f>IF('Données projet'!$A$114&gt;35,BY47+BX48-CG47,IF(A48&lt;'Données projet'!$A$114,$BV$205^A48,IF(A48='Données projet'!$A$114,'Données projet'!$B$114,BY47+BX48-CG47)))</f>
        <v>197.37499999999991</v>
      </c>
      <c r="BZ48" s="14">
        <f>BY48*VLOOKUP('Données projet'!$B$12,Paramètres!$A$1:$I$89,3,0)*VLOOKUP('Données projet'!$B$12,Paramètres!$A$1:$I$89,5,0)</f>
        <v>153.95249999999993</v>
      </c>
      <c r="CA48" s="14">
        <f t="shared" si="39"/>
        <v>39.475441267837361</v>
      </c>
      <c r="CB48" s="22">
        <f t="shared" si="10"/>
        <v>336.88699770814992</v>
      </c>
      <c r="CC48" s="62">
        <f t="shared" si="11"/>
        <v>588.51375525898402</v>
      </c>
      <c r="CD48" s="62">
        <f ca="1">AVERAGE(OFFSET($CC$3,0,0,'Données projet'!$E$12+1,1))-AVERAGE(OFFSET($H$3,0,0,'Données projet'!$E$12+1,1))</f>
        <v>309.21625451786218</v>
      </c>
      <c r="CE48" s="62">
        <f t="shared" si="40"/>
        <v>302.59481222418219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203.2051282051282</v>
      </c>
      <c r="CR48" s="13">
        <f>VLOOKUP(A48,'Données projet'!$A$139:$I$159,9,0)</f>
        <v>7.1794871794871824</v>
      </c>
      <c r="CS48" s="13">
        <f t="array" ref="CS48">INDEX(CR:CR,MIN(IF(ISNUMBER(CR48:CR244),ROW(CR48:CR244),"")))</f>
        <v>7.1794871794871824</v>
      </c>
      <c r="CT48" s="13">
        <f>IF('Données projet'!$A$140&gt;35,CT47+CS48-DB47,IF(A48&lt;'Données projet'!$A$140,$CQ$205^A48,IF(A48='Données projet'!$A$140,'Données projet'!$B$140,CT47+CS48-DB47)))</f>
        <v>203.20512820512826</v>
      </c>
      <c r="CU48" s="18">
        <f>CT48*VLOOKUP('Données projet'!$B$13,Paramètres!$A$1:$I$89,3,0)*VLOOKUP('Données projet'!$B$13,Paramètres!$A$1:$I$89,5,0)</f>
        <v>193.37000000000006</v>
      </c>
      <c r="CV48" s="14">
        <f t="shared" si="41"/>
        <v>48.284247919834065</v>
      </c>
      <c r="CW48" s="22">
        <f t="shared" si="13"/>
        <v>420.88114846037774</v>
      </c>
      <c r="CX48" s="62">
        <f t="shared" si="14"/>
        <v>672.50790601121184</v>
      </c>
      <c r="CY48" s="62">
        <f ca="1">AVERAGE(OFFSET($CX$3,0,0,'Données projet'!$E$13+1,1))-AVERAGE(OFFSET($H$3,0,0,'Données projet'!$E$13+1,1))</f>
        <v>491.87038198656927</v>
      </c>
      <c r="CZ48" s="62">
        <f t="shared" si="42"/>
        <v>406.49261644949559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0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>
        <f>VLOOKUP(A48,'Données projet'!$A$165:$I$185,2,0)</f>
        <v>232</v>
      </c>
      <c r="DM48" s="13">
        <f>VLOOKUP(A48,'Données projet'!$A$165:$I$185,9,0)</f>
        <v>11.4</v>
      </c>
      <c r="DN48" s="13">
        <f t="array" ref="DN48">INDEX(DM:DM,MIN(IF(ISNUMBER(DM48:DM244),ROW(DM48:DM244),"")))</f>
        <v>11.4</v>
      </c>
      <c r="DO48" s="13">
        <f>IF('Données projet'!$A$166&gt;35,DO47+DN48-DW47,IF(A48&lt;'Données projet'!$A$166,$DL$205^A48,IF(A48='Données projet'!$A$166,'Données projet'!$B$166,DO47+DN48-DW47)))</f>
        <v>232.00000000000006</v>
      </c>
      <c r="DP48" s="18">
        <f>DO48*VLOOKUP('Données projet'!$B$14,Paramètres!$A$1:$I$89,3,0)*VLOOKUP('Données projet'!$B$14,Paramètres!$A$1:$I$89,5,0)</f>
        <v>224.39040000000006</v>
      </c>
      <c r="DQ48" s="14">
        <f t="shared" si="43"/>
        <v>55.068017311015858</v>
      </c>
      <c r="DR48" s="22">
        <f t="shared" si="16"/>
        <v>486.72341015001939</v>
      </c>
      <c r="DS48" s="62">
        <f t="shared" si="17"/>
        <v>738.35016770085349</v>
      </c>
      <c r="DT48" s="62">
        <f ca="1">AVERAGE(OFFSET($DS$3,0,0,'Données projet'!$E$14+1,1))-AVERAGE(OFFSET($H$3,0,0,'Données projet'!$E$14+1,1))</f>
        <v>603.52431522262032</v>
      </c>
      <c r="DU48" s="62">
        <f t="shared" si="44"/>
        <v>313.56299786481338</v>
      </c>
      <c r="DV48" s="16">
        <f>IF(ISNA(VLOOKUP(A48,'Données projet'!$A$165:$I$185,3,0)),0,VLOOKUP(A48,'Données projet'!$A$165:$I$185,3,0))</f>
        <v>3</v>
      </c>
      <c r="DW48" s="16">
        <f>IF(ISNA(VLOOKUP(A48,'Données projet'!$A$165:$I$185,4,0)),0,VLOOKUP(A48,'Données projet'!$A$165:$I$185,4,0))</f>
        <v>56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projet'!$B$14,Paramètres!$A$1:$I$89,3,0)*0.475*44/12</f>
        <v>0</v>
      </c>
      <c r="EB48" s="23">
        <f>EXP(-LN(2)/25)*EB47+(1-EXP(-LN(2)/25))/(LN(2)/25)*Calculateur!DW48*Calculateur!DY48*VLOOKUP('Données projet'!$B$14,Paramètres!$A$1:$I$89,3,0)*0.475*44/12</f>
        <v>0</v>
      </c>
      <c r="EC48" s="23">
        <f>EXP(-LN(2)/2)*EC47+(1-EXP(-LN(2)/2))/(LN(2)/2)*DW48*DZ48*VLOOKUP('Données projet'!$B$14,Paramètres!$A$1:$I$89,3,0)*0.475*44/12</f>
        <v>0</v>
      </c>
      <c r="ED48" s="24">
        <f t="shared" si="18"/>
        <v>0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>
        <f>VLOOKUP(A48,'Données projet'!$A$191:$I$211,2,0)</f>
        <v>190</v>
      </c>
      <c r="EH48" s="13">
        <f>VLOOKUP(A48,'Données projet'!$A$191:$I$211,9,0)</f>
        <v>7.6</v>
      </c>
      <c r="EI48" s="13">
        <f t="array" ref="EI48">INDEX(EH:EH,MIN(IF(ISNUMBER(EH48:EH244),ROW(EH48:EH244),"")))</f>
        <v>7.6</v>
      </c>
      <c r="EJ48" s="13">
        <f>IF('Données projet'!$A$192&gt;35,EJ47+EI48-ER47,IF(A48&lt;'Données projet'!$A$192,$EG$205^A48,IF(A48='Données projet'!$A$192,'Données projet'!$B$192,EJ47+EI48-ER47)))</f>
        <v>190</v>
      </c>
      <c r="EK48" s="18">
        <f>EJ48*VLOOKUP('Données projet'!$B$15,Paramètres!$A$1:$I$89,3,0)*VLOOKUP('Données projet'!$B$15,Paramètres!$A$1:$I$89,5,0)</f>
        <v>154.12800000000001</v>
      </c>
      <c r="EL48" s="14">
        <f t="shared" si="45"/>
        <v>39.515201075361155</v>
      </c>
      <c r="EM48" s="22">
        <f t="shared" si="19"/>
        <v>337.26190853958735</v>
      </c>
      <c r="EN48" s="62">
        <f t="shared" si="20"/>
        <v>588.88866609042145</v>
      </c>
      <c r="EO48" s="62">
        <f ca="1">AVERAGE(OFFSET($EN$3,0,0,'Données projet'!$E$15+1,1))-AVERAGE(OFFSET($H$3,0,0,'Données projet'!$E$15+1,1))</f>
        <v>272.69564942740931</v>
      </c>
      <c r="EP48" s="62">
        <f t="shared" si="46"/>
        <v>316.57989180609252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>
        <f>EXP(-LN(2)/35)*EV47+(1-EXP(-LN(2)/35))/(LN(2)/35)*ER48*ES48*VLOOKUP('Données projet'!$B$15,Paramètres!$A$1:$I$89,3,0)*0.475*44/12</f>
        <v>0</v>
      </c>
      <c r="EW48" s="23">
        <f>EXP(-LN(2)/25)*EW47+(1-EXP(-LN(2)/25))/(LN(2)/25)*Calculateur!ER48*Calculateur!ET48*VLOOKUP('Données projet'!$B$15,Paramètres!$A$1:$I$89,3,0)*0.475*44/12</f>
        <v>0</v>
      </c>
      <c r="EX48" s="23">
        <f>EXP(-LN(2)/2)*EX47+(1-EXP(-LN(2)/2))/(LN(2)/2)*ER48*EU48*VLOOKUP('Données projet'!$B$15,Paramètres!$A$1:$I$89,3,0)*0.475*44/12</f>
        <v>0</v>
      </c>
      <c r="EY48" s="24">
        <f t="shared" si="21"/>
        <v>0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>
        <f>VLOOKUP(A48,'Données projet'!$A$217:$I$237,2,0)</f>
        <v>257.05128205128204</v>
      </c>
      <c r="FC48" s="13">
        <f>VLOOKUP(A48,'Données projet'!$A$217:$I$237,9,0)</f>
        <v>7.4358974358974361</v>
      </c>
      <c r="FD48" s="13">
        <f t="array" ref="FD48">INDEX(FC:FC,MIN(IF(ISNUMBER(FC48:FC244),ROW(FC48:FC244),"")))</f>
        <v>7.4358974358974361</v>
      </c>
      <c r="FE48" s="13">
        <f>IF('Données projet'!$A$218&gt;35,FE47+FD48-FM47,IF(A48&lt;'Données projet'!$A$218,$FB$205^A48,IF(A48='Données projet'!$A$218,'Données projet'!$B$218,FE47+FD48-FM47)))</f>
        <v>257.05128205128193</v>
      </c>
      <c r="FF48" s="18">
        <f>FE48*VLOOKUP('Données projet'!$B$16,Paramètres!$A$1:$I$89,3,0)*VLOOKUP('Données projet'!$B$16,Paramètres!$A$1:$I$89,5,0)</f>
        <v>172.42999999999992</v>
      </c>
      <c r="FG48" s="14">
        <f t="shared" si="47"/>
        <v>43.633812377956147</v>
      </c>
      <c r="FH48" s="22">
        <f t="shared" si="22"/>
        <v>376.31113989160684</v>
      </c>
      <c r="FI48" s="62">
        <f t="shared" si="23"/>
        <v>627.937897442441</v>
      </c>
      <c r="FJ48" s="62">
        <f ca="1">AVERAGE(OFFSET($FI$3,0,0,'Données projet'!$E$16+1,1))-AVERAGE(OFFSET($H$3,0,0,'Données projet'!$E$16+1,1))</f>
        <v>440.90856392064205</v>
      </c>
      <c r="FK48" s="62">
        <f t="shared" si="48"/>
        <v>373.33139300970629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>
        <f>EXP(-LN(2)/35)*FQ47+(1-EXP(-LN(2)/35))/(LN(2)/35)*FM48*FN48*VLOOKUP('Données projet'!$B$16,Paramètres!$A$1:$I$89,3,0)*0.475*44/12</f>
        <v>0</v>
      </c>
      <c r="FR48" s="23">
        <f>EXP(-LN(2)/25)*FR47+(1-EXP(-LN(2)/25))/(LN(2)/25)*Calculateur!FM48*Calculateur!FO48*VLOOKUP('Données projet'!$B$16,Paramètres!$A$1:$I$89,3,0)*0.475*44/12</f>
        <v>0</v>
      </c>
      <c r="FS48" s="23">
        <f>EXP(-LN(2)/2)*FS47+(1-EXP(-LN(2)/2))/(LN(2)/2)*FM48*FP48*VLOOKUP('Données projet'!$B$16,Paramètres!$A$1:$I$89,3,0)*0.475*44/12</f>
        <v>0</v>
      </c>
      <c r="FT48" s="24">
        <f t="shared" si="24"/>
        <v>0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70">
        <f t="shared" si="1"/>
        <v>183.33333333333334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11</v>
      </c>
      <c r="N49" s="14">
        <f>IF('Données projet'!$A$36&gt;35,N48+M49-V48,IF(A49&lt;'Données projet'!$A$36,$K$205^A49,IF(A49='Données projet'!$A$36,'Données projet'!$B$36,N48+M49-V48)))</f>
        <v>187.00000000000006</v>
      </c>
      <c r="O49" s="14">
        <f>N49*VLOOKUP('Données projet'!$B$9,Paramètres!$A$1:$I$89,3,0)*VLOOKUP('Données projet'!$B$9,Paramètres!$A$1:$I$89,5,0)</f>
        <v>169.19760000000005</v>
      </c>
      <c r="P49" s="14">
        <f t="shared" si="33"/>
        <v>42.910263223432885</v>
      </c>
      <c r="Q49" s="22">
        <f t="shared" si="53"/>
        <v>369.42119511414563</v>
      </c>
      <c r="R49" s="62">
        <f t="shared" si="0"/>
        <v>621.77146851287125</v>
      </c>
      <c r="S49" s="62">
        <f ca="1">AVERAGE(OFFSET($R$3,0,0,'Données projet'!$E$9+1,1))-AVERAGE(OFFSET($H$3,0,0,'Données projet'!$E$9+1,1))</f>
        <v>570.08763950759544</v>
      </c>
      <c r="T49" s="62">
        <f t="shared" si="34"/>
        <v>297.32483725004136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8.6</v>
      </c>
      <c r="AI49" s="14">
        <f>IF('Données projet'!$A$62&gt;35,AI48+AH49-AQ48,IF(A49&lt;'Données projet'!$A$62,$AF$205^A49,IF(A49='Données projet'!$A$62,'Données projet'!$B$62,AI48+AH49-AQ48)))</f>
        <v>250.60000000000005</v>
      </c>
      <c r="AJ49" s="14">
        <f>AI49*VLOOKUP('Données projet'!$B$10,Paramètres!$A$1:$I$89,3,0)*VLOOKUP('Données projet'!$B$10,Paramètres!$A$1:$I$89,5,0)</f>
        <v>199.37736000000004</v>
      </c>
      <c r="AK49" s="14">
        <f t="shared" si="35"/>
        <v>49.607305476717805</v>
      </c>
      <c r="AL49" s="22">
        <f t="shared" si="4"/>
        <v>433.64829237195022</v>
      </c>
      <c r="AM49" s="62">
        <f t="shared" si="5"/>
        <v>685.9985657706759</v>
      </c>
      <c r="AN49" s="62">
        <f ca="1">AVERAGE(OFFSET($AM$3,0,0,'Données projet'!$E$10+1,1))-AVERAGE(OFFSET($H$3,0,0,'Données projet'!$E$10+1,1))</f>
        <v>394.70330963327166</v>
      </c>
      <c r="AO49" s="62">
        <f t="shared" si="36"/>
        <v>424.06445894109982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8.6</v>
      </c>
      <c r="BD49" s="13">
        <f>IF('Données projet'!$A$88&gt;35,BD48+BC49-BL48,IF(A49&lt;'Données projet'!$A$88,$BA$205^A49,IF(A49='Données projet'!$A$88,'Données projet'!$B$88,BD48+BC49-BL48)))</f>
        <v>250.60000000000005</v>
      </c>
      <c r="BE49" s="14">
        <f>BD49*VLOOKUP('Données projet'!$B$11,Paramètres!$A$1:$I$89,3,0)*VLOOKUP('Données projet'!$B$11,Paramètres!$A$1:$I$89,5,0)</f>
        <v>183.73992000000001</v>
      </c>
      <c r="BF49" s="14">
        <f t="shared" si="37"/>
        <v>46.153250992914103</v>
      </c>
      <c r="BG49" s="22">
        <f t="shared" si="7"/>
        <v>400.39727281265874</v>
      </c>
      <c r="BH49" s="62">
        <f t="shared" si="8"/>
        <v>652.74754621138436</v>
      </c>
      <c r="BI49" s="62">
        <f ca="1">AVERAGE(OFFSET($BH$3,0,0,'Données projet'!$E$11+1,1))-AVERAGE(OFFSET($H$3,0,0,'Données projet'!$E$11+1,1))</f>
        <v>368.54671978064204</v>
      </c>
      <c r="BJ49" s="62">
        <f t="shared" si="38"/>
        <v>395.83504504492237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10.375</v>
      </c>
      <c r="BY49" s="13">
        <f>IF('Données projet'!$A$114&gt;35,BY48+BX49-CG48,IF(A49&lt;'Données projet'!$A$114,$BV$205^A49,IF(A49='Données projet'!$A$114,'Données projet'!$B$114,BY48+BX49-CG48)))</f>
        <v>207.74999999999991</v>
      </c>
      <c r="BZ49" s="14">
        <f>BY49*VLOOKUP('Données projet'!$B$12,Paramètres!$A$1:$I$89,3,0)*VLOOKUP('Données projet'!$B$12,Paramètres!$A$1:$I$89,5,0)</f>
        <v>162.04499999999993</v>
      </c>
      <c r="CA49" s="14">
        <f t="shared" si="39"/>
        <v>41.303429372463391</v>
      </c>
      <c r="CB49" s="22">
        <f t="shared" si="10"/>
        <v>354.16518115704025</v>
      </c>
      <c r="CC49" s="62">
        <f t="shared" si="11"/>
        <v>606.51545455576593</v>
      </c>
      <c r="CD49" s="62">
        <f ca="1">AVERAGE(OFFSET($CC$3,0,0,'Données projet'!$E$12+1,1))-AVERAGE(OFFSET($H$3,0,0,'Données projet'!$E$12+1,1))</f>
        <v>309.21625451786218</v>
      </c>
      <c r="CE49" s="62">
        <f t="shared" si="40"/>
        <v>302.59481222418219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6.6666666666666625</v>
      </c>
      <c r="CT49" s="13">
        <f>IF('Données projet'!$A$140&gt;35,CT48+CS49-DB48,IF(A49&lt;'Données projet'!$A$140,$CQ$205^A49,IF(A49='Données projet'!$A$140,'Données projet'!$B$140,CT48+CS49-DB48)))</f>
        <v>209.87179487179492</v>
      </c>
      <c r="CU49" s="18">
        <f>CT49*VLOOKUP('Données projet'!$B$13,Paramètres!$A$1:$I$89,3,0)*VLOOKUP('Données projet'!$B$13,Paramètres!$A$1:$I$89,5,0)</f>
        <v>199.71400000000006</v>
      </c>
      <c r="CV49" s="14">
        <f t="shared" si="41"/>
        <v>49.681308347857325</v>
      </c>
      <c r="CW49" s="22">
        <f t="shared" si="13"/>
        <v>434.36349537251823</v>
      </c>
      <c r="CX49" s="62">
        <f t="shared" si="14"/>
        <v>686.71376877124385</v>
      </c>
      <c r="CY49" s="62">
        <f ca="1">AVERAGE(OFFSET($CX$3,0,0,'Données projet'!$E$13+1,1))-AVERAGE(OFFSET($H$3,0,0,'Données projet'!$E$13+1,1))</f>
        <v>491.87038198656927</v>
      </c>
      <c r="CZ49" s="62">
        <f t="shared" si="42"/>
        <v>406.49261644949559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0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11</v>
      </c>
      <c r="DO49" s="13">
        <f>IF('Données projet'!$A$166&gt;35,DO48+DN49-DW48,IF(A49&lt;'Données projet'!$A$166,$DL$205^A49,IF(A49='Données projet'!$A$166,'Données projet'!$B$166,DO48+DN49-DW48)))</f>
        <v>187.00000000000006</v>
      </c>
      <c r="DP49" s="18">
        <f>DO49*VLOOKUP('Données projet'!$B$14,Paramètres!$A$1:$I$89,3,0)*VLOOKUP('Données projet'!$B$14,Paramètres!$A$1:$I$89,5,0)</f>
        <v>180.86640000000006</v>
      </c>
      <c r="DQ49" s="14">
        <f t="shared" si="43"/>
        <v>45.514890302102152</v>
      </c>
      <c r="DR49" s="22">
        <f t="shared" si="16"/>
        <v>394.28074727616132</v>
      </c>
      <c r="DS49" s="62">
        <f t="shared" si="17"/>
        <v>646.63102067488694</v>
      </c>
      <c r="DT49" s="62">
        <f ca="1">AVERAGE(OFFSET($DS$3,0,0,'Données projet'!$E$14+1,1))-AVERAGE(OFFSET($H$3,0,0,'Données projet'!$E$14+1,1))</f>
        <v>603.52431522262032</v>
      </c>
      <c r="DU49" s="62">
        <f t="shared" si="44"/>
        <v>313.56299786481338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projet'!$B$14,Paramètres!$A$1:$I$89,3,0)*0.475*44/12</f>
        <v>0</v>
      </c>
      <c r="EB49" s="23">
        <f>EXP(-LN(2)/25)*EB48+(1-EXP(-LN(2)/25))/(LN(2)/25)*Calculateur!DW49*Calculateur!DY49*VLOOKUP('Données projet'!$B$14,Paramètres!$A$1:$I$89,3,0)*0.475*44/12</f>
        <v>0</v>
      </c>
      <c r="EC49" s="23">
        <f>EXP(-LN(2)/2)*EC48+(1-EXP(-LN(2)/2))/(LN(2)/2)*DW49*DZ49*VLOOKUP('Données projet'!$B$14,Paramètres!$A$1:$I$89,3,0)*0.475*44/12</f>
        <v>0</v>
      </c>
      <c r="ED49" s="24">
        <f t="shared" si="18"/>
        <v>0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7.6</v>
      </c>
      <c r="EJ49" s="13">
        <f>IF('Données projet'!$A$192&gt;35,EJ48+EI49-ER48,IF(A49&lt;'Données projet'!$A$192,$EG$205^A49,IF(A49='Données projet'!$A$192,'Données projet'!$B$192,EJ48+EI49-ER48)))</f>
        <v>197.6</v>
      </c>
      <c r="EK49" s="18">
        <f>EJ49*VLOOKUP('Données projet'!$B$15,Paramètres!$A$1:$I$89,3,0)*VLOOKUP('Données projet'!$B$15,Paramètres!$A$1:$I$89,5,0)</f>
        <v>160.29311999999999</v>
      </c>
      <c r="EL49" s="14">
        <f t="shared" si="45"/>
        <v>40.908622396455648</v>
      </c>
      <c r="EM49" s="22">
        <f t="shared" si="19"/>
        <v>350.42636800716019</v>
      </c>
      <c r="EN49" s="62">
        <f t="shared" si="20"/>
        <v>602.77664140588581</v>
      </c>
      <c r="EO49" s="62">
        <f ca="1">AVERAGE(OFFSET($EN$3,0,0,'Données projet'!$E$15+1,1))-AVERAGE(OFFSET($H$3,0,0,'Données projet'!$E$15+1,1))</f>
        <v>272.69564942740931</v>
      </c>
      <c r="EP49" s="62">
        <f t="shared" si="46"/>
        <v>316.57989180609252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>
        <f>EXP(-LN(2)/35)*EV48+(1-EXP(-LN(2)/35))/(LN(2)/35)*ER49*ES49*VLOOKUP('Données projet'!$B$15,Paramètres!$A$1:$I$89,3,0)*0.475*44/12</f>
        <v>0</v>
      </c>
      <c r="EW49" s="23">
        <f>EXP(-LN(2)/25)*EW48+(1-EXP(-LN(2)/25))/(LN(2)/25)*Calculateur!ER49*Calculateur!ET49*VLOOKUP('Données projet'!$B$15,Paramètres!$A$1:$I$89,3,0)*0.475*44/12</f>
        <v>0</v>
      </c>
      <c r="EX49" s="23">
        <f>EXP(-LN(2)/2)*EX48+(1-EXP(-LN(2)/2))/(LN(2)/2)*ER49*EU49*VLOOKUP('Données projet'!$B$15,Paramètres!$A$1:$I$89,3,0)*0.475*44/12</f>
        <v>0</v>
      </c>
      <c r="EY49" s="24">
        <f t="shared" si="21"/>
        <v>0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8.3333333333333375</v>
      </c>
      <c r="FE49" s="13">
        <f>IF('Données projet'!$A$218&gt;35,FE48+FD49-FM48,IF(A49&lt;'Données projet'!$A$218,$FB$205^A49,IF(A49='Données projet'!$A$218,'Données projet'!$B$218,FE48+FD49-FM48)))</f>
        <v>265.38461538461524</v>
      </c>
      <c r="FF49" s="18">
        <f>FE49*VLOOKUP('Données projet'!$B$16,Paramètres!$A$1:$I$89,3,0)*VLOOKUP('Données projet'!$B$16,Paramètres!$A$1:$I$89,5,0)</f>
        <v>178.01999999999992</v>
      </c>
      <c r="FG49" s="14">
        <f t="shared" si="47"/>
        <v>44.881389467952083</v>
      </c>
      <c r="FH49" s="22">
        <f t="shared" si="22"/>
        <v>388.21991999001642</v>
      </c>
      <c r="FI49" s="62">
        <f t="shared" si="23"/>
        <v>640.57019338874204</v>
      </c>
      <c r="FJ49" s="62">
        <f ca="1">AVERAGE(OFFSET($FI$3,0,0,'Données projet'!$E$16+1,1))-AVERAGE(OFFSET($H$3,0,0,'Données projet'!$E$16+1,1))</f>
        <v>440.90856392064205</v>
      </c>
      <c r="FK49" s="62">
        <f t="shared" si="48"/>
        <v>373.33139300970629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>
        <f>EXP(-LN(2)/35)*FQ48+(1-EXP(-LN(2)/35))/(LN(2)/35)*FM49*FN49*VLOOKUP('Données projet'!$B$16,Paramètres!$A$1:$I$89,3,0)*0.475*44/12</f>
        <v>0</v>
      </c>
      <c r="FR49" s="23">
        <f>EXP(-LN(2)/25)*FR48+(1-EXP(-LN(2)/25))/(LN(2)/25)*Calculateur!FM49*Calculateur!FO49*VLOOKUP('Données projet'!$B$16,Paramètres!$A$1:$I$89,3,0)*0.475*44/12</f>
        <v>0</v>
      </c>
      <c r="FS49" s="23">
        <f>EXP(-LN(2)/2)*FS48+(1-EXP(-LN(2)/2))/(LN(2)/2)*FM49*FP49*VLOOKUP('Données projet'!$B$16,Paramètres!$A$1:$I$89,3,0)*0.475*44/12</f>
        <v>0</v>
      </c>
      <c r="FT49" s="24">
        <f t="shared" si="24"/>
        <v>0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70">
        <f t="shared" si="1"/>
        <v>183.33333333333334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11</v>
      </c>
      <c r="N50" s="14">
        <f>IF('Données projet'!$A$36&gt;35,N49+M50-V49,IF(A50&lt;'Données projet'!$A$36,$K$205^A50,IF(A50='Données projet'!$A$36,'Données projet'!$B$36,N49+M50-V49)))</f>
        <v>198.00000000000006</v>
      </c>
      <c r="O50" s="14">
        <f>N50*VLOOKUP('Données projet'!$B$9,Paramètres!$A$1:$I$89,3,0)*VLOOKUP('Données projet'!$B$9,Paramètres!$A$1:$I$89,5,0)</f>
        <v>179.15040000000005</v>
      </c>
      <c r="P50" s="14">
        <f t="shared" si="33"/>
        <v>45.133113803437347</v>
      </c>
      <c r="Q50" s="22">
        <f t="shared" si="53"/>
        <v>390.62711987432004</v>
      </c>
      <c r="R50" s="62">
        <f t="shared" si="0"/>
        <v>643.68835773851538</v>
      </c>
      <c r="S50" s="62">
        <f ca="1">AVERAGE(OFFSET($R$3,0,0,'Données projet'!$E$9+1,1))-AVERAGE(OFFSET($H$3,0,0,'Données projet'!$E$9+1,1))</f>
        <v>570.08763950759544</v>
      </c>
      <c r="T50" s="62">
        <f t="shared" si="34"/>
        <v>297.32483725004136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8.6</v>
      </c>
      <c r="AI50" s="14">
        <f>IF('Données projet'!$A$62&gt;35,AI49+AH50-AQ49,IF(A50&lt;'Données projet'!$A$62,$AF$205^A50,IF(A50='Données projet'!$A$62,'Données projet'!$B$62,AI49+AH50-AQ49)))</f>
        <v>259.20000000000005</v>
      </c>
      <c r="AJ50" s="14">
        <f>AI50*VLOOKUP('Données projet'!$B$10,Paramètres!$A$1:$I$89,3,0)*VLOOKUP('Données projet'!$B$10,Paramètres!$A$1:$I$89,5,0)</f>
        <v>206.21952000000007</v>
      </c>
      <c r="AK50" s="14">
        <f t="shared" si="35"/>
        <v>51.108584284640322</v>
      </c>
      <c r="AL50" s="22">
        <f t="shared" si="4"/>
        <v>448.17978162908202</v>
      </c>
      <c r="AM50" s="62">
        <f t="shared" si="5"/>
        <v>701.24101949327746</v>
      </c>
      <c r="AN50" s="62">
        <f ca="1">AVERAGE(OFFSET($AM$3,0,0,'Données projet'!$E$10+1,1))-AVERAGE(OFFSET($H$3,0,0,'Données projet'!$E$10+1,1))</f>
        <v>394.70330963327166</v>
      </c>
      <c r="AO50" s="62">
        <f t="shared" si="36"/>
        <v>424.06445894109982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8.6</v>
      </c>
      <c r="BD50" s="13">
        <f>IF('Données projet'!$A$88&gt;35,BD49+BC50-BL49,IF(A50&lt;'Données projet'!$A$88,$BA$205^A50,IF(A50='Données projet'!$A$88,'Données projet'!$B$88,BD49+BC50-BL49)))</f>
        <v>259.20000000000005</v>
      </c>
      <c r="BE50" s="14">
        <f>BD50*VLOOKUP('Données projet'!$B$11,Paramètres!$A$1:$I$89,3,0)*VLOOKUP('Données projet'!$B$11,Paramètres!$A$1:$I$89,5,0)</f>
        <v>190.04544000000001</v>
      </c>
      <c r="BF50" s="14">
        <f t="shared" si="37"/>
        <v>47.549998850241536</v>
      </c>
      <c r="BG50" s="22">
        <f t="shared" si="7"/>
        <v>413.81205599750405</v>
      </c>
      <c r="BH50" s="62">
        <f t="shared" si="8"/>
        <v>666.87329386169949</v>
      </c>
      <c r="BI50" s="62">
        <f ca="1">AVERAGE(OFFSET($BH$3,0,0,'Données projet'!$E$11+1,1))-AVERAGE(OFFSET($H$3,0,0,'Données projet'!$E$11+1,1))</f>
        <v>368.54671978064204</v>
      </c>
      <c r="BJ50" s="62">
        <f t="shared" si="38"/>
        <v>395.83504504492237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10.375</v>
      </c>
      <c r="BY50" s="13">
        <f>IF('Données projet'!$A$114&gt;35,BY49+BX50-CG49,IF(A50&lt;'Données projet'!$A$114,$BV$205^A50,IF(A50='Données projet'!$A$114,'Données projet'!$B$114,BY49+BX50-CG49)))</f>
        <v>218.12499999999991</v>
      </c>
      <c r="BZ50" s="14">
        <f>BY50*VLOOKUP('Données projet'!$B$12,Paramètres!$A$1:$I$89,3,0)*VLOOKUP('Données projet'!$B$12,Paramètres!$A$1:$I$89,5,0)</f>
        <v>170.13749999999993</v>
      </c>
      <c r="CA50" s="14">
        <f t="shared" si="39"/>
        <v>43.120817562072375</v>
      </c>
      <c r="CB50" s="22">
        <f t="shared" si="10"/>
        <v>371.42490308727588</v>
      </c>
      <c r="CC50" s="62">
        <f t="shared" si="11"/>
        <v>624.48614095147127</v>
      </c>
      <c r="CD50" s="62">
        <f ca="1">AVERAGE(OFFSET($CC$3,0,0,'Données projet'!$E$12+1,1))-AVERAGE(OFFSET($H$3,0,0,'Données projet'!$E$12+1,1))</f>
        <v>309.21625451786218</v>
      </c>
      <c r="CE50" s="62">
        <f t="shared" si="40"/>
        <v>302.59481222418219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6.6666666666666625</v>
      </c>
      <c r="CT50" s="13">
        <f>IF('Données projet'!$A$140&gt;35,CT49+CS50-DB49,IF(A50&lt;'Données projet'!$A$140,$CQ$205^A50,IF(A50='Données projet'!$A$140,'Données projet'!$B$140,CT49+CS50-DB49)))</f>
        <v>216.53846153846158</v>
      </c>
      <c r="CU50" s="18">
        <f>CT50*VLOOKUP('Données projet'!$B$13,Paramètres!$A$1:$I$89,3,0)*VLOOKUP('Données projet'!$B$13,Paramètres!$A$1:$I$89,5,0)</f>
        <v>206.05800000000005</v>
      </c>
      <c r="CV50" s="14">
        <f t="shared" si="41"/>
        <v>51.073211773249817</v>
      </c>
      <c r="CW50" s="22">
        <f t="shared" si="13"/>
        <v>447.8368605050768</v>
      </c>
      <c r="CX50" s="62">
        <f t="shared" si="14"/>
        <v>700.89809836927225</v>
      </c>
      <c r="CY50" s="62">
        <f ca="1">AVERAGE(OFFSET($CX$3,0,0,'Données projet'!$E$13+1,1))-AVERAGE(OFFSET($H$3,0,0,'Données projet'!$E$13+1,1))</f>
        <v>491.87038198656927</v>
      </c>
      <c r="CZ50" s="62">
        <f t="shared" si="42"/>
        <v>406.49261644949559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0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11</v>
      </c>
      <c r="DO50" s="13">
        <f>IF('Données projet'!$A$166&gt;35,DO49+DN50-DW49,IF(A50&lt;'Données projet'!$A$166,$DL$205^A50,IF(A50='Données projet'!$A$166,'Données projet'!$B$166,DO49+DN50-DW49)))</f>
        <v>198.00000000000006</v>
      </c>
      <c r="DP50" s="18">
        <f>DO50*VLOOKUP('Données projet'!$B$14,Paramètres!$A$1:$I$89,3,0)*VLOOKUP('Données projet'!$B$14,Paramètres!$A$1:$I$89,5,0)</f>
        <v>191.50560000000007</v>
      </c>
      <c r="DQ50" s="14">
        <f t="shared" si="43"/>
        <v>47.872666570685276</v>
      </c>
      <c r="DR50" s="22">
        <f t="shared" si="16"/>
        <v>416.9171476106103</v>
      </c>
      <c r="DS50" s="62">
        <f t="shared" si="17"/>
        <v>669.97838547480569</v>
      </c>
      <c r="DT50" s="62">
        <f ca="1">AVERAGE(OFFSET($DS$3,0,0,'Données projet'!$E$14+1,1))-AVERAGE(OFFSET($H$3,0,0,'Données projet'!$E$14+1,1))</f>
        <v>603.52431522262032</v>
      </c>
      <c r="DU50" s="62">
        <f t="shared" si="44"/>
        <v>313.56299786481338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projet'!$B$14,Paramètres!$A$1:$I$89,3,0)*0.475*44/12</f>
        <v>0</v>
      </c>
      <c r="EB50" s="23">
        <f>EXP(-LN(2)/25)*EB49+(1-EXP(-LN(2)/25))/(LN(2)/25)*Calculateur!DW50*Calculateur!DY50*VLOOKUP('Données projet'!$B$14,Paramètres!$A$1:$I$89,3,0)*0.475*44/12</f>
        <v>0</v>
      </c>
      <c r="EC50" s="23">
        <f>EXP(-LN(2)/2)*EC49+(1-EXP(-LN(2)/2))/(LN(2)/2)*DW50*DZ50*VLOOKUP('Données projet'!$B$14,Paramètres!$A$1:$I$89,3,0)*0.475*44/12</f>
        <v>0</v>
      </c>
      <c r="ED50" s="24">
        <f t="shared" si="18"/>
        <v>0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7.6</v>
      </c>
      <c r="EJ50" s="13">
        <f>IF('Données projet'!$A$192&gt;35,EJ49+EI50-ER49,IF(A50&lt;'Données projet'!$A$192,$EG$205^A50,IF(A50='Données projet'!$A$192,'Données projet'!$B$192,EJ49+EI50-ER49)))</f>
        <v>205.2</v>
      </c>
      <c r="EK50" s="18">
        <f>EJ50*VLOOKUP('Données projet'!$B$15,Paramètres!$A$1:$I$89,3,0)*VLOOKUP('Données projet'!$B$15,Paramètres!$A$1:$I$89,5,0)</f>
        <v>166.45823999999999</v>
      </c>
      <c r="EL50" s="14">
        <f t="shared" si="45"/>
        <v>42.295817799452642</v>
      </c>
      <c r="EM50" s="22">
        <f t="shared" si="19"/>
        <v>363.5799840007133</v>
      </c>
      <c r="EN50" s="62">
        <f t="shared" si="20"/>
        <v>616.64122186490863</v>
      </c>
      <c r="EO50" s="62">
        <f ca="1">AVERAGE(OFFSET($EN$3,0,0,'Données projet'!$E$15+1,1))-AVERAGE(OFFSET($H$3,0,0,'Données projet'!$E$15+1,1))</f>
        <v>272.69564942740931</v>
      </c>
      <c r="EP50" s="62">
        <f t="shared" si="46"/>
        <v>316.57989180609252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>
        <f>EXP(-LN(2)/35)*EV49+(1-EXP(-LN(2)/35))/(LN(2)/35)*ER50*ES50*VLOOKUP('Données projet'!$B$15,Paramètres!$A$1:$I$89,3,0)*0.475*44/12</f>
        <v>0</v>
      </c>
      <c r="EW50" s="23">
        <f>EXP(-LN(2)/25)*EW49+(1-EXP(-LN(2)/25))/(LN(2)/25)*Calculateur!ER50*Calculateur!ET50*VLOOKUP('Données projet'!$B$15,Paramètres!$A$1:$I$89,3,0)*0.475*44/12</f>
        <v>0</v>
      </c>
      <c r="EX50" s="23">
        <f>EXP(-LN(2)/2)*EX49+(1-EXP(-LN(2)/2))/(LN(2)/2)*ER50*EU50*VLOOKUP('Données projet'!$B$15,Paramètres!$A$1:$I$89,3,0)*0.475*44/12</f>
        <v>0</v>
      </c>
      <c r="EY50" s="24">
        <f t="shared" si="21"/>
        <v>0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8.3333333333333375</v>
      </c>
      <c r="FE50" s="13">
        <f>IF('Données projet'!$A$218&gt;35,FE49+FD50-FM49,IF(A50&lt;'Données projet'!$A$218,$FB$205^A50,IF(A50='Données projet'!$A$218,'Données projet'!$B$218,FE49+FD50-FM49)))</f>
        <v>273.71794871794856</v>
      </c>
      <c r="FF50" s="18">
        <f>FE50*VLOOKUP('Données projet'!$B$16,Paramètres!$A$1:$I$89,3,0)*VLOOKUP('Données projet'!$B$16,Paramètres!$A$1:$I$89,5,0)</f>
        <v>183.6099999999999</v>
      </c>
      <c r="FG50" s="14">
        <f t="shared" si="47"/>
        <v>46.12441410625339</v>
      </c>
      <c r="FH50" s="22">
        <f t="shared" si="22"/>
        <v>400.12077123505782</v>
      </c>
      <c r="FI50" s="62">
        <f t="shared" si="23"/>
        <v>653.18200909925326</v>
      </c>
      <c r="FJ50" s="62">
        <f ca="1">AVERAGE(OFFSET($FI$3,0,0,'Données projet'!$E$16+1,1))-AVERAGE(OFFSET($H$3,0,0,'Données projet'!$E$16+1,1))</f>
        <v>440.90856392064205</v>
      </c>
      <c r="FK50" s="62">
        <f t="shared" si="48"/>
        <v>373.33139300970629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>
        <f>EXP(-LN(2)/35)*FQ49+(1-EXP(-LN(2)/35))/(LN(2)/35)*FM50*FN50*VLOOKUP('Données projet'!$B$16,Paramètres!$A$1:$I$89,3,0)*0.475*44/12</f>
        <v>0</v>
      </c>
      <c r="FR50" s="23">
        <f>EXP(-LN(2)/25)*FR49+(1-EXP(-LN(2)/25))/(LN(2)/25)*Calculateur!FM50*Calculateur!FO50*VLOOKUP('Données projet'!$B$16,Paramètres!$A$1:$I$89,3,0)*0.475*44/12</f>
        <v>0</v>
      </c>
      <c r="FS50" s="23">
        <f>EXP(-LN(2)/2)*FS49+(1-EXP(-LN(2)/2))/(LN(2)/2)*FM50*FP50*VLOOKUP('Données projet'!$B$16,Paramètres!$A$1:$I$89,3,0)*0.475*44/12</f>
        <v>0</v>
      </c>
      <c r="FT50" s="24">
        <f t="shared" si="24"/>
        <v>0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70">
        <f t="shared" si="1"/>
        <v>183.33333333333334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11</v>
      </c>
      <c r="N51" s="14">
        <f>IF('Données projet'!$A$36&gt;35,N50+M51-V50,IF(A51&lt;'Données projet'!$A$36,$K$205^A51,IF(A51='Données projet'!$A$36,'Données projet'!$B$36,N50+M51-V50)))</f>
        <v>209.00000000000006</v>
      </c>
      <c r="O51" s="14">
        <f>N51*VLOOKUP('Données projet'!$B$9,Paramètres!$A$1:$I$89,3,0)*VLOOKUP('Données projet'!$B$9,Paramètres!$A$1:$I$89,5,0)</f>
        <v>189.10320000000004</v>
      </c>
      <c r="P51" s="14">
        <f t="shared" si="33"/>
        <v>47.341628542787163</v>
      </c>
      <c r="Q51" s="22">
        <f t="shared" si="53"/>
        <v>411.8080763786877</v>
      </c>
      <c r="R51" s="62">
        <f t="shared" si="0"/>
        <v>665.5679450643554</v>
      </c>
      <c r="S51" s="62">
        <f ca="1">AVERAGE(OFFSET($R$3,0,0,'Données projet'!$E$9+1,1))-AVERAGE(OFFSET($H$3,0,0,'Données projet'!$E$9+1,1))</f>
        <v>570.08763950759544</v>
      </c>
      <c r="T51" s="62">
        <f t="shared" si="34"/>
        <v>297.32483725004136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8.6</v>
      </c>
      <c r="AI51" s="14">
        <f>IF('Données projet'!$A$62&gt;35,AI50+AH51-AQ50,IF(A51&lt;'Données projet'!$A$62,$AF$205^A51,IF(A51='Données projet'!$A$62,'Données projet'!$B$62,AI50+AH51-AQ50)))</f>
        <v>267.80000000000007</v>
      </c>
      <c r="AJ51" s="14">
        <f>AI51*VLOOKUP('Données projet'!$B$10,Paramètres!$A$1:$I$89,3,0)*VLOOKUP('Données projet'!$B$10,Paramètres!$A$1:$I$89,5,0)</f>
        <v>213.06168000000005</v>
      </c>
      <c r="AK51" s="14">
        <f t="shared" si="35"/>
        <v>52.604075157965084</v>
      </c>
      <c r="AL51" s="22">
        <f t="shared" si="4"/>
        <v>462.70119023345586</v>
      </c>
      <c r="AM51" s="62">
        <f t="shared" si="5"/>
        <v>716.46105891912362</v>
      </c>
      <c r="AN51" s="62">
        <f ca="1">AVERAGE(OFFSET($AM$3,0,0,'Données projet'!$E$10+1,1))-AVERAGE(OFFSET($H$3,0,0,'Données projet'!$E$10+1,1))</f>
        <v>394.70330963327166</v>
      </c>
      <c r="AO51" s="62">
        <f t="shared" si="36"/>
        <v>424.06445894109982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8.6</v>
      </c>
      <c r="BD51" s="13">
        <f>IF('Données projet'!$A$88&gt;35,BD50+BC51-BL50,IF(A51&lt;'Données projet'!$A$88,$BA$205^A51,IF(A51='Données projet'!$A$88,'Données projet'!$B$88,BD50+BC51-BL50)))</f>
        <v>267.80000000000007</v>
      </c>
      <c r="BE51" s="14">
        <f>BD51*VLOOKUP('Données projet'!$B$11,Paramètres!$A$1:$I$89,3,0)*VLOOKUP('Données projet'!$B$11,Paramètres!$A$1:$I$89,5,0)</f>
        <v>196.35096000000004</v>
      </c>
      <c r="BF51" s="14">
        <f t="shared" si="37"/>
        <v>48.941361774933419</v>
      </c>
      <c r="BG51" s="22">
        <f t="shared" si="7"/>
        <v>427.21746042467572</v>
      </c>
      <c r="BH51" s="62">
        <f t="shared" si="8"/>
        <v>680.97732911034336</v>
      </c>
      <c r="BI51" s="62">
        <f ca="1">AVERAGE(OFFSET($BH$3,0,0,'Données projet'!$E$11+1,1))-AVERAGE(OFFSET($H$3,0,0,'Données projet'!$E$11+1,1))</f>
        <v>368.54671978064204</v>
      </c>
      <c r="BJ51" s="62">
        <f t="shared" si="38"/>
        <v>395.83504504492237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10.375</v>
      </c>
      <c r="BY51" s="13">
        <f>IF('Données projet'!$A$114&gt;35,BY50+BX51-CG50,IF(A51&lt;'Données projet'!$A$114,$BV$205^A51,IF(A51='Données projet'!$A$114,'Données projet'!$B$114,BY50+BX51-CG50)))</f>
        <v>228.49999999999991</v>
      </c>
      <c r="BZ51" s="14">
        <f>BY51*VLOOKUP('Données projet'!$B$12,Paramètres!$A$1:$I$89,3,0)*VLOOKUP('Données projet'!$B$12,Paramètres!$A$1:$I$89,5,0)</f>
        <v>178.22999999999993</v>
      </c>
      <c r="CA51" s="14">
        <f t="shared" si="39"/>
        <v>44.928167580487852</v>
      </c>
      <c r="CB51" s="22">
        <f t="shared" si="10"/>
        <v>388.66714186934951</v>
      </c>
      <c r="CC51" s="62">
        <f t="shared" si="11"/>
        <v>642.4270105550172</v>
      </c>
      <c r="CD51" s="62">
        <f ca="1">AVERAGE(OFFSET($CC$3,0,0,'Données projet'!$E$12+1,1))-AVERAGE(OFFSET($H$3,0,0,'Données projet'!$E$12+1,1))</f>
        <v>309.21625451786218</v>
      </c>
      <c r="CE51" s="62">
        <f t="shared" si="40"/>
        <v>302.59481222418219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6.6666666666666625</v>
      </c>
      <c r="CT51" s="13">
        <f>IF('Données projet'!$A$140&gt;35,CT50+CS51-DB50,IF(A51&lt;'Données projet'!$A$140,$CQ$205^A51,IF(A51='Données projet'!$A$140,'Données projet'!$B$140,CT50+CS51-DB50)))</f>
        <v>223.20512820512823</v>
      </c>
      <c r="CU51" s="18">
        <f>CT51*VLOOKUP('Données projet'!$B$13,Paramètres!$A$1:$I$89,3,0)*VLOOKUP('Données projet'!$B$13,Paramètres!$A$1:$I$89,5,0)</f>
        <v>212.40200000000004</v>
      </c>
      <c r="CV51" s="14">
        <f t="shared" si="41"/>
        <v>52.460135187397903</v>
      </c>
      <c r="CW51" s="22">
        <f t="shared" si="13"/>
        <v>461.3015521180514</v>
      </c>
      <c r="CX51" s="62">
        <f t="shared" si="14"/>
        <v>715.0614208037191</v>
      </c>
      <c r="CY51" s="62">
        <f ca="1">AVERAGE(OFFSET($CX$3,0,0,'Données projet'!$E$13+1,1))-AVERAGE(OFFSET($H$3,0,0,'Données projet'!$E$13+1,1))</f>
        <v>491.87038198656927</v>
      </c>
      <c r="CZ51" s="62">
        <f t="shared" si="42"/>
        <v>406.49261644949559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0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11</v>
      </c>
      <c r="DO51" s="13">
        <f>IF('Données projet'!$A$166&gt;35,DO50+DN51-DW50,IF(A51&lt;'Données projet'!$A$166,$DL$205^A51,IF(A51='Données projet'!$A$166,'Données projet'!$B$166,DO50+DN51-DW50)))</f>
        <v>209.00000000000006</v>
      </c>
      <c r="DP51" s="18">
        <f>DO51*VLOOKUP('Données projet'!$B$14,Paramètres!$A$1:$I$89,3,0)*VLOOKUP('Données projet'!$B$14,Paramètres!$A$1:$I$89,5,0)</f>
        <v>202.14480000000006</v>
      </c>
      <c r="DQ51" s="14">
        <f t="shared" si="43"/>
        <v>50.215236821738628</v>
      </c>
      <c r="DR51" s="22">
        <f t="shared" si="16"/>
        <v>439.52706413119489</v>
      </c>
      <c r="DS51" s="62">
        <f t="shared" si="17"/>
        <v>693.28693281686265</v>
      </c>
      <c r="DT51" s="62">
        <f ca="1">AVERAGE(OFFSET($DS$3,0,0,'Données projet'!$E$14+1,1))-AVERAGE(OFFSET($H$3,0,0,'Données projet'!$E$14+1,1))</f>
        <v>603.52431522262032</v>
      </c>
      <c r="DU51" s="62">
        <f t="shared" si="44"/>
        <v>313.56299786481338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projet'!$B$14,Paramètres!$A$1:$I$89,3,0)*0.475*44/12</f>
        <v>0</v>
      </c>
      <c r="EB51" s="23">
        <f>EXP(-LN(2)/25)*EB50+(1-EXP(-LN(2)/25))/(LN(2)/25)*Calculateur!DW51*Calculateur!DY51*VLOOKUP('Données projet'!$B$14,Paramètres!$A$1:$I$89,3,0)*0.475*44/12</f>
        <v>0</v>
      </c>
      <c r="EC51" s="23">
        <f>EXP(-LN(2)/2)*EC50+(1-EXP(-LN(2)/2))/(LN(2)/2)*DW51*DZ51*VLOOKUP('Données projet'!$B$14,Paramètres!$A$1:$I$89,3,0)*0.475*44/12</f>
        <v>0</v>
      </c>
      <c r="ED51" s="24">
        <f t="shared" si="18"/>
        <v>0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7.6</v>
      </c>
      <c r="EJ51" s="13">
        <f>IF('Données projet'!$A$192&gt;35,EJ50+EI51-ER50,IF(A51&lt;'Données projet'!$A$192,$EG$205^A51,IF(A51='Données projet'!$A$192,'Données projet'!$B$192,EJ50+EI51-ER50)))</f>
        <v>212.79999999999998</v>
      </c>
      <c r="EK51" s="18">
        <f>EJ51*VLOOKUP('Données projet'!$B$15,Paramètres!$A$1:$I$89,3,0)*VLOOKUP('Données projet'!$B$15,Paramètres!$A$1:$I$89,5,0)</f>
        <v>172.62335999999999</v>
      </c>
      <c r="EL51" s="14">
        <f t="shared" si="45"/>
        <v>43.67704427998607</v>
      </c>
      <c r="EM51" s="22">
        <f t="shared" si="19"/>
        <v>376.72320412097571</v>
      </c>
      <c r="EN51" s="62">
        <f t="shared" si="20"/>
        <v>630.48307280664335</v>
      </c>
      <c r="EO51" s="62">
        <f ca="1">AVERAGE(OFFSET($EN$3,0,0,'Données projet'!$E$15+1,1))-AVERAGE(OFFSET($H$3,0,0,'Données projet'!$E$15+1,1))</f>
        <v>272.69564942740931</v>
      </c>
      <c r="EP51" s="62">
        <f t="shared" si="46"/>
        <v>316.57989180609252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>
        <f>EXP(-LN(2)/35)*EV50+(1-EXP(-LN(2)/35))/(LN(2)/35)*ER51*ES51*VLOOKUP('Données projet'!$B$15,Paramètres!$A$1:$I$89,3,0)*0.475*44/12</f>
        <v>0</v>
      </c>
      <c r="EW51" s="23">
        <f>EXP(-LN(2)/25)*EW50+(1-EXP(-LN(2)/25))/(LN(2)/25)*Calculateur!ER51*Calculateur!ET51*VLOOKUP('Données projet'!$B$15,Paramètres!$A$1:$I$89,3,0)*0.475*44/12</f>
        <v>0</v>
      </c>
      <c r="EX51" s="23">
        <f>EXP(-LN(2)/2)*EX50+(1-EXP(-LN(2)/2))/(LN(2)/2)*ER51*EU51*VLOOKUP('Données projet'!$B$15,Paramètres!$A$1:$I$89,3,0)*0.475*44/12</f>
        <v>0</v>
      </c>
      <c r="EY51" s="24">
        <f t="shared" si="21"/>
        <v>0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8.3333333333333375</v>
      </c>
      <c r="FE51" s="13">
        <f>IF('Données projet'!$A$218&gt;35,FE50+FD51-FM50,IF(A51&lt;'Données projet'!$A$218,$FB$205^A51,IF(A51='Données projet'!$A$218,'Données projet'!$B$218,FE50+FD51-FM50)))</f>
        <v>282.05128205128187</v>
      </c>
      <c r="FF51" s="18">
        <f>FE51*VLOOKUP('Données projet'!$B$16,Paramètres!$A$1:$I$89,3,0)*VLOOKUP('Données projet'!$B$16,Paramètres!$A$1:$I$89,5,0)</f>
        <v>189.19999999999987</v>
      </c>
      <c r="FG51" s="14">
        <f t="shared" si="47"/>
        <v>47.363040799609699</v>
      </c>
      <c r="FH51" s="22">
        <f t="shared" si="22"/>
        <v>412.01396272598663</v>
      </c>
      <c r="FI51" s="62">
        <f t="shared" si="23"/>
        <v>665.77383141165433</v>
      </c>
      <c r="FJ51" s="62">
        <f ca="1">AVERAGE(OFFSET($FI$3,0,0,'Données projet'!$E$16+1,1))-AVERAGE(OFFSET($H$3,0,0,'Données projet'!$E$16+1,1))</f>
        <v>440.90856392064205</v>
      </c>
      <c r="FK51" s="62">
        <f t="shared" si="48"/>
        <v>373.33139300970629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>
        <f>EXP(-LN(2)/35)*FQ50+(1-EXP(-LN(2)/35))/(LN(2)/35)*FM51*FN51*VLOOKUP('Données projet'!$B$16,Paramètres!$A$1:$I$89,3,0)*0.475*44/12</f>
        <v>0</v>
      </c>
      <c r="FR51" s="23">
        <f>EXP(-LN(2)/25)*FR50+(1-EXP(-LN(2)/25))/(LN(2)/25)*Calculateur!FM51*Calculateur!FO51*VLOOKUP('Données projet'!$B$16,Paramètres!$A$1:$I$89,3,0)*0.475*44/12</f>
        <v>0</v>
      </c>
      <c r="FS51" s="23">
        <f>EXP(-LN(2)/2)*FS50+(1-EXP(-LN(2)/2))/(LN(2)/2)*FM51*FP51*VLOOKUP('Données projet'!$B$16,Paramètres!$A$1:$I$89,3,0)*0.475*44/12</f>
        <v>0</v>
      </c>
      <c r="FT51" s="24">
        <f t="shared" si="24"/>
        <v>0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70">
        <f t="shared" si="1"/>
        <v>183.33333333333334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11</v>
      </c>
      <c r="N52" s="14">
        <f>IF('Données projet'!$A$36&gt;35,N51+M52-V51,IF(A52&lt;'Données projet'!$A$36,$K$205^A52,IF(A52='Données projet'!$A$36,'Données projet'!$B$36,N51+M52-V51)))</f>
        <v>220.00000000000006</v>
      </c>
      <c r="O52" s="14">
        <f>N52*VLOOKUP('Données projet'!$B$9,Paramètres!$A$1:$I$89,3,0)*VLOOKUP('Données projet'!$B$9,Paramètres!$A$1:$I$89,5,0)</f>
        <v>199.05600000000004</v>
      </c>
      <c r="P52" s="14">
        <f t="shared" si="33"/>
        <v>49.536648006253934</v>
      </c>
      <c r="Q52" s="22">
        <f t="shared" si="53"/>
        <v>432.96552861089231</v>
      </c>
      <c r="R52" s="62">
        <f t="shared" si="0"/>
        <v>687.41190843518427</v>
      </c>
      <c r="S52" s="62">
        <f ca="1">AVERAGE(OFFSET($R$3,0,0,'Données projet'!$E$9+1,1))-AVERAGE(OFFSET($H$3,0,0,'Données projet'!$E$9+1,1))</f>
        <v>570.08763950759544</v>
      </c>
      <c r="T52" s="62">
        <f t="shared" si="34"/>
        <v>297.32483725004136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8.6</v>
      </c>
      <c r="AI52" s="14">
        <f>IF('Données projet'!$A$62&gt;35,AI51+AH52-AQ51,IF(A52&lt;'Données projet'!$A$62,$AF$205^A52,IF(A52='Données projet'!$A$62,'Données projet'!$B$62,AI51+AH52-AQ51)))</f>
        <v>276.40000000000009</v>
      </c>
      <c r="AJ52" s="14">
        <f>AI52*VLOOKUP('Données projet'!$B$10,Paramètres!$A$1:$I$89,3,0)*VLOOKUP('Données projet'!$B$10,Paramètres!$A$1:$I$89,5,0)</f>
        <v>219.90384000000009</v>
      </c>
      <c r="AK52" s="14">
        <f t="shared" si="35"/>
        <v>54.093985287951313</v>
      </c>
      <c r="AL52" s="22">
        <f t="shared" si="4"/>
        <v>477.212879043182</v>
      </c>
      <c r="AM52" s="62">
        <f t="shared" si="5"/>
        <v>731.65925886747391</v>
      </c>
      <c r="AN52" s="62">
        <f ca="1">AVERAGE(OFFSET($AM$3,0,0,'Données projet'!$E$10+1,1))-AVERAGE(OFFSET($H$3,0,0,'Données projet'!$E$10+1,1))</f>
        <v>394.70330963327166</v>
      </c>
      <c r="AO52" s="62">
        <f t="shared" si="36"/>
        <v>424.06445894109982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8.6</v>
      </c>
      <c r="BD52" s="13">
        <f>IF('Données projet'!$A$88&gt;35,BD51+BC52-BL51,IF(A52&lt;'Données projet'!$A$88,$BA$205^A52,IF(A52='Données projet'!$A$88,'Données projet'!$B$88,BD51+BC52-BL51)))</f>
        <v>276.40000000000009</v>
      </c>
      <c r="BE52" s="14">
        <f>BD52*VLOOKUP('Données projet'!$B$11,Paramètres!$A$1:$I$89,3,0)*VLOOKUP('Données projet'!$B$11,Paramètres!$A$1:$I$89,5,0)</f>
        <v>202.65648000000007</v>
      </c>
      <c r="BF52" s="14">
        <f t="shared" si="37"/>
        <v>50.327532531948449</v>
      </c>
      <c r="BG52" s="22">
        <f t="shared" si="7"/>
        <v>440.61382182647702</v>
      </c>
      <c r="BH52" s="62">
        <f t="shared" si="8"/>
        <v>695.06020165076893</v>
      </c>
      <c r="BI52" s="62">
        <f ca="1">AVERAGE(OFFSET($BH$3,0,0,'Données projet'!$E$11+1,1))-AVERAGE(OFFSET($H$3,0,0,'Données projet'!$E$11+1,1))</f>
        <v>368.54671978064204</v>
      </c>
      <c r="BJ52" s="62">
        <f t="shared" si="38"/>
        <v>395.83504504492237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10.375</v>
      </c>
      <c r="BY52" s="13">
        <f>IF('Données projet'!$A$114&gt;35,BY51+BX52-CG51,IF(A52&lt;'Données projet'!$A$114,$BV$205^A52,IF(A52='Données projet'!$A$114,'Données projet'!$B$114,BY51+BX52-CG51)))</f>
        <v>238.87499999999991</v>
      </c>
      <c r="BZ52" s="14">
        <f>BY52*VLOOKUP('Données projet'!$B$12,Paramètres!$A$1:$I$89,3,0)*VLOOKUP('Données projet'!$B$12,Paramètres!$A$1:$I$89,5,0)</f>
        <v>186.32249999999993</v>
      </c>
      <c r="CA52" s="14">
        <f t="shared" si="39"/>
        <v>46.725987276254116</v>
      </c>
      <c r="CB52" s="22">
        <f t="shared" si="10"/>
        <v>405.8927820061424</v>
      </c>
      <c r="CC52" s="62">
        <f t="shared" si="11"/>
        <v>660.33916183043436</v>
      </c>
      <c r="CD52" s="62">
        <f ca="1">AVERAGE(OFFSET($CC$3,0,0,'Données projet'!$E$12+1,1))-AVERAGE(OFFSET($H$3,0,0,'Données projet'!$E$12+1,1))</f>
        <v>309.21625451786218</v>
      </c>
      <c r="CE52" s="62">
        <f t="shared" si="40"/>
        <v>302.59481222418219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6.6666666666666625</v>
      </c>
      <c r="CT52" s="13">
        <f>IF('Données projet'!$A$140&gt;35,CT51+CS52-DB51,IF(A52&lt;'Données projet'!$A$140,$CQ$205^A52,IF(A52='Données projet'!$A$140,'Données projet'!$B$140,CT51+CS52-DB51)))</f>
        <v>229.87179487179489</v>
      </c>
      <c r="CU52" s="18">
        <f>CT52*VLOOKUP('Données projet'!$B$13,Paramètres!$A$1:$I$89,3,0)*VLOOKUP('Données projet'!$B$13,Paramètres!$A$1:$I$89,5,0)</f>
        <v>218.74600000000004</v>
      </c>
      <c r="CV52" s="14">
        <f t="shared" si="41"/>
        <v>53.842244408028719</v>
      </c>
      <c r="CW52" s="22">
        <f t="shared" si="13"/>
        <v>474.75785901065007</v>
      </c>
      <c r="CX52" s="62">
        <f t="shared" si="14"/>
        <v>729.20423883494209</v>
      </c>
      <c r="CY52" s="62">
        <f ca="1">AVERAGE(OFFSET($CX$3,0,0,'Données projet'!$E$13+1,1))-AVERAGE(OFFSET($H$3,0,0,'Données projet'!$E$13+1,1))</f>
        <v>491.87038198656927</v>
      </c>
      <c r="CZ52" s="62">
        <f t="shared" si="42"/>
        <v>406.49261644949559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0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11</v>
      </c>
      <c r="DO52" s="13">
        <f>IF('Données projet'!$A$166&gt;35,DO51+DN52-DW51,IF(A52&lt;'Données projet'!$A$166,$DL$205^A52,IF(A52='Données projet'!$A$166,'Données projet'!$B$166,DO51+DN52-DW51)))</f>
        <v>220.00000000000006</v>
      </c>
      <c r="DP52" s="18">
        <f>DO52*VLOOKUP('Données projet'!$B$14,Paramètres!$A$1:$I$89,3,0)*VLOOKUP('Données projet'!$B$14,Paramètres!$A$1:$I$89,5,0)</f>
        <v>212.78400000000005</v>
      </c>
      <c r="DQ52" s="14">
        <f t="shared" si="43"/>
        <v>52.543492641808108</v>
      </c>
      <c r="DR52" s="22">
        <f t="shared" si="16"/>
        <v>462.11204968448243</v>
      </c>
      <c r="DS52" s="62">
        <f t="shared" si="17"/>
        <v>716.55842950877445</v>
      </c>
      <c r="DT52" s="62">
        <f ca="1">AVERAGE(OFFSET($DS$3,0,0,'Données projet'!$E$14+1,1))-AVERAGE(OFFSET($H$3,0,0,'Données projet'!$E$14+1,1))</f>
        <v>603.52431522262032</v>
      </c>
      <c r="DU52" s="62">
        <f t="shared" si="44"/>
        <v>313.56299786481338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projet'!$B$14,Paramètres!$A$1:$I$89,3,0)*0.475*44/12</f>
        <v>0</v>
      </c>
      <c r="EB52" s="23">
        <f>EXP(-LN(2)/25)*EB51+(1-EXP(-LN(2)/25))/(LN(2)/25)*Calculateur!DW52*Calculateur!DY52*VLOOKUP('Données projet'!$B$14,Paramètres!$A$1:$I$89,3,0)*0.475*44/12</f>
        <v>0</v>
      </c>
      <c r="EC52" s="23">
        <f>EXP(-LN(2)/2)*EC51+(1-EXP(-LN(2)/2))/(LN(2)/2)*DW52*DZ52*VLOOKUP('Données projet'!$B$14,Paramètres!$A$1:$I$89,3,0)*0.475*44/12</f>
        <v>0</v>
      </c>
      <c r="ED52" s="24">
        <f t="shared" si="18"/>
        <v>0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7.6</v>
      </c>
      <c r="EJ52" s="13">
        <f>IF('Données projet'!$A$192&gt;35,EJ51+EI52-ER51,IF(A52&lt;'Données projet'!$A$192,$EG$205^A52,IF(A52='Données projet'!$A$192,'Données projet'!$B$192,EJ51+EI52-ER51)))</f>
        <v>220.39999999999998</v>
      </c>
      <c r="EK52" s="18">
        <f>EJ52*VLOOKUP('Données projet'!$B$15,Paramètres!$A$1:$I$89,3,0)*VLOOKUP('Données projet'!$B$15,Paramètres!$A$1:$I$89,5,0)</f>
        <v>178.78847999999999</v>
      </c>
      <c r="EL52" s="14">
        <f t="shared" si="45"/>
        <v>45.052539436241446</v>
      </c>
      <c r="EM52" s="22">
        <f t="shared" si="19"/>
        <v>389.85644218478711</v>
      </c>
      <c r="EN52" s="62">
        <f t="shared" si="20"/>
        <v>644.30282200907914</v>
      </c>
      <c r="EO52" s="62">
        <f ca="1">AVERAGE(OFFSET($EN$3,0,0,'Données projet'!$E$15+1,1))-AVERAGE(OFFSET($H$3,0,0,'Données projet'!$E$15+1,1))</f>
        <v>272.69564942740931</v>
      </c>
      <c r="EP52" s="62">
        <f t="shared" si="46"/>
        <v>316.57989180609252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>
        <f>EXP(-LN(2)/35)*EV51+(1-EXP(-LN(2)/35))/(LN(2)/35)*ER52*ES52*VLOOKUP('Données projet'!$B$15,Paramètres!$A$1:$I$89,3,0)*0.475*44/12</f>
        <v>0</v>
      </c>
      <c r="EW52" s="23">
        <f>EXP(-LN(2)/25)*EW51+(1-EXP(-LN(2)/25))/(LN(2)/25)*Calculateur!ER52*Calculateur!ET52*VLOOKUP('Données projet'!$B$15,Paramètres!$A$1:$I$89,3,0)*0.475*44/12</f>
        <v>0</v>
      </c>
      <c r="EX52" s="23">
        <f>EXP(-LN(2)/2)*EX51+(1-EXP(-LN(2)/2))/(LN(2)/2)*ER52*EU52*VLOOKUP('Données projet'!$B$15,Paramètres!$A$1:$I$89,3,0)*0.475*44/12</f>
        <v>0</v>
      </c>
      <c r="EY52" s="24">
        <f t="shared" si="21"/>
        <v>0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8.3333333333333375</v>
      </c>
      <c r="FE52" s="13">
        <f>IF('Données projet'!$A$218&gt;35,FE51+FD52-FM51,IF(A52&lt;'Données projet'!$A$218,$FB$205^A52,IF(A52='Données projet'!$A$218,'Données projet'!$B$218,FE51+FD52-FM51)))</f>
        <v>290.38461538461519</v>
      </c>
      <c r="FF52" s="18">
        <f>FE52*VLOOKUP('Données projet'!$B$16,Paramètres!$A$1:$I$89,3,0)*VLOOKUP('Données projet'!$B$16,Paramètres!$A$1:$I$89,5,0)</f>
        <v>194.78999999999988</v>
      </c>
      <c r="FG52" s="14">
        <f t="shared" si="47"/>
        <v>48.597414405805594</v>
      </c>
      <c r="FH52" s="22">
        <f t="shared" si="22"/>
        <v>423.89974675677786</v>
      </c>
      <c r="FI52" s="62">
        <f t="shared" si="23"/>
        <v>678.34612658106983</v>
      </c>
      <c r="FJ52" s="62">
        <f ca="1">AVERAGE(OFFSET($FI$3,0,0,'Données projet'!$E$16+1,1))-AVERAGE(OFFSET($H$3,0,0,'Données projet'!$E$16+1,1))</f>
        <v>440.90856392064205</v>
      </c>
      <c r="FK52" s="62">
        <f t="shared" si="48"/>
        <v>373.33139300970629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>
        <f>EXP(-LN(2)/35)*FQ51+(1-EXP(-LN(2)/35))/(LN(2)/35)*FM52*FN52*VLOOKUP('Données projet'!$B$16,Paramètres!$A$1:$I$89,3,0)*0.475*44/12</f>
        <v>0</v>
      </c>
      <c r="FR52" s="23">
        <f>EXP(-LN(2)/25)*FR51+(1-EXP(-LN(2)/25))/(LN(2)/25)*Calculateur!FM52*Calculateur!FO52*VLOOKUP('Données projet'!$B$16,Paramètres!$A$1:$I$89,3,0)*0.475*44/12</f>
        <v>0</v>
      </c>
      <c r="FS52" s="23">
        <f>EXP(-LN(2)/2)*FS51+(1-EXP(-LN(2)/2))/(LN(2)/2)*FM52*FP52*VLOOKUP('Données projet'!$B$16,Paramètres!$A$1:$I$89,3,0)*0.475*44/12</f>
        <v>0</v>
      </c>
      <c r="FT52" s="24">
        <f t="shared" si="24"/>
        <v>0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70">
        <f t="shared" si="1"/>
        <v>183.33333333333334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231</v>
      </c>
      <c r="L53" s="13">
        <f>VLOOKUP(A53,'Données projet'!$A$35:$I$55,9,0)</f>
        <v>11</v>
      </c>
      <c r="M53" s="13">
        <f t="array" ref="M53">INDEX(L:L,MIN(IF(ISNUMBER(L53:L249),ROW(L53:L249),"")))</f>
        <v>11</v>
      </c>
      <c r="N53" s="14">
        <f>IF('Données projet'!$A$36&gt;35,N52+M53-V52,IF(A53&lt;'Données projet'!$A$36,$K$205^A53,IF(A53='Données projet'!$A$36,'Données projet'!$B$36,N52+M53-V52)))</f>
        <v>231.00000000000006</v>
      </c>
      <c r="O53" s="14">
        <f>N53*VLOOKUP('Données projet'!$B$9,Paramètres!$A$1:$I$89,3,0)*VLOOKUP('Données projet'!$B$9,Paramètres!$A$1:$I$89,5,0)</f>
        <v>209.00880000000004</v>
      </c>
      <c r="P53" s="14">
        <f t="shared" si="33"/>
        <v>51.718923953824252</v>
      </c>
      <c r="Q53" s="22">
        <f t="shared" si="53"/>
        <v>454.10078588624395</v>
      </c>
      <c r="R53" s="62">
        <f t="shared" si="0"/>
        <v>709.22176741571411</v>
      </c>
      <c r="S53" s="62">
        <f ca="1">AVERAGE(OFFSET($R$3,0,0,'Données projet'!$E$9+1,1))-AVERAGE(OFFSET($H$3,0,0,'Données projet'!$E$9+1,1))</f>
        <v>570.08763950759544</v>
      </c>
      <c r="T53" s="62">
        <f t="shared" si="34"/>
        <v>297.32483725004136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285</v>
      </c>
      <c r="AG53" s="13">
        <f>VLOOKUP(A53,'Données projet'!$A$61:$I$81,9,0)</f>
        <v>8.6</v>
      </c>
      <c r="AH53" s="13">
        <f t="array" ref="AH53">INDEX(AG:AG,MIN(IF(ISNUMBER(AG53:AG249),ROW(AG53:AG249),"")))</f>
        <v>8.6</v>
      </c>
      <c r="AI53" s="14">
        <f>IF('Données projet'!$A$62&gt;35,AI52+AH53-AQ52,IF(A53&lt;'Données projet'!$A$62,$AF$205^A53,IF(A53='Données projet'!$A$62,'Données projet'!$B$62,AI52+AH53-AQ52)))</f>
        <v>285.00000000000011</v>
      </c>
      <c r="AJ53" s="14">
        <f>AI53*VLOOKUP('Données projet'!$B$10,Paramètres!$A$1:$I$89,3,0)*VLOOKUP('Données projet'!$B$10,Paramètres!$A$1:$I$89,5,0)</f>
        <v>226.74600000000009</v>
      </c>
      <c r="AK53" s="14">
        <f t="shared" si="35"/>
        <v>55.578508240245966</v>
      </c>
      <c r="AL53" s="22">
        <f t="shared" si="4"/>
        <v>491.71518518509515</v>
      </c>
      <c r="AM53" s="62">
        <f t="shared" si="5"/>
        <v>746.83616671456525</v>
      </c>
      <c r="AN53" s="62">
        <f ca="1">AVERAGE(OFFSET($AM$3,0,0,'Données projet'!$E$10+1,1))-AVERAGE(OFFSET($H$3,0,0,'Données projet'!$E$10+1,1))</f>
        <v>394.70330963327166</v>
      </c>
      <c r="AO53" s="62">
        <f t="shared" si="36"/>
        <v>424.06445894109982</v>
      </c>
      <c r="AP53" s="16">
        <f>IF(ISNA(VLOOKUP(A53,'Données projet'!$A$61:$I$81,3,0)),0,VLOOKUP(A53,'Données projet'!$A$61:$I$81,3,0))</f>
        <v>4</v>
      </c>
      <c r="AQ53" s="16">
        <f>IF(ISNA(VLOOKUP(A53,'Données projet'!$A$61:$I$81,4,0)),0,VLOOKUP(A53,'Données projet'!$A$61:$I$81,4,0))</f>
        <v>43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285</v>
      </c>
      <c r="BB53" s="13">
        <f>VLOOKUP(A53,'Données projet'!$A$87:$I$107,9,0)</f>
        <v>8.6</v>
      </c>
      <c r="BC53" s="13">
        <f t="array" ref="BC53">INDEX(BB:BB,MIN(IF(ISNUMBER(BB53:BB249),ROW(BB53:BB249),"")))</f>
        <v>8.6</v>
      </c>
      <c r="BD53" s="13">
        <f>IF('Données projet'!$A$88&gt;35,BD52+BC53-BL52,IF(A53&lt;'Données projet'!$A$88,$BA$205^A53,IF(A53='Données projet'!$A$88,'Données projet'!$B$88,BD52+BC53-BL52)))</f>
        <v>285.00000000000011</v>
      </c>
      <c r="BE53" s="14">
        <f>BD53*VLOOKUP('Données projet'!$B$11,Paramètres!$A$1:$I$89,3,0)*VLOOKUP('Données projet'!$B$11,Paramètres!$A$1:$I$89,5,0)</f>
        <v>208.96200000000007</v>
      </c>
      <c r="BF53" s="14">
        <f t="shared" si="37"/>
        <v>51.708691209356424</v>
      </c>
      <c r="BG53" s="22">
        <f t="shared" si="7"/>
        <v>454.00145385629588</v>
      </c>
      <c r="BH53" s="62">
        <f t="shared" si="8"/>
        <v>709.12243538576604</v>
      </c>
      <c r="BI53" s="62">
        <f ca="1">AVERAGE(OFFSET($BH$3,0,0,'Données projet'!$E$11+1,1))-AVERAGE(OFFSET($H$3,0,0,'Données projet'!$E$11+1,1))</f>
        <v>368.54671978064204</v>
      </c>
      <c r="BJ53" s="62">
        <f t="shared" si="38"/>
        <v>395.83504504492237</v>
      </c>
      <c r="BK53" s="16">
        <f>IF(ISNA(VLOOKUP(A53,'Données projet'!$A$87:$I$107,3,0)),0,VLOOKUP(A53,'Données projet'!$A$87:$I$107,3,0))</f>
        <v>4</v>
      </c>
      <c r="BL53" s="16">
        <f>IF(ISNA(VLOOKUP(A53,'Données projet'!$A$87:$I$107,4,0)),0,VLOOKUP(A53,'Données projet'!$A$87:$I$107,4,0))</f>
        <v>43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10.375</v>
      </c>
      <c r="BY53" s="13">
        <f>IF('Données projet'!$A$114&gt;35,BY52+BX53-CG52,IF(A53&lt;'Données projet'!$A$114,$BV$205^A53,IF(A53='Données projet'!$A$114,'Données projet'!$B$114,BY52+BX53-CG52)))</f>
        <v>249.24999999999991</v>
      </c>
      <c r="BZ53" s="14">
        <f>BY53*VLOOKUP('Données projet'!$B$12,Paramètres!$A$1:$I$89,3,0)*VLOOKUP('Données projet'!$B$12,Paramètres!$A$1:$I$89,5,0)</f>
        <v>194.41499999999994</v>
      </c>
      <c r="CA53" s="14">
        <f t="shared" si="39"/>
        <v>48.514737888684927</v>
      </c>
      <c r="CB53" s="22">
        <f t="shared" si="10"/>
        <v>423.10262682279273</v>
      </c>
      <c r="CC53" s="62">
        <f t="shared" si="11"/>
        <v>678.22360835226277</v>
      </c>
      <c r="CD53" s="62">
        <f ca="1">AVERAGE(OFFSET($CC$3,0,0,'Données projet'!$E$12+1,1))-AVERAGE(OFFSET($H$3,0,0,'Données projet'!$E$12+1,1))</f>
        <v>309.21625451786218</v>
      </c>
      <c r="CE53" s="62">
        <f t="shared" si="40"/>
        <v>302.59481222418219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236.53846153846152</v>
      </c>
      <c r="CR53" s="13">
        <f>VLOOKUP(A53,'Données projet'!$A$139:$I$159,9,0)</f>
        <v>6.6666666666666625</v>
      </c>
      <c r="CS53" s="13">
        <f t="array" ref="CS53">INDEX(CR:CR,MIN(IF(ISNUMBER(CR53:CR249),ROW(CR53:CR249),"")))</f>
        <v>6.6666666666666625</v>
      </c>
      <c r="CT53" s="13">
        <f>IF('Données projet'!$A$140&gt;35,CT52+CS53-DB52,IF(A53&lt;'Données projet'!$A$140,$CQ$205^A53,IF(A53='Données projet'!$A$140,'Données projet'!$B$140,CT52+CS53-DB52)))</f>
        <v>236.53846153846155</v>
      </c>
      <c r="CU53" s="18">
        <f>CT53*VLOOKUP('Données projet'!$B$13,Paramètres!$A$1:$I$89,3,0)*VLOOKUP('Données projet'!$B$13,Paramètres!$A$1:$I$89,5,0)</f>
        <v>225.09000000000003</v>
      </c>
      <c r="CV53" s="14">
        <f t="shared" si="41"/>
        <v>55.21969508796591</v>
      </c>
      <c r="CW53" s="22">
        <f t="shared" si="13"/>
        <v>488.20605227820738</v>
      </c>
      <c r="CX53" s="62">
        <f t="shared" si="14"/>
        <v>743.32703380767748</v>
      </c>
      <c r="CY53" s="62">
        <f ca="1">AVERAGE(OFFSET($CX$3,0,0,'Données projet'!$E$13+1,1))-AVERAGE(OFFSET($H$3,0,0,'Données projet'!$E$13+1,1))</f>
        <v>491.87038198656927</v>
      </c>
      <c r="CZ53" s="62">
        <f t="shared" si="42"/>
        <v>406.49261644949559</v>
      </c>
      <c r="DA53" s="16">
        <f>IF(ISNA(VLOOKUP(A53,'Données projet'!$A$139:$I$159,3,0)),0,VLOOKUP(A53,'Données projet'!$A$139:$I$159,3,0))</f>
        <v>4</v>
      </c>
      <c r="DB53" s="16">
        <f>IF(ISNA(VLOOKUP(A53,'Données projet'!$A$139:$I$159,4,0)),0,VLOOKUP(A53,'Données projet'!$A$139:$I$159,4,0))</f>
        <v>41.025641025641022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0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>
        <f>VLOOKUP(A53,'Données projet'!$A$165:$I$185,2,0)</f>
        <v>231</v>
      </c>
      <c r="DM53" s="13">
        <f>VLOOKUP(A53,'Données projet'!$A$165:$I$185,9,0)</f>
        <v>11</v>
      </c>
      <c r="DN53" s="13">
        <f t="array" ref="DN53">INDEX(DM:DM,MIN(IF(ISNUMBER(DM53:DM249),ROW(DM53:DM249),"")))</f>
        <v>11</v>
      </c>
      <c r="DO53" s="13">
        <f>IF('Données projet'!$A$166&gt;35,DO52+DN53-DW52,IF(A53&lt;'Données projet'!$A$166,$DL$205^A53,IF(A53='Données projet'!$A$166,'Données projet'!$B$166,DO52+DN53-DW52)))</f>
        <v>231.00000000000006</v>
      </c>
      <c r="DP53" s="18">
        <f>DO53*VLOOKUP('Données projet'!$B$14,Paramètres!$A$1:$I$89,3,0)*VLOOKUP('Données projet'!$B$14,Paramètres!$A$1:$I$89,5,0)</f>
        <v>223.42320000000004</v>
      </c>
      <c r="DQ53" s="14">
        <f t="shared" si="43"/>
        <v>54.858231422257631</v>
      </c>
      <c r="DR53" s="22">
        <f t="shared" si="16"/>
        <v>484.67349306043207</v>
      </c>
      <c r="DS53" s="62">
        <f t="shared" si="17"/>
        <v>739.79447458990217</v>
      </c>
      <c r="DT53" s="62">
        <f ca="1">AVERAGE(OFFSET($DS$3,0,0,'Données projet'!$E$14+1,1))-AVERAGE(OFFSET($H$3,0,0,'Données projet'!$E$14+1,1))</f>
        <v>603.52431522262032</v>
      </c>
      <c r="DU53" s="62">
        <f t="shared" si="44"/>
        <v>313.56299786481338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projet'!$B$14,Paramètres!$A$1:$I$89,3,0)*0.475*44/12</f>
        <v>0</v>
      </c>
      <c r="EB53" s="23">
        <f>EXP(-LN(2)/25)*EB52+(1-EXP(-LN(2)/25))/(LN(2)/25)*Calculateur!DW53*Calculateur!DY53*VLOOKUP('Données projet'!$B$14,Paramètres!$A$1:$I$89,3,0)*0.475*44/12</f>
        <v>0</v>
      </c>
      <c r="EC53" s="23">
        <f>EXP(-LN(2)/2)*EC52+(1-EXP(-LN(2)/2))/(LN(2)/2)*DW53*DZ53*VLOOKUP('Données projet'!$B$14,Paramètres!$A$1:$I$89,3,0)*0.475*44/12</f>
        <v>0</v>
      </c>
      <c r="ED53" s="24">
        <f t="shared" si="18"/>
        <v>0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>
        <f>VLOOKUP(A53,'Données projet'!$A$191:$I$211,2,0)</f>
        <v>228</v>
      </c>
      <c r="EH53" s="13">
        <f>VLOOKUP(A53,'Données projet'!$A$191:$I$211,9,0)</f>
        <v>7.6</v>
      </c>
      <c r="EI53" s="13">
        <f t="array" ref="EI53">INDEX(EH:EH,MIN(IF(ISNUMBER(EH53:EH249),ROW(EH53:EH249),"")))</f>
        <v>7.6</v>
      </c>
      <c r="EJ53" s="13">
        <f>IF('Données projet'!$A$192&gt;35,EJ52+EI53-ER52,IF(A53&lt;'Données projet'!$A$192,$EG$205^A53,IF(A53='Données projet'!$A$192,'Données projet'!$B$192,EJ52+EI53-ER52)))</f>
        <v>227.99999999999997</v>
      </c>
      <c r="EK53" s="18">
        <f>EJ53*VLOOKUP('Données projet'!$B$15,Paramètres!$A$1:$I$89,3,0)*VLOOKUP('Données projet'!$B$15,Paramètres!$A$1:$I$89,5,0)</f>
        <v>184.95359999999999</v>
      </c>
      <c r="EL53" s="14">
        <f t="shared" si="45"/>
        <v>46.42252355095799</v>
      </c>
      <c r="EM53" s="22">
        <f t="shared" si="19"/>
        <v>402.98008185125178</v>
      </c>
      <c r="EN53" s="62">
        <f t="shared" si="20"/>
        <v>658.10106338072183</v>
      </c>
      <c r="EO53" s="62">
        <f ca="1">AVERAGE(OFFSET($EN$3,0,0,'Données projet'!$E$15+1,1))-AVERAGE(OFFSET($H$3,0,0,'Données projet'!$E$15+1,1))</f>
        <v>272.69564942740931</v>
      </c>
      <c r="EP53" s="62">
        <f t="shared" si="46"/>
        <v>316.57989180609252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>
        <f>EXP(-LN(2)/35)*EV52+(1-EXP(-LN(2)/35))/(LN(2)/35)*ER53*ES53*VLOOKUP('Données projet'!$B$15,Paramètres!$A$1:$I$89,3,0)*0.475*44/12</f>
        <v>0</v>
      </c>
      <c r="EW53" s="23">
        <f>EXP(-LN(2)/25)*EW52+(1-EXP(-LN(2)/25))/(LN(2)/25)*Calculateur!ER53*Calculateur!ET53*VLOOKUP('Données projet'!$B$15,Paramètres!$A$1:$I$89,3,0)*0.475*44/12</f>
        <v>0</v>
      </c>
      <c r="EX53" s="23">
        <f>EXP(-LN(2)/2)*EX52+(1-EXP(-LN(2)/2))/(LN(2)/2)*ER53*EU53*VLOOKUP('Données projet'!$B$15,Paramètres!$A$1:$I$89,3,0)*0.475*44/12</f>
        <v>0</v>
      </c>
      <c r="EY53" s="24">
        <f t="shared" si="21"/>
        <v>0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>
        <f>VLOOKUP(A53,'Données projet'!$A$217:$I$237,2,0)</f>
        <v>298.71794871794873</v>
      </c>
      <c r="FC53" s="13">
        <f>VLOOKUP(A53,'Données projet'!$A$217:$I$237,9,0)</f>
        <v>8.3333333333333375</v>
      </c>
      <c r="FD53" s="13">
        <f t="array" ref="FD53">INDEX(FC:FC,MIN(IF(ISNUMBER(FC53:FC249),ROW(FC53:FC249),"")))</f>
        <v>8.3333333333333375</v>
      </c>
      <c r="FE53" s="13">
        <f>IF('Données projet'!$A$218&gt;35,FE52+FD53-FM52,IF(A53&lt;'Données projet'!$A$218,$FB$205^A53,IF(A53='Données projet'!$A$218,'Données projet'!$B$218,FE52+FD53-FM52)))</f>
        <v>298.7179487179485</v>
      </c>
      <c r="FF53" s="18">
        <f>FE53*VLOOKUP('Données projet'!$B$16,Paramètres!$A$1:$I$89,3,0)*VLOOKUP('Données projet'!$B$16,Paramètres!$A$1:$I$89,5,0)</f>
        <v>200.37999999999985</v>
      </c>
      <c r="FG53" s="14">
        <f t="shared" si="47"/>
        <v>49.827670995638123</v>
      </c>
      <c r="FH53" s="22">
        <f t="shared" si="22"/>
        <v>435.77836031740276</v>
      </c>
      <c r="FI53" s="62">
        <f t="shared" si="23"/>
        <v>690.89934184687286</v>
      </c>
      <c r="FJ53" s="62">
        <f ca="1">AVERAGE(OFFSET($FI$3,0,0,'Données projet'!$E$16+1,1))-AVERAGE(OFFSET($H$3,0,0,'Données projet'!$E$16+1,1))</f>
        <v>440.90856392064205</v>
      </c>
      <c r="FK53" s="62">
        <f t="shared" si="48"/>
        <v>373.33139300970629</v>
      </c>
      <c r="FL53" s="16">
        <f>IF(ISNA(VLOOKUP(A53,'Données projet'!$A$217:$I$237,3,0)),0,VLOOKUP(A53,'Données projet'!$A$217:$I$237,3,0))</f>
        <v>4</v>
      </c>
      <c r="FM53" s="16">
        <f>IF(ISNA(VLOOKUP(A53,'Données projet'!$A$217:$I$237,4,0)),0,VLOOKUP(A53,'Données projet'!$A$217:$I$237,4,0))</f>
        <v>41.666666666666664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>
        <f>EXP(-LN(2)/35)*FQ52+(1-EXP(-LN(2)/35))/(LN(2)/35)*FM53*FN53*VLOOKUP('Données projet'!$B$16,Paramètres!$A$1:$I$89,3,0)*0.475*44/12</f>
        <v>0</v>
      </c>
      <c r="FR53" s="23">
        <f>EXP(-LN(2)/25)*FR52+(1-EXP(-LN(2)/25))/(LN(2)/25)*Calculateur!FM53*Calculateur!FO53*VLOOKUP('Données projet'!$B$16,Paramètres!$A$1:$I$89,3,0)*0.475*44/12</f>
        <v>0</v>
      </c>
      <c r="FS53" s="23">
        <f>EXP(-LN(2)/2)*FS52+(1-EXP(-LN(2)/2))/(LN(2)/2)*FM53*FP53*VLOOKUP('Données projet'!$B$16,Paramètres!$A$1:$I$89,3,0)*0.475*44/12</f>
        <v>0</v>
      </c>
      <c r="FT53" s="24">
        <f t="shared" si="24"/>
        <v>0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70">
        <f t="shared" si="1"/>
        <v>183.33333333333334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10.199999999999999</v>
      </c>
      <c r="N54" s="14">
        <f>IF('Données projet'!$A$36&gt;35,N53+M54-V53,IF(A54&lt;'Données projet'!$A$36,$K$205^A54,IF(A54='Données projet'!$A$36,'Données projet'!$B$36,N53+M54-V53)))</f>
        <v>241.20000000000005</v>
      </c>
      <c r="O54" s="14">
        <f>N54*VLOOKUP('Données projet'!$B$9,Paramètres!$A$1:$I$89,3,0)*VLOOKUP('Données projet'!$B$9,Paramètres!$A$1:$I$89,5,0)</f>
        <v>218.23776000000004</v>
      </c>
      <c r="P54" s="14">
        <f t="shared" si="33"/>
        <v>53.731692470599071</v>
      </c>
      <c r="Q54" s="22">
        <f t="shared" si="53"/>
        <v>473.68012971962668</v>
      </c>
      <c r="R54" s="62">
        <f t="shared" si="0"/>
        <v>729.46401012287356</v>
      </c>
      <c r="S54" s="62">
        <f ca="1">AVERAGE(OFFSET($R$3,0,0,'Données projet'!$E$9+1,1))-AVERAGE(OFFSET($H$3,0,0,'Données projet'!$E$9+1,1))</f>
        <v>570.08763950759544</v>
      </c>
      <c r="T54" s="62">
        <f t="shared" si="34"/>
        <v>297.32483725004136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7.4</v>
      </c>
      <c r="AI54" s="14">
        <f>IF('Données projet'!$A$62&gt;35,AI53+AH54-AQ53,IF(A54&lt;'Données projet'!$A$62,$AF$205^A54,IF(A54='Données projet'!$A$62,'Données projet'!$B$62,AI53+AH54-AQ53)))</f>
        <v>249.40000000000009</v>
      </c>
      <c r="AJ54" s="14">
        <f>AI54*VLOOKUP('Données projet'!$B$10,Paramètres!$A$1:$I$89,3,0)*VLOOKUP('Données projet'!$B$10,Paramètres!$A$1:$I$89,5,0)</f>
        <v>198.42264000000009</v>
      </c>
      <c r="AK54" s="14">
        <f t="shared" si="35"/>
        <v>49.397352151183256</v>
      </c>
      <c r="AL54" s="22">
        <f t="shared" si="4"/>
        <v>431.61981966331092</v>
      </c>
      <c r="AM54" s="62">
        <f t="shared" si="5"/>
        <v>687.4037000665578</v>
      </c>
      <c r="AN54" s="62">
        <f ca="1">AVERAGE(OFFSET($AM$3,0,0,'Données projet'!$E$10+1,1))-AVERAGE(OFFSET($H$3,0,0,'Données projet'!$E$10+1,1))</f>
        <v>394.70330963327166</v>
      </c>
      <c r="AO54" s="62">
        <f t="shared" si="36"/>
        <v>424.06445894109982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7.4</v>
      </c>
      <c r="BD54" s="13">
        <f>IF('Données projet'!$A$88&gt;35,BD53+BC54-BL53,IF(A54&lt;'Données projet'!$A$88,$BA$205^A54,IF(A54='Données projet'!$A$88,'Données projet'!$B$88,BD53+BC54-BL53)))</f>
        <v>249.40000000000009</v>
      </c>
      <c r="BE54" s="14">
        <f>BD54*VLOOKUP('Données projet'!$B$11,Paramètres!$A$1:$I$89,3,0)*VLOOKUP('Données projet'!$B$11,Paramètres!$A$1:$I$89,5,0)</f>
        <v>182.86008000000007</v>
      </c>
      <c r="BF54" s="14">
        <f t="shared" si="37"/>
        <v>45.957916284909516</v>
      </c>
      <c r="BG54" s="22">
        <f t="shared" si="7"/>
        <v>398.52467686288418</v>
      </c>
      <c r="BH54" s="62">
        <f t="shared" si="8"/>
        <v>654.30855726613095</v>
      </c>
      <c r="BI54" s="62">
        <f ca="1">AVERAGE(OFFSET($BH$3,0,0,'Données projet'!$E$11+1,1))-AVERAGE(OFFSET($H$3,0,0,'Données projet'!$E$11+1,1))</f>
        <v>368.54671978064204</v>
      </c>
      <c r="BJ54" s="62">
        <f t="shared" si="38"/>
        <v>395.83504504492237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10.375</v>
      </c>
      <c r="BY54" s="13">
        <f>IF('Données projet'!$A$114&gt;35,BY53+BX54-CG53,IF(A54&lt;'Données projet'!$A$114,$BV$205^A54,IF(A54='Données projet'!$A$114,'Données projet'!$B$114,BY53+BX54-CG53)))</f>
        <v>259.62499999999989</v>
      </c>
      <c r="BZ54" s="14">
        <f>BY54*VLOOKUP('Données projet'!$B$12,Paramètres!$A$1:$I$89,3,0)*VLOOKUP('Données projet'!$B$12,Paramètres!$A$1:$I$89,5,0)</f>
        <v>202.50749999999991</v>
      </c>
      <c r="CA54" s="14">
        <f t="shared" si="39"/>
        <v>50.294840086606349</v>
      </c>
      <c r="CB54" s="22">
        <f t="shared" si="10"/>
        <v>440.29740898417253</v>
      </c>
      <c r="CC54" s="62">
        <f t="shared" si="11"/>
        <v>696.08128938741936</v>
      </c>
      <c r="CD54" s="62">
        <f ca="1">AVERAGE(OFFSET($CC$3,0,0,'Données projet'!$E$12+1,1))-AVERAGE(OFFSET($H$3,0,0,'Données projet'!$E$12+1,1))</f>
        <v>309.21625451786218</v>
      </c>
      <c r="CE54" s="62">
        <f t="shared" si="40"/>
        <v>302.59481222418219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6.2820512820512819</v>
      </c>
      <c r="CT54" s="13">
        <f>IF('Données projet'!$A$140&gt;35,CT53+CS54-DB53,IF(A54&lt;'Données projet'!$A$140,$CQ$205^A54,IF(A54='Données projet'!$A$140,'Données projet'!$B$140,CT53+CS54-DB53)))</f>
        <v>201.7948717948718</v>
      </c>
      <c r="CU54" s="18">
        <f>CT54*VLOOKUP('Données projet'!$B$13,Paramètres!$A$1:$I$89,3,0)*VLOOKUP('Données projet'!$B$13,Paramètres!$A$1:$I$89,5,0)</f>
        <v>192.02799999999999</v>
      </c>
      <c r="CV54" s="14">
        <f t="shared" si="41"/>
        <v>47.98803743110534</v>
      </c>
      <c r="CW54" s="22">
        <f t="shared" si="13"/>
        <v>418.02793185917511</v>
      </c>
      <c r="CX54" s="62">
        <f t="shared" si="14"/>
        <v>673.81181226242188</v>
      </c>
      <c r="CY54" s="62">
        <f ca="1">AVERAGE(OFFSET($CX$3,0,0,'Données projet'!$E$13+1,1))-AVERAGE(OFFSET($H$3,0,0,'Données projet'!$E$13+1,1))</f>
        <v>491.87038198656927</v>
      </c>
      <c r="CZ54" s="62">
        <f t="shared" si="42"/>
        <v>406.49261644949559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0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10.199999999999999</v>
      </c>
      <c r="DO54" s="13">
        <f>IF('Données projet'!$A$166&gt;35,DO53+DN54-DW53,IF(A54&lt;'Données projet'!$A$166,$DL$205^A54,IF(A54='Données projet'!$A$166,'Données projet'!$B$166,DO53+DN54-DW53)))</f>
        <v>241.20000000000005</v>
      </c>
      <c r="DP54" s="18">
        <f>DO54*VLOOKUP('Données projet'!$B$14,Paramètres!$A$1:$I$89,3,0)*VLOOKUP('Données projet'!$B$14,Paramètres!$A$1:$I$89,5,0)</f>
        <v>233.28864000000007</v>
      </c>
      <c r="DQ54" s="14">
        <f t="shared" si="43"/>
        <v>56.993173773170618</v>
      </c>
      <c r="DR54" s="22">
        <f t="shared" si="16"/>
        <v>505.5741589882723</v>
      </c>
      <c r="DS54" s="62">
        <f t="shared" si="17"/>
        <v>761.35803939151913</v>
      </c>
      <c r="DT54" s="62">
        <f ca="1">AVERAGE(OFFSET($DS$3,0,0,'Données projet'!$E$14+1,1))-AVERAGE(OFFSET($H$3,0,0,'Données projet'!$E$14+1,1))</f>
        <v>603.52431522262032</v>
      </c>
      <c r="DU54" s="62">
        <f t="shared" si="44"/>
        <v>313.56299786481338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projet'!$B$14,Paramètres!$A$1:$I$89,3,0)*0.475*44/12</f>
        <v>0</v>
      </c>
      <c r="EB54" s="23">
        <f>EXP(-LN(2)/25)*EB53+(1-EXP(-LN(2)/25))/(LN(2)/25)*Calculateur!DW54*Calculateur!DY54*VLOOKUP('Données projet'!$B$14,Paramètres!$A$1:$I$89,3,0)*0.475*44/12</f>
        <v>0</v>
      </c>
      <c r="EC54" s="23">
        <f>EXP(-LN(2)/2)*EC53+(1-EXP(-LN(2)/2))/(LN(2)/2)*DW54*DZ54*VLOOKUP('Données projet'!$B$14,Paramètres!$A$1:$I$89,3,0)*0.475*44/12</f>
        <v>0</v>
      </c>
      <c r="ED54" s="24">
        <f t="shared" si="18"/>
        <v>0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7.6</v>
      </c>
      <c r="EJ54" s="13">
        <f>IF('Données projet'!$A$192&gt;35,EJ53+EI54-ER53,IF(A54&lt;'Données projet'!$A$192,$EG$205^A54,IF(A54='Données projet'!$A$192,'Données projet'!$B$192,EJ53+EI54-ER53)))</f>
        <v>235.59999999999997</v>
      </c>
      <c r="EK54" s="18">
        <f>EJ54*VLOOKUP('Données projet'!$B$15,Paramètres!$A$1:$I$89,3,0)*VLOOKUP('Données projet'!$B$15,Paramètres!$A$1:$I$89,5,0)</f>
        <v>191.11872</v>
      </c>
      <c r="EL54" s="14">
        <f t="shared" si="45"/>
        <v>47.787201388032145</v>
      </c>
      <c r="EM54" s="22">
        <f t="shared" si="19"/>
        <v>416.09447975082259</v>
      </c>
      <c r="EN54" s="62">
        <f t="shared" si="20"/>
        <v>671.87836015406947</v>
      </c>
      <c r="EO54" s="62">
        <f ca="1">AVERAGE(OFFSET($EN$3,0,0,'Données projet'!$E$15+1,1))-AVERAGE(OFFSET($H$3,0,0,'Données projet'!$E$15+1,1))</f>
        <v>272.69564942740931</v>
      </c>
      <c r="EP54" s="62">
        <f t="shared" si="46"/>
        <v>316.57989180609252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>
        <f>EXP(-LN(2)/35)*EV53+(1-EXP(-LN(2)/35))/(LN(2)/35)*ER54*ES54*VLOOKUP('Données projet'!$B$15,Paramètres!$A$1:$I$89,3,0)*0.475*44/12</f>
        <v>0</v>
      </c>
      <c r="EW54" s="23">
        <f>EXP(-LN(2)/25)*EW53+(1-EXP(-LN(2)/25))/(LN(2)/25)*Calculateur!ER54*Calculateur!ET54*VLOOKUP('Données projet'!$B$15,Paramètres!$A$1:$I$89,3,0)*0.475*44/12</f>
        <v>0</v>
      </c>
      <c r="EX54" s="23">
        <f>EXP(-LN(2)/2)*EX53+(1-EXP(-LN(2)/2))/(LN(2)/2)*ER54*EU54*VLOOKUP('Données projet'!$B$15,Paramètres!$A$1:$I$89,3,0)*0.475*44/12</f>
        <v>0</v>
      </c>
      <c r="EY54" s="24">
        <f t="shared" si="21"/>
        <v>0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7.1794871794871824</v>
      </c>
      <c r="FE54" s="13">
        <f>IF('Données projet'!$A$218&gt;35,FE53+FD54-FM53,IF(A54&lt;'Données projet'!$A$218,$FB$205^A54,IF(A54='Données projet'!$A$218,'Données projet'!$B$218,FE53+FD54-FM53)))</f>
        <v>264.230769230769</v>
      </c>
      <c r="FF54" s="18">
        <f>FE54*VLOOKUP('Données projet'!$B$16,Paramètres!$A$1:$I$89,3,0)*VLOOKUP('Données projet'!$B$16,Paramètres!$A$1:$I$89,5,0)</f>
        <v>177.24599999999984</v>
      </c>
      <c r="FG54" s="14">
        <f t="shared" si="47"/>
        <v>44.708923176637185</v>
      </c>
      <c r="FH54" s="22">
        <f t="shared" si="22"/>
        <v>386.57149119930949</v>
      </c>
      <c r="FI54" s="62">
        <f t="shared" si="23"/>
        <v>642.35537160255626</v>
      </c>
      <c r="FJ54" s="62">
        <f ca="1">AVERAGE(OFFSET($FI$3,0,0,'Données projet'!$E$16+1,1))-AVERAGE(OFFSET($H$3,0,0,'Données projet'!$E$16+1,1))</f>
        <v>440.90856392064205</v>
      </c>
      <c r="FK54" s="62">
        <f t="shared" si="48"/>
        <v>373.33139300970629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>
        <f>EXP(-LN(2)/35)*FQ53+(1-EXP(-LN(2)/35))/(LN(2)/35)*FM54*FN54*VLOOKUP('Données projet'!$B$16,Paramètres!$A$1:$I$89,3,0)*0.475*44/12</f>
        <v>0</v>
      </c>
      <c r="FR54" s="23">
        <f>EXP(-LN(2)/25)*FR53+(1-EXP(-LN(2)/25))/(LN(2)/25)*Calculateur!FM54*Calculateur!FO54*VLOOKUP('Données projet'!$B$16,Paramètres!$A$1:$I$89,3,0)*0.475*44/12</f>
        <v>0</v>
      </c>
      <c r="FS54" s="23">
        <f>EXP(-LN(2)/2)*FS53+(1-EXP(-LN(2)/2))/(LN(2)/2)*FM54*FP54*VLOOKUP('Données projet'!$B$16,Paramètres!$A$1:$I$89,3,0)*0.475*44/12</f>
        <v>0</v>
      </c>
      <c r="FT54" s="24">
        <f t="shared" si="24"/>
        <v>0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70">
        <f t="shared" si="1"/>
        <v>183.33333333333334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10.199999999999999</v>
      </c>
      <c r="N55" s="14">
        <f>IF('Données projet'!$A$36&gt;35,N54+M55-V54,IF(A55&lt;'Données projet'!$A$36,$K$205^A55,IF(A55='Données projet'!$A$36,'Données projet'!$B$36,N54+M55-V54)))</f>
        <v>251.40000000000003</v>
      </c>
      <c r="O55" s="14">
        <f>N55*VLOOKUP('Données projet'!$B$9,Paramètres!$A$1:$I$89,3,0)*VLOOKUP('Données projet'!$B$9,Paramètres!$A$1:$I$89,5,0)</f>
        <v>227.46672000000004</v>
      </c>
      <c r="P55" s="14">
        <f t="shared" si="33"/>
        <v>55.734574592438989</v>
      </c>
      <c r="Q55" s="22">
        <f t="shared" si="53"/>
        <v>493.24225474849794</v>
      </c>
      <c r="R55" s="62">
        <f t="shared" si="0"/>
        <v>749.67753421208135</v>
      </c>
      <c r="S55" s="62">
        <f ca="1">AVERAGE(OFFSET($R$3,0,0,'Données projet'!$E$9+1,1))-AVERAGE(OFFSET($H$3,0,0,'Données projet'!$E$9+1,1))</f>
        <v>570.08763950759544</v>
      </c>
      <c r="T55" s="62">
        <f t="shared" si="34"/>
        <v>297.32483725004136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7.4</v>
      </c>
      <c r="AI55" s="14">
        <f>IF('Données projet'!$A$62&gt;35,AI54+AH55-AQ54,IF(A55&lt;'Données projet'!$A$62,$AF$205^A55,IF(A55='Données projet'!$A$62,'Données projet'!$B$62,AI54+AH55-AQ54)))</f>
        <v>256.80000000000007</v>
      </c>
      <c r="AJ55" s="14">
        <f>AI55*VLOOKUP('Données projet'!$B$10,Paramètres!$A$1:$I$89,3,0)*VLOOKUP('Données projet'!$B$10,Paramètres!$A$1:$I$89,5,0)</f>
        <v>204.31008000000008</v>
      </c>
      <c r="AK55" s="14">
        <f t="shared" si="35"/>
        <v>50.690214235398379</v>
      </c>
      <c r="AL55" s="22">
        <f t="shared" si="4"/>
        <v>444.12551245998566</v>
      </c>
      <c r="AM55" s="62">
        <f t="shared" si="5"/>
        <v>700.56079192356901</v>
      </c>
      <c r="AN55" s="62">
        <f ca="1">AVERAGE(OFFSET($AM$3,0,0,'Données projet'!$E$10+1,1))-AVERAGE(OFFSET($H$3,0,0,'Données projet'!$E$10+1,1))</f>
        <v>394.70330963327166</v>
      </c>
      <c r="AO55" s="62">
        <f t="shared" si="36"/>
        <v>424.06445894109982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7.4</v>
      </c>
      <c r="BD55" s="13">
        <f>IF('Données projet'!$A$88&gt;35,BD54+BC55-BL54,IF(A55&lt;'Données projet'!$A$88,$BA$205^A55,IF(A55='Données projet'!$A$88,'Données projet'!$B$88,BD54+BC55-BL54)))</f>
        <v>256.80000000000007</v>
      </c>
      <c r="BE55" s="14">
        <f>BD55*VLOOKUP('Données projet'!$B$11,Paramètres!$A$1:$I$89,3,0)*VLOOKUP('Données projet'!$B$11,Paramètres!$A$1:$I$89,5,0)</f>
        <v>188.28576000000004</v>
      </c>
      <c r="BF55" s="14">
        <f t="shared" si="37"/>
        <v>47.160759045639651</v>
      </c>
      <c r="BG55" s="22">
        <f t="shared" si="7"/>
        <v>410.06935400448907</v>
      </c>
      <c r="BH55" s="62">
        <f t="shared" si="8"/>
        <v>666.50463346807237</v>
      </c>
      <c r="BI55" s="62">
        <f ca="1">AVERAGE(OFFSET($BH$3,0,0,'Données projet'!$E$11+1,1))-AVERAGE(OFFSET($H$3,0,0,'Données projet'!$E$11+1,1))</f>
        <v>368.54671978064204</v>
      </c>
      <c r="BJ55" s="62">
        <f t="shared" si="38"/>
        <v>395.83504504492237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>
        <f>VLOOKUP(A55,'Données projet'!$A$113:$I$133,2,0)</f>
        <v>270</v>
      </c>
      <c r="BW55" s="13">
        <f>VLOOKUP(A55,'Données projet'!$A$113:$I$133,9,0)</f>
        <v>10.375</v>
      </c>
      <c r="BX55" s="13">
        <f t="array" ref="BX55">INDEX(BW:BW,MIN(IF(ISNUMBER(BW55:BW251),ROW(BW55:BW251),"")))</f>
        <v>10.375</v>
      </c>
      <c r="BY55" s="13">
        <f>IF('Données projet'!$A$114&gt;35,BY54+BX55-CG54,IF(A55&lt;'Données projet'!$A$114,$BV$205^A55,IF(A55='Données projet'!$A$114,'Données projet'!$B$114,BY54+BX55-CG54)))</f>
        <v>269.99999999999989</v>
      </c>
      <c r="BZ55" s="14">
        <f>BY55*VLOOKUP('Données projet'!$B$12,Paramètres!$A$1:$I$89,3,0)*VLOOKUP('Données projet'!$B$12,Paramètres!$A$1:$I$89,5,0)</f>
        <v>210.59999999999991</v>
      </c>
      <c r="CA55" s="14">
        <f t="shared" si="39"/>
        <v>52.066679014659961</v>
      </c>
      <c r="CB55" s="22">
        <f t="shared" si="10"/>
        <v>457.47779928386586</v>
      </c>
      <c r="CC55" s="62">
        <f t="shared" si="11"/>
        <v>713.91307874744916</v>
      </c>
      <c r="CD55" s="62">
        <f ca="1">AVERAGE(OFFSET($CC$3,0,0,'Données projet'!$E$12+1,1))-AVERAGE(OFFSET($H$3,0,0,'Données projet'!$E$12+1,1))</f>
        <v>309.21625451786218</v>
      </c>
      <c r="CE55" s="62">
        <f t="shared" si="40"/>
        <v>302.59481222418219</v>
      </c>
      <c r="CF55" s="16">
        <f>IF(ISNA(VLOOKUP(A55,'Données projet'!$A$113:$I$133,3,0)),0,VLOOKUP(A55,'Données projet'!$A$113:$I$133,3,0))</f>
        <v>6</v>
      </c>
      <c r="CG55" s="16">
        <f>IF(ISNA(VLOOKUP(A55,'Données projet'!$A$113:$I$133,4,0)),0,VLOOKUP(A55,'Données projet'!$A$113:$I$133,4,0))</f>
        <v>48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6.2820512820512819</v>
      </c>
      <c r="CT55" s="13">
        <f>IF('Données projet'!$A$140&gt;35,CT54+CS55-DB54,IF(A55&lt;'Données projet'!$A$140,$CQ$205^A55,IF(A55='Données projet'!$A$140,'Données projet'!$B$140,CT54+CS55-DB54)))</f>
        <v>208.07692307692307</v>
      </c>
      <c r="CU55" s="18">
        <f>CT55*VLOOKUP('Données projet'!$B$13,Paramètres!$A$1:$I$89,3,0)*VLOOKUP('Données projet'!$B$13,Paramètres!$A$1:$I$89,5,0)</f>
        <v>198.006</v>
      </c>
      <c r="CV55" s="14">
        <f t="shared" si="41"/>
        <v>49.305691649932633</v>
      </c>
      <c r="CW55" s="22">
        <f t="shared" si="13"/>
        <v>430.73452962363268</v>
      </c>
      <c r="CX55" s="62">
        <f t="shared" si="14"/>
        <v>687.16980908721598</v>
      </c>
      <c r="CY55" s="62">
        <f ca="1">AVERAGE(OFFSET($CX$3,0,0,'Données projet'!$E$13+1,1))-AVERAGE(OFFSET($H$3,0,0,'Données projet'!$E$13+1,1))</f>
        <v>491.87038198656927</v>
      </c>
      <c r="CZ55" s="62">
        <f t="shared" si="42"/>
        <v>406.49261644949559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0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10.199999999999999</v>
      </c>
      <c r="DO55" s="13">
        <f>IF('Données projet'!$A$166&gt;35,DO54+DN55-DW54,IF(A55&lt;'Données projet'!$A$166,$DL$205^A55,IF(A55='Données projet'!$A$166,'Données projet'!$B$166,DO54+DN55-DW54)))</f>
        <v>251.40000000000003</v>
      </c>
      <c r="DP55" s="18">
        <f>DO55*VLOOKUP('Données projet'!$B$14,Paramètres!$A$1:$I$89,3,0)*VLOOKUP('Données projet'!$B$14,Paramètres!$A$1:$I$89,5,0)</f>
        <v>243.15408000000005</v>
      </c>
      <c r="DQ55" s="14">
        <f t="shared" si="43"/>
        <v>59.117629630943199</v>
      </c>
      <c r="DR55" s="22">
        <f t="shared" si="16"/>
        <v>526.45656094055948</v>
      </c>
      <c r="DS55" s="62">
        <f t="shared" si="17"/>
        <v>782.89184040414284</v>
      </c>
      <c r="DT55" s="62">
        <f ca="1">AVERAGE(OFFSET($DS$3,0,0,'Données projet'!$E$14+1,1))-AVERAGE(OFFSET($H$3,0,0,'Données projet'!$E$14+1,1))</f>
        <v>603.52431522262032</v>
      </c>
      <c r="DU55" s="62">
        <f t="shared" si="44"/>
        <v>313.56299786481338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projet'!$B$14,Paramètres!$A$1:$I$89,3,0)*0.475*44/12</f>
        <v>0</v>
      </c>
      <c r="EB55" s="23">
        <f>EXP(-LN(2)/25)*EB54+(1-EXP(-LN(2)/25))/(LN(2)/25)*Calculateur!DW55*Calculateur!DY55*VLOOKUP('Données projet'!$B$14,Paramètres!$A$1:$I$89,3,0)*0.475*44/12</f>
        <v>0</v>
      </c>
      <c r="EC55" s="23">
        <f>EXP(-LN(2)/2)*EC54+(1-EXP(-LN(2)/2))/(LN(2)/2)*DW55*DZ55*VLOOKUP('Données projet'!$B$14,Paramètres!$A$1:$I$89,3,0)*0.475*44/12</f>
        <v>0</v>
      </c>
      <c r="ED55" s="24">
        <f t="shared" si="18"/>
        <v>0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7.6</v>
      </c>
      <c r="EJ55" s="13">
        <f>IF('Données projet'!$A$192&gt;35,EJ54+EI55-ER54,IF(A55&lt;'Données projet'!$A$192,$EG$205^A55,IF(A55='Données projet'!$A$192,'Données projet'!$B$192,EJ54+EI55-ER54)))</f>
        <v>243.19999999999996</v>
      </c>
      <c r="EK55" s="18">
        <f>EJ55*VLOOKUP('Données projet'!$B$15,Paramètres!$A$1:$I$89,3,0)*VLOOKUP('Données projet'!$B$15,Paramètres!$A$1:$I$89,5,0)</f>
        <v>197.28383999999997</v>
      </c>
      <c r="EL55" s="14">
        <f t="shared" si="45"/>
        <v>49.146763750789503</v>
      </c>
      <c r="EM55" s="22">
        <f t="shared" si="19"/>
        <v>429.19996819929173</v>
      </c>
      <c r="EN55" s="62">
        <f t="shared" si="20"/>
        <v>685.63524766287514</v>
      </c>
      <c r="EO55" s="62">
        <f ca="1">AVERAGE(OFFSET($EN$3,0,0,'Données projet'!$E$15+1,1))-AVERAGE(OFFSET($H$3,0,0,'Données projet'!$E$15+1,1))</f>
        <v>272.69564942740931</v>
      </c>
      <c r="EP55" s="62">
        <f t="shared" si="46"/>
        <v>316.57989180609252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>
        <f>EXP(-LN(2)/35)*EV54+(1-EXP(-LN(2)/35))/(LN(2)/35)*ER55*ES55*VLOOKUP('Données projet'!$B$15,Paramètres!$A$1:$I$89,3,0)*0.475*44/12</f>
        <v>0</v>
      </c>
      <c r="EW55" s="23">
        <f>EXP(-LN(2)/25)*EW54+(1-EXP(-LN(2)/25))/(LN(2)/25)*Calculateur!ER55*Calculateur!ET55*VLOOKUP('Données projet'!$B$15,Paramètres!$A$1:$I$89,3,0)*0.475*44/12</f>
        <v>0</v>
      </c>
      <c r="EX55" s="23">
        <f>EXP(-LN(2)/2)*EX54+(1-EXP(-LN(2)/2))/(LN(2)/2)*ER55*EU55*VLOOKUP('Données projet'!$B$15,Paramètres!$A$1:$I$89,3,0)*0.475*44/12</f>
        <v>0</v>
      </c>
      <c r="EY55" s="24">
        <f t="shared" si="21"/>
        <v>0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7.1794871794871824</v>
      </c>
      <c r="FE55" s="13">
        <f>IF('Données projet'!$A$218&gt;35,FE54+FD55-FM54,IF(A55&lt;'Données projet'!$A$218,$FB$205^A55,IF(A55='Données projet'!$A$218,'Données projet'!$B$218,FE54+FD55-FM54)))</f>
        <v>271.41025641025618</v>
      </c>
      <c r="FF55" s="18">
        <f>FE55*VLOOKUP('Données projet'!$B$16,Paramètres!$A$1:$I$89,3,0)*VLOOKUP('Données projet'!$B$16,Paramètres!$A$1:$I$89,5,0)</f>
        <v>182.06199999999984</v>
      </c>
      <c r="FG55" s="14">
        <f t="shared" si="47"/>
        <v>45.7806386130828</v>
      </c>
      <c r="FH55" s="22">
        <f t="shared" si="22"/>
        <v>396.82592891778563</v>
      </c>
      <c r="FI55" s="62">
        <f t="shared" si="23"/>
        <v>653.26120838136899</v>
      </c>
      <c r="FJ55" s="62">
        <f ca="1">AVERAGE(OFFSET($FI$3,0,0,'Données projet'!$E$16+1,1))-AVERAGE(OFFSET($H$3,0,0,'Données projet'!$E$16+1,1))</f>
        <v>440.90856392064205</v>
      </c>
      <c r="FK55" s="62">
        <f t="shared" si="48"/>
        <v>373.33139300970629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>
        <f>EXP(-LN(2)/35)*FQ54+(1-EXP(-LN(2)/35))/(LN(2)/35)*FM55*FN55*VLOOKUP('Données projet'!$B$16,Paramètres!$A$1:$I$89,3,0)*0.475*44/12</f>
        <v>0</v>
      </c>
      <c r="FR55" s="23">
        <f>EXP(-LN(2)/25)*FR54+(1-EXP(-LN(2)/25))/(LN(2)/25)*Calculateur!FM55*Calculateur!FO55*VLOOKUP('Données projet'!$B$16,Paramètres!$A$1:$I$89,3,0)*0.475*44/12</f>
        <v>0</v>
      </c>
      <c r="FS55" s="23">
        <f>EXP(-LN(2)/2)*FS54+(1-EXP(-LN(2)/2))/(LN(2)/2)*FM55*FP55*VLOOKUP('Données projet'!$B$16,Paramètres!$A$1:$I$89,3,0)*0.475*44/12</f>
        <v>0</v>
      </c>
      <c r="FT55" s="24">
        <f t="shared" si="24"/>
        <v>0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70">
        <f t="shared" si="1"/>
        <v>183.33333333333334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10.199999999999999</v>
      </c>
      <c r="N56" s="14">
        <f>IF('Données projet'!$A$36&gt;35,N55+M56-V55,IF(A56&lt;'Données projet'!$A$36,$K$205^A56,IF(A56='Données projet'!$A$36,'Données projet'!$B$36,N55+M56-V55)))</f>
        <v>261.60000000000002</v>
      </c>
      <c r="O56" s="14">
        <f>N56*VLOOKUP('Données projet'!$B$9,Paramètres!$A$1:$I$89,3,0)*VLOOKUP('Données projet'!$B$9,Paramètres!$A$1:$I$89,5,0)</f>
        <v>236.69568000000001</v>
      </c>
      <c r="P56" s="14">
        <f t="shared" si="33"/>
        <v>57.72801732243034</v>
      </c>
      <c r="Q56" s="22">
        <f t="shared" si="53"/>
        <v>512.78793950323291</v>
      </c>
      <c r="R56" s="62">
        <f t="shared" si="0"/>
        <v>769.86331770976608</v>
      </c>
      <c r="S56" s="62">
        <f ca="1">AVERAGE(OFFSET($R$3,0,0,'Données projet'!$E$9+1,1))-AVERAGE(OFFSET($H$3,0,0,'Données projet'!$E$9+1,1))</f>
        <v>570.08763950759544</v>
      </c>
      <c r="T56" s="62">
        <f t="shared" si="34"/>
        <v>297.32483725004136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7.4</v>
      </c>
      <c r="AI56" s="14">
        <f>IF('Données projet'!$A$62&gt;35,AI55+AH56-AQ55,IF(A56&lt;'Données projet'!$A$62,$AF$205^A56,IF(A56='Données projet'!$A$62,'Données projet'!$B$62,AI55+AH56-AQ55)))</f>
        <v>264.20000000000005</v>
      </c>
      <c r="AJ56" s="14">
        <f>AI56*VLOOKUP('Données projet'!$B$10,Paramètres!$A$1:$I$89,3,0)*VLOOKUP('Données projet'!$B$10,Paramètres!$A$1:$I$89,5,0)</f>
        <v>210.19752000000003</v>
      </c>
      <c r="AK56" s="14">
        <f t="shared" si="35"/>
        <v>51.978746425856599</v>
      </c>
      <c r="AL56" s="22">
        <f t="shared" si="4"/>
        <v>456.62366402503358</v>
      </c>
      <c r="AM56" s="62">
        <f t="shared" si="5"/>
        <v>713.69904223156686</v>
      </c>
      <c r="AN56" s="62">
        <f ca="1">AVERAGE(OFFSET($AM$3,0,0,'Données projet'!$E$10+1,1))-AVERAGE(OFFSET($H$3,0,0,'Données projet'!$E$10+1,1))</f>
        <v>394.70330963327166</v>
      </c>
      <c r="AO56" s="62">
        <f t="shared" si="36"/>
        <v>424.06445894109982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7.4</v>
      </c>
      <c r="BD56" s="13">
        <f>IF('Données projet'!$A$88&gt;35,BD55+BC56-BL55,IF(A56&lt;'Données projet'!$A$88,$BA$205^A56,IF(A56='Données projet'!$A$88,'Données projet'!$B$88,BD55+BC56-BL55)))</f>
        <v>264.20000000000005</v>
      </c>
      <c r="BE56" s="14">
        <f>BD56*VLOOKUP('Données projet'!$B$11,Paramètres!$A$1:$I$89,3,0)*VLOOKUP('Données projet'!$B$11,Paramètres!$A$1:$I$89,5,0)</f>
        <v>193.71144000000004</v>
      </c>
      <c r="BF56" s="14">
        <f t="shared" si="37"/>
        <v>48.359573394195252</v>
      </c>
      <c r="BG56" s="22">
        <f t="shared" si="7"/>
        <v>421.60701499489011</v>
      </c>
      <c r="BH56" s="62">
        <f t="shared" si="8"/>
        <v>678.68239320142334</v>
      </c>
      <c r="BI56" s="62">
        <f ca="1">AVERAGE(OFFSET($BH$3,0,0,'Données projet'!$E$11+1,1))-AVERAGE(OFFSET($H$3,0,0,'Données projet'!$E$11+1,1))</f>
        <v>368.54671978064204</v>
      </c>
      <c r="BJ56" s="62">
        <f t="shared" si="38"/>
        <v>395.83504504492237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9.375</v>
      </c>
      <c r="BY56" s="13">
        <f>IF('Données projet'!$A$114&gt;35,BY55+BX56-CG55,IF(A56&lt;'Données projet'!$A$114,$BV$205^A56,IF(A56='Données projet'!$A$114,'Données projet'!$B$114,BY55+BX56-CG55)))</f>
        <v>231.37499999999989</v>
      </c>
      <c r="BZ56" s="14">
        <f>BY56*VLOOKUP('Données projet'!$B$12,Paramètres!$A$1:$I$89,3,0)*VLOOKUP('Données projet'!$B$12,Paramètres!$A$1:$I$89,5,0)</f>
        <v>180.47249999999991</v>
      </c>
      <c r="CA56" s="14">
        <f t="shared" si="39"/>
        <v>45.427292666837829</v>
      </c>
      <c r="CB56" s="22">
        <f t="shared" si="10"/>
        <v>393.44213889474241</v>
      </c>
      <c r="CC56" s="62">
        <f t="shared" si="11"/>
        <v>650.51751710127564</v>
      </c>
      <c r="CD56" s="62">
        <f ca="1">AVERAGE(OFFSET($CC$3,0,0,'Données projet'!$E$12+1,1))-AVERAGE(OFFSET($H$3,0,0,'Données projet'!$E$12+1,1))</f>
        <v>309.21625451786218</v>
      </c>
      <c r="CE56" s="62">
        <f t="shared" si="40"/>
        <v>302.59481222418219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6.2820512820512819</v>
      </c>
      <c r="CT56" s="13">
        <f>IF('Données projet'!$A$140&gt;35,CT55+CS56-DB55,IF(A56&lt;'Données projet'!$A$140,$CQ$205^A56,IF(A56='Données projet'!$A$140,'Données projet'!$B$140,CT55+CS56-DB55)))</f>
        <v>214.35897435897434</v>
      </c>
      <c r="CU56" s="18">
        <f>CT56*VLOOKUP('Données projet'!$B$13,Paramètres!$A$1:$I$89,3,0)*VLOOKUP('Données projet'!$B$13,Paramètres!$A$1:$I$89,5,0)</f>
        <v>203.98399999999998</v>
      </c>
      <c r="CV56" s="14">
        <f t="shared" si="41"/>
        <v>50.618722709765592</v>
      </c>
      <c r="CW56" s="22">
        <f t="shared" si="13"/>
        <v>443.43307538617501</v>
      </c>
      <c r="CX56" s="62">
        <f t="shared" si="14"/>
        <v>700.50845359270829</v>
      </c>
      <c r="CY56" s="62">
        <f ca="1">AVERAGE(OFFSET($CX$3,0,0,'Données projet'!$E$13+1,1))-AVERAGE(OFFSET($H$3,0,0,'Données projet'!$E$13+1,1))</f>
        <v>491.87038198656927</v>
      </c>
      <c r="CZ56" s="62">
        <f t="shared" si="42"/>
        <v>406.49261644949559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0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10.199999999999999</v>
      </c>
      <c r="DO56" s="13">
        <f>IF('Données projet'!$A$166&gt;35,DO55+DN56-DW55,IF(A56&lt;'Données projet'!$A$166,$DL$205^A56,IF(A56='Données projet'!$A$166,'Données projet'!$B$166,DO55+DN56-DW55)))</f>
        <v>261.60000000000002</v>
      </c>
      <c r="DP56" s="18">
        <f>DO56*VLOOKUP('Données projet'!$B$14,Paramètres!$A$1:$I$89,3,0)*VLOOKUP('Données projet'!$B$14,Paramètres!$A$1:$I$89,5,0)</f>
        <v>253.01952000000003</v>
      </c>
      <c r="DQ56" s="14">
        <f t="shared" si="43"/>
        <v>61.232073131479261</v>
      </c>
      <c r="DR56" s="22">
        <f t="shared" si="16"/>
        <v>547.32152470399308</v>
      </c>
      <c r="DS56" s="62">
        <f t="shared" si="17"/>
        <v>804.39690291052625</v>
      </c>
      <c r="DT56" s="62">
        <f ca="1">AVERAGE(OFFSET($DS$3,0,0,'Données projet'!$E$14+1,1))-AVERAGE(OFFSET($H$3,0,0,'Données projet'!$E$14+1,1))</f>
        <v>603.52431522262032</v>
      </c>
      <c r="DU56" s="62">
        <f t="shared" si="44"/>
        <v>313.56299786481338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projet'!$B$14,Paramètres!$A$1:$I$89,3,0)*0.475*44/12</f>
        <v>0</v>
      </c>
      <c r="EB56" s="23">
        <f>EXP(-LN(2)/25)*EB55+(1-EXP(-LN(2)/25))/(LN(2)/25)*Calculateur!DW56*Calculateur!DY56*VLOOKUP('Données projet'!$B$14,Paramètres!$A$1:$I$89,3,0)*0.475*44/12</f>
        <v>0</v>
      </c>
      <c r="EC56" s="23">
        <f>EXP(-LN(2)/2)*EC55+(1-EXP(-LN(2)/2))/(LN(2)/2)*DW56*DZ56*VLOOKUP('Données projet'!$B$14,Paramètres!$A$1:$I$89,3,0)*0.475*44/12</f>
        <v>0</v>
      </c>
      <c r="ED56" s="24">
        <f t="shared" si="18"/>
        <v>0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7.6</v>
      </c>
      <c r="EJ56" s="13">
        <f>IF('Données projet'!$A$192&gt;35,EJ55+EI56-ER55,IF(A56&lt;'Données projet'!$A$192,$EG$205^A56,IF(A56='Données projet'!$A$192,'Données projet'!$B$192,EJ55+EI56-ER55)))</f>
        <v>250.79999999999995</v>
      </c>
      <c r="EK56" s="18">
        <f>EJ56*VLOOKUP('Données projet'!$B$15,Paramètres!$A$1:$I$89,3,0)*VLOOKUP('Données projet'!$B$15,Paramètres!$A$1:$I$89,5,0)</f>
        <v>203.44895999999997</v>
      </c>
      <c r="EL56" s="14">
        <f t="shared" si="45"/>
        <v>50.501388840000267</v>
      </c>
      <c r="EM56" s="22">
        <f t="shared" si="19"/>
        <v>442.2968575630004</v>
      </c>
      <c r="EN56" s="62">
        <f t="shared" si="20"/>
        <v>699.37223576953363</v>
      </c>
      <c r="EO56" s="62">
        <f ca="1">AVERAGE(OFFSET($EN$3,0,0,'Données projet'!$E$15+1,1))-AVERAGE(OFFSET($H$3,0,0,'Données projet'!$E$15+1,1))</f>
        <v>272.69564942740931</v>
      </c>
      <c r="EP56" s="62">
        <f t="shared" si="46"/>
        <v>316.57989180609252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>
        <f>EXP(-LN(2)/35)*EV55+(1-EXP(-LN(2)/35))/(LN(2)/35)*ER56*ES56*VLOOKUP('Données projet'!$B$15,Paramètres!$A$1:$I$89,3,0)*0.475*44/12</f>
        <v>0</v>
      </c>
      <c r="EW56" s="23">
        <f>EXP(-LN(2)/25)*EW55+(1-EXP(-LN(2)/25))/(LN(2)/25)*Calculateur!ER56*Calculateur!ET56*VLOOKUP('Données projet'!$B$15,Paramètres!$A$1:$I$89,3,0)*0.475*44/12</f>
        <v>0</v>
      </c>
      <c r="EX56" s="23">
        <f>EXP(-LN(2)/2)*EX55+(1-EXP(-LN(2)/2))/(LN(2)/2)*ER56*EU56*VLOOKUP('Données projet'!$B$15,Paramètres!$A$1:$I$89,3,0)*0.475*44/12</f>
        <v>0</v>
      </c>
      <c r="EY56" s="24">
        <f t="shared" si="21"/>
        <v>0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7.1794871794871824</v>
      </c>
      <c r="FE56" s="13">
        <f>IF('Données projet'!$A$218&gt;35,FE55+FD56-FM55,IF(A56&lt;'Données projet'!$A$218,$FB$205^A56,IF(A56='Données projet'!$A$218,'Données projet'!$B$218,FE55+FD56-FM55)))</f>
        <v>278.58974358974336</v>
      </c>
      <c r="FF56" s="18">
        <f>FE56*VLOOKUP('Données projet'!$B$16,Paramètres!$A$1:$I$89,3,0)*VLOOKUP('Données projet'!$B$16,Paramètres!$A$1:$I$89,5,0)</f>
        <v>186.87799999999987</v>
      </c>
      <c r="FG56" s="14">
        <f t="shared" si="47"/>
        <v>46.849058827207365</v>
      </c>
      <c r="FH56" s="22">
        <f t="shared" si="22"/>
        <v>407.07462745738593</v>
      </c>
      <c r="FI56" s="62">
        <f t="shared" si="23"/>
        <v>664.15000566391916</v>
      </c>
      <c r="FJ56" s="62">
        <f ca="1">AVERAGE(OFFSET($FI$3,0,0,'Données projet'!$E$16+1,1))-AVERAGE(OFFSET($H$3,0,0,'Données projet'!$E$16+1,1))</f>
        <v>440.90856392064205</v>
      </c>
      <c r="FK56" s="62">
        <f t="shared" si="48"/>
        <v>373.33139300970629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>
        <f>EXP(-LN(2)/35)*FQ55+(1-EXP(-LN(2)/35))/(LN(2)/35)*FM56*FN56*VLOOKUP('Données projet'!$B$16,Paramètres!$A$1:$I$89,3,0)*0.475*44/12</f>
        <v>0</v>
      </c>
      <c r="FR56" s="23">
        <f>EXP(-LN(2)/25)*FR55+(1-EXP(-LN(2)/25))/(LN(2)/25)*Calculateur!FM56*Calculateur!FO56*VLOOKUP('Données projet'!$B$16,Paramètres!$A$1:$I$89,3,0)*0.475*44/12</f>
        <v>0</v>
      </c>
      <c r="FS56" s="23">
        <f>EXP(-LN(2)/2)*FS55+(1-EXP(-LN(2)/2))/(LN(2)/2)*FM56*FP56*VLOOKUP('Données projet'!$B$16,Paramètres!$A$1:$I$89,3,0)*0.475*44/12</f>
        <v>0</v>
      </c>
      <c r="FT56" s="24">
        <f t="shared" si="24"/>
        <v>0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70">
        <f t="shared" si="1"/>
        <v>183.33333333333334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10.199999999999999</v>
      </c>
      <c r="N57" s="14">
        <f>IF('Données projet'!$A$36&gt;35,N56+M57-V56,IF(A57&lt;'Données projet'!$A$36,$K$205^A57,IF(A57='Données projet'!$A$36,'Données projet'!$B$36,N56+M57-V56)))</f>
        <v>271.8</v>
      </c>
      <c r="O57" s="14">
        <f>N57*VLOOKUP('Données projet'!$B$9,Paramètres!$A$1:$I$89,3,0)*VLOOKUP('Données projet'!$B$9,Paramètres!$A$1:$I$89,5,0)</f>
        <v>245.92464000000001</v>
      </c>
      <c r="P57" s="14">
        <f t="shared" si="33"/>
        <v>59.712430831913537</v>
      </c>
      <c r="Q57" s="22">
        <f t="shared" si="53"/>
        <v>532.31789836558266</v>
      </c>
      <c r="R57" s="62">
        <f t="shared" si="0"/>
        <v>790.02227103292194</v>
      </c>
      <c r="S57" s="62">
        <f ca="1">AVERAGE(OFFSET($R$3,0,0,'Données projet'!$E$9+1,1))-AVERAGE(OFFSET($H$3,0,0,'Données projet'!$E$9+1,1))</f>
        <v>570.08763950759544</v>
      </c>
      <c r="T57" s="62">
        <f t="shared" si="34"/>
        <v>297.32483725004136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7.4</v>
      </c>
      <c r="AI57" s="14">
        <f>IF('Données projet'!$A$62&gt;35,AI56+AH57-AQ56,IF(A57&lt;'Données projet'!$A$62,$AF$205^A57,IF(A57='Données projet'!$A$62,'Données projet'!$B$62,AI56+AH57-AQ56)))</f>
        <v>271.60000000000002</v>
      </c>
      <c r="AJ57" s="14">
        <f>AI57*VLOOKUP('Données projet'!$B$10,Paramètres!$A$1:$I$89,3,0)*VLOOKUP('Données projet'!$B$10,Paramètres!$A$1:$I$89,5,0)</f>
        <v>216.08496000000002</v>
      </c>
      <c r="AK57" s="14">
        <f t="shared" si="35"/>
        <v>53.26308393083157</v>
      </c>
      <c r="AL57" s="22">
        <f t="shared" si="4"/>
        <v>469.11450984619825</v>
      </c>
      <c r="AM57" s="62">
        <f t="shared" si="5"/>
        <v>726.81888251353757</v>
      </c>
      <c r="AN57" s="62">
        <f ca="1">AVERAGE(OFFSET($AM$3,0,0,'Données projet'!$E$10+1,1))-AVERAGE(OFFSET($H$3,0,0,'Données projet'!$E$10+1,1))</f>
        <v>394.70330963327166</v>
      </c>
      <c r="AO57" s="62">
        <f t="shared" si="36"/>
        <v>424.06445894109982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7.4</v>
      </c>
      <c r="BD57" s="13">
        <f>IF('Données projet'!$A$88&gt;35,BD56+BC57-BL56,IF(A57&lt;'Données projet'!$A$88,$BA$205^A57,IF(A57='Données projet'!$A$88,'Données projet'!$B$88,BD56+BC57-BL56)))</f>
        <v>271.60000000000002</v>
      </c>
      <c r="BE57" s="14">
        <f>BD57*VLOOKUP('Données projet'!$B$11,Paramètres!$A$1:$I$89,3,0)*VLOOKUP('Données projet'!$B$11,Paramètres!$A$1:$I$89,5,0)</f>
        <v>199.13712000000001</v>
      </c>
      <c r="BF57" s="14">
        <f t="shared" si="37"/>
        <v>49.554485124576232</v>
      </c>
      <c r="BG57" s="22">
        <f t="shared" si="7"/>
        <v>433.1378789253036</v>
      </c>
      <c r="BH57" s="62">
        <f t="shared" si="8"/>
        <v>690.84225159264292</v>
      </c>
      <c r="BI57" s="62">
        <f ca="1">AVERAGE(OFFSET($BH$3,0,0,'Données projet'!$E$11+1,1))-AVERAGE(OFFSET($H$3,0,0,'Données projet'!$E$11+1,1))</f>
        <v>368.54671978064204</v>
      </c>
      <c r="BJ57" s="62">
        <f t="shared" si="38"/>
        <v>395.83504504492237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9.375</v>
      </c>
      <c r="BY57" s="13">
        <f>IF('Données projet'!$A$114&gt;35,BY56+BX57-CG56,IF(A57&lt;'Données projet'!$A$114,$BV$205^A57,IF(A57='Données projet'!$A$114,'Données projet'!$B$114,BY56+BX57-CG56)))</f>
        <v>240.74999999999989</v>
      </c>
      <c r="BZ57" s="14">
        <f>BY57*VLOOKUP('Données projet'!$B$12,Paramètres!$A$1:$I$89,3,0)*VLOOKUP('Données projet'!$B$12,Paramètres!$A$1:$I$89,5,0)</f>
        <v>187.78499999999991</v>
      </c>
      <c r="CA57" s="14">
        <f t="shared" si="39"/>
        <v>47.049914090154054</v>
      </c>
      <c r="CB57" s="22">
        <f t="shared" si="10"/>
        <v>409.0041420403515</v>
      </c>
      <c r="CC57" s="62">
        <f t="shared" si="11"/>
        <v>666.70851470769082</v>
      </c>
      <c r="CD57" s="62">
        <f ca="1">AVERAGE(OFFSET($CC$3,0,0,'Données projet'!$E$12+1,1))-AVERAGE(OFFSET($H$3,0,0,'Données projet'!$E$12+1,1))</f>
        <v>309.21625451786218</v>
      </c>
      <c r="CE57" s="62">
        <f t="shared" si="40"/>
        <v>302.59481222418219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6.2820512820512819</v>
      </c>
      <c r="CT57" s="13">
        <f>IF('Données projet'!$A$140&gt;35,CT56+CS57-DB56,IF(A57&lt;'Données projet'!$A$140,$CQ$205^A57,IF(A57='Données projet'!$A$140,'Données projet'!$B$140,CT56+CS57-DB56)))</f>
        <v>220.64102564102561</v>
      </c>
      <c r="CU57" s="18">
        <f>CT57*VLOOKUP('Données projet'!$B$13,Paramètres!$A$1:$I$89,3,0)*VLOOKUP('Données projet'!$B$13,Paramètres!$A$1:$I$89,5,0)</f>
        <v>209.96199999999999</v>
      </c>
      <c r="CV57" s="14">
        <f t="shared" si="41"/>
        <v>51.927281654776422</v>
      </c>
      <c r="CW57" s="22">
        <f t="shared" si="13"/>
        <v>456.12383221540227</v>
      </c>
      <c r="CX57" s="62">
        <f t="shared" si="14"/>
        <v>713.8282048827416</v>
      </c>
      <c r="CY57" s="62">
        <f ca="1">AVERAGE(OFFSET($CX$3,0,0,'Données projet'!$E$13+1,1))-AVERAGE(OFFSET($H$3,0,0,'Données projet'!$E$13+1,1))</f>
        <v>491.87038198656927</v>
      </c>
      <c r="CZ57" s="62">
        <f t="shared" si="42"/>
        <v>406.49261644949559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0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10.199999999999999</v>
      </c>
      <c r="DO57" s="13">
        <f>IF('Données projet'!$A$166&gt;35,DO56+DN57-DW56,IF(A57&lt;'Données projet'!$A$166,$DL$205^A57,IF(A57='Données projet'!$A$166,'Données projet'!$B$166,DO56+DN57-DW56)))</f>
        <v>271.8</v>
      </c>
      <c r="DP57" s="18">
        <f>DO57*VLOOKUP('Données projet'!$B$14,Paramètres!$A$1:$I$89,3,0)*VLOOKUP('Données projet'!$B$14,Paramètres!$A$1:$I$89,5,0)</f>
        <v>262.88496000000004</v>
      </c>
      <c r="DQ57" s="14">
        <f t="shared" si="43"/>
        <v>63.336939343271965</v>
      </c>
      <c r="DR57" s="22">
        <f t="shared" si="16"/>
        <v>568.16980802286537</v>
      </c>
      <c r="DS57" s="62">
        <f t="shared" si="17"/>
        <v>825.87418069020464</v>
      </c>
      <c r="DT57" s="62">
        <f ca="1">AVERAGE(OFFSET($DS$3,0,0,'Données projet'!$E$14+1,1))-AVERAGE(OFFSET($H$3,0,0,'Données projet'!$E$14+1,1))</f>
        <v>603.52431522262032</v>
      </c>
      <c r="DU57" s="62">
        <f t="shared" si="44"/>
        <v>313.56299786481338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projet'!$B$14,Paramètres!$A$1:$I$89,3,0)*0.475*44/12</f>
        <v>0</v>
      </c>
      <c r="EB57" s="23">
        <f>EXP(-LN(2)/25)*EB56+(1-EXP(-LN(2)/25))/(LN(2)/25)*Calculateur!DW57*Calculateur!DY57*VLOOKUP('Données projet'!$B$14,Paramètres!$A$1:$I$89,3,0)*0.475*44/12</f>
        <v>0</v>
      </c>
      <c r="EC57" s="23">
        <f>EXP(-LN(2)/2)*EC56+(1-EXP(-LN(2)/2))/(LN(2)/2)*DW57*DZ57*VLOOKUP('Données projet'!$B$14,Paramètres!$A$1:$I$89,3,0)*0.475*44/12</f>
        <v>0</v>
      </c>
      <c r="ED57" s="24">
        <f t="shared" si="18"/>
        <v>0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7.6</v>
      </c>
      <c r="EJ57" s="13">
        <f>IF('Données projet'!$A$192&gt;35,EJ56+EI57-ER56,IF(A57&lt;'Données projet'!$A$192,$EG$205^A57,IF(A57='Données projet'!$A$192,'Données projet'!$B$192,EJ56+EI57-ER56)))</f>
        <v>258.39999999999998</v>
      </c>
      <c r="EK57" s="18">
        <f>EJ57*VLOOKUP('Données projet'!$B$15,Paramètres!$A$1:$I$89,3,0)*VLOOKUP('Données projet'!$B$15,Paramètres!$A$1:$I$89,5,0)</f>
        <v>209.61408</v>
      </c>
      <c r="EL57" s="14">
        <f t="shared" si="45"/>
        <v>51.851243442662593</v>
      </c>
      <c r="EM57" s="22">
        <f t="shared" si="19"/>
        <v>455.38543832930395</v>
      </c>
      <c r="EN57" s="62">
        <f t="shared" si="20"/>
        <v>713.08981099664334</v>
      </c>
      <c r="EO57" s="62">
        <f ca="1">AVERAGE(OFFSET($EN$3,0,0,'Données projet'!$E$15+1,1))-AVERAGE(OFFSET($H$3,0,0,'Données projet'!$E$15+1,1))</f>
        <v>272.69564942740931</v>
      </c>
      <c r="EP57" s="62">
        <f t="shared" si="46"/>
        <v>316.57989180609252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>
        <f>EXP(-LN(2)/35)*EV56+(1-EXP(-LN(2)/35))/(LN(2)/35)*ER57*ES57*VLOOKUP('Données projet'!$B$15,Paramètres!$A$1:$I$89,3,0)*0.475*44/12</f>
        <v>0</v>
      </c>
      <c r="EW57" s="23">
        <f>EXP(-LN(2)/25)*EW56+(1-EXP(-LN(2)/25))/(LN(2)/25)*Calculateur!ER57*Calculateur!ET57*VLOOKUP('Données projet'!$B$15,Paramètres!$A$1:$I$89,3,0)*0.475*44/12</f>
        <v>0</v>
      </c>
      <c r="EX57" s="23">
        <f>EXP(-LN(2)/2)*EX56+(1-EXP(-LN(2)/2))/(LN(2)/2)*ER57*EU57*VLOOKUP('Données projet'!$B$15,Paramètres!$A$1:$I$89,3,0)*0.475*44/12</f>
        <v>0</v>
      </c>
      <c r="EY57" s="24">
        <f t="shared" si="21"/>
        <v>0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7.1794871794871824</v>
      </c>
      <c r="FE57" s="13">
        <f>IF('Données projet'!$A$218&gt;35,FE56+FD57-FM56,IF(A57&lt;'Données projet'!$A$218,$FB$205^A57,IF(A57='Données projet'!$A$218,'Données projet'!$B$218,FE56+FD57-FM56)))</f>
        <v>285.76923076923055</v>
      </c>
      <c r="FF57" s="18">
        <f>FE57*VLOOKUP('Données projet'!$B$16,Paramètres!$A$1:$I$89,3,0)*VLOOKUP('Données projet'!$B$16,Paramètres!$A$1:$I$89,5,0)</f>
        <v>191.69399999999985</v>
      </c>
      <c r="FG57" s="14">
        <f t="shared" si="47"/>
        <v>47.914278503518837</v>
      </c>
      <c r="FH57" s="22">
        <f t="shared" si="22"/>
        <v>417.31775172696166</v>
      </c>
      <c r="FI57" s="62">
        <f t="shared" si="23"/>
        <v>675.02212439430104</v>
      </c>
      <c r="FJ57" s="62">
        <f ca="1">AVERAGE(OFFSET($FI$3,0,0,'Données projet'!$E$16+1,1))-AVERAGE(OFFSET($H$3,0,0,'Données projet'!$E$16+1,1))</f>
        <v>440.90856392064205</v>
      </c>
      <c r="FK57" s="62">
        <f t="shared" si="48"/>
        <v>373.33139300970629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>
        <f>EXP(-LN(2)/35)*FQ56+(1-EXP(-LN(2)/35))/(LN(2)/35)*FM57*FN57*VLOOKUP('Données projet'!$B$16,Paramètres!$A$1:$I$89,3,0)*0.475*44/12</f>
        <v>0</v>
      </c>
      <c r="FR57" s="23">
        <f>EXP(-LN(2)/25)*FR56+(1-EXP(-LN(2)/25))/(LN(2)/25)*Calculateur!FM57*Calculateur!FO57*VLOOKUP('Données projet'!$B$16,Paramètres!$A$1:$I$89,3,0)*0.475*44/12</f>
        <v>0</v>
      </c>
      <c r="FS57" s="23">
        <f>EXP(-LN(2)/2)*FS56+(1-EXP(-LN(2)/2))/(LN(2)/2)*FM57*FP57*VLOOKUP('Données projet'!$B$16,Paramètres!$A$1:$I$89,3,0)*0.475*44/12</f>
        <v>0</v>
      </c>
      <c r="FT57" s="24">
        <f t="shared" si="24"/>
        <v>0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70">
        <f t="shared" si="1"/>
        <v>183.33333333333334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282</v>
      </c>
      <c r="L58" s="13">
        <f>VLOOKUP(A58,'Données projet'!$A$35:$I$55,9,0)</f>
        <v>10.199999999999999</v>
      </c>
      <c r="M58" s="13">
        <f t="array" ref="M58">INDEX(L:L,MIN(IF(ISNUMBER(L58:L254),ROW(L58:L254),"")))</f>
        <v>10.199999999999999</v>
      </c>
      <c r="N58" s="14">
        <f>IF('Données projet'!$A$36&gt;35,N57+M58-V57,IF(A58&lt;'Données projet'!$A$36,$K$205^A58,IF(A58='Données projet'!$A$36,'Données projet'!$B$36,N57+M58-V57)))</f>
        <v>282</v>
      </c>
      <c r="O58" s="14">
        <f>N58*VLOOKUP('Données projet'!$B$9,Paramètres!$A$1:$I$89,3,0)*VLOOKUP('Données projet'!$B$9,Paramètres!$A$1:$I$89,5,0)</f>
        <v>255.15360000000001</v>
      </c>
      <c r="P58" s="14">
        <f t="shared" si="33"/>
        <v>61.688192762754426</v>
      </c>
      <c r="Q58" s="22">
        <f t="shared" si="53"/>
        <v>551.83278906179726</v>
      </c>
      <c r="R58" s="62">
        <f t="shared" si="0"/>
        <v>810.15524454226863</v>
      </c>
      <c r="S58" s="62">
        <f ca="1">AVERAGE(OFFSET($R$3,0,0,'Données projet'!$E$9+1,1))-AVERAGE(OFFSET($H$3,0,0,'Données projet'!$E$9+1,1))</f>
        <v>570.08763950759544</v>
      </c>
      <c r="T58" s="62">
        <f t="shared" si="34"/>
        <v>297.32483725004136</v>
      </c>
      <c r="U58" s="16">
        <f>IF(ISNA(VLOOKUP(A58,'Données projet'!$A$35:$I$55,3,0)),0,VLOOKUP(A58,'Données projet'!$A$35:$I$55,3,0))</f>
        <v>4</v>
      </c>
      <c r="V58" s="16">
        <f>IF(ISNA(VLOOKUP(A58,'Données projet'!$A$35:$I$55,4,0)),0,VLOOKUP(A58,'Données projet'!$A$35:$I$55,4,0))</f>
        <v>56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279</v>
      </c>
      <c r="AG58" s="13">
        <f>VLOOKUP(A58,'Données projet'!$A$61:$I$81,9,0)</f>
        <v>7.4</v>
      </c>
      <c r="AH58" s="13">
        <f t="array" ref="AH58">INDEX(AG:AG,MIN(IF(ISNUMBER(AG58:AG254),ROW(AG58:AG254),"")))</f>
        <v>7.4</v>
      </c>
      <c r="AI58" s="14">
        <f>IF('Données projet'!$A$62&gt;35,AI57+AH58-AQ57,IF(A58&lt;'Données projet'!$A$62,$AF$205^A58,IF(A58='Données projet'!$A$62,'Données projet'!$B$62,AI57+AH58-AQ57)))</f>
        <v>279</v>
      </c>
      <c r="AJ58" s="14">
        <f>AI58*VLOOKUP('Données projet'!$B$10,Paramètres!$A$1:$I$89,3,0)*VLOOKUP('Données projet'!$B$10,Paramètres!$A$1:$I$89,5,0)</f>
        <v>221.97239999999999</v>
      </c>
      <c r="AK58" s="14">
        <f t="shared" si="35"/>
        <v>54.543354171476821</v>
      </c>
      <c r="AL58" s="22">
        <f t="shared" si="4"/>
        <v>481.59827184865549</v>
      </c>
      <c r="AM58" s="62">
        <f t="shared" si="5"/>
        <v>739.92072732912686</v>
      </c>
      <c r="AN58" s="62">
        <f ca="1">AVERAGE(OFFSET($AM$3,0,0,'Données projet'!$E$10+1,1))-AVERAGE(OFFSET($H$3,0,0,'Données projet'!$E$10+1,1))</f>
        <v>394.70330963327166</v>
      </c>
      <c r="AO58" s="62">
        <f t="shared" si="36"/>
        <v>424.06445894109982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279</v>
      </c>
      <c r="BB58" s="13">
        <f>VLOOKUP(A58,'Données projet'!$A$87:$I$107,9,0)</f>
        <v>7.4</v>
      </c>
      <c r="BC58" s="13">
        <f t="array" ref="BC58">INDEX(BB:BB,MIN(IF(ISNUMBER(BB58:BB254),ROW(BB58:BB254),"")))</f>
        <v>7.4</v>
      </c>
      <c r="BD58" s="13">
        <f>IF('Données projet'!$A$88&gt;35,BD57+BC58-BL57,IF(A58&lt;'Données projet'!$A$88,$BA$205^A58,IF(A58='Données projet'!$A$88,'Données projet'!$B$88,BD57+BC58-BL57)))</f>
        <v>279</v>
      </c>
      <c r="BE58" s="14">
        <f>BD58*VLOOKUP('Données projet'!$B$11,Paramètres!$A$1:$I$89,3,0)*VLOOKUP('Données projet'!$B$11,Paramètres!$A$1:$I$89,5,0)</f>
        <v>204.56280000000001</v>
      </c>
      <c r="BF58" s="14">
        <f t="shared" si="37"/>
        <v>50.74561278586372</v>
      </c>
      <c r="BG58" s="22">
        <f t="shared" si="7"/>
        <v>444.66215226871265</v>
      </c>
      <c r="BH58" s="62">
        <f t="shared" si="8"/>
        <v>702.98460774918408</v>
      </c>
      <c r="BI58" s="62">
        <f ca="1">AVERAGE(OFFSET($BH$3,0,0,'Données projet'!$E$11+1,1))-AVERAGE(OFFSET($H$3,0,0,'Données projet'!$E$11+1,1))</f>
        <v>368.54671978064204</v>
      </c>
      <c r="BJ58" s="62">
        <f t="shared" si="38"/>
        <v>395.83504504492237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9.375</v>
      </c>
      <c r="BY58" s="13">
        <f>IF('Données projet'!$A$114&gt;35,BY57+BX58-CG57,IF(A58&lt;'Données projet'!$A$114,$BV$205^A58,IF(A58='Données projet'!$A$114,'Données projet'!$B$114,BY57+BX58-CG57)))</f>
        <v>250.12499999999989</v>
      </c>
      <c r="BZ58" s="14">
        <f>BY58*VLOOKUP('Données projet'!$B$12,Paramètres!$A$1:$I$89,3,0)*VLOOKUP('Données projet'!$B$12,Paramètres!$A$1:$I$89,5,0)</f>
        <v>195.09749999999991</v>
      </c>
      <c r="CA58" s="14">
        <f t="shared" si="39"/>
        <v>48.66519532492579</v>
      </c>
      <c r="CB58" s="22">
        <f t="shared" si="10"/>
        <v>424.55336102424553</v>
      </c>
      <c r="CC58" s="62">
        <f t="shared" si="11"/>
        <v>682.87581650471691</v>
      </c>
      <c r="CD58" s="62">
        <f ca="1">AVERAGE(OFFSET($CC$3,0,0,'Données projet'!$E$12+1,1))-AVERAGE(OFFSET($H$3,0,0,'Données projet'!$E$12+1,1))</f>
        <v>309.21625451786218</v>
      </c>
      <c r="CE58" s="62">
        <f t="shared" si="40"/>
        <v>302.59481222418219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>
        <f>VLOOKUP(A58,'Données projet'!$A$139:$I$159,2,0)</f>
        <v>226.92307692307691</v>
      </c>
      <c r="CR58" s="13">
        <f>VLOOKUP(A58,'Données projet'!$A$139:$I$159,9,0)</f>
        <v>6.2820512820512819</v>
      </c>
      <c r="CS58" s="13">
        <f t="array" ref="CS58">INDEX(CR:CR,MIN(IF(ISNUMBER(CR58:CR254),ROW(CR58:CR254),"")))</f>
        <v>6.2820512820512819</v>
      </c>
      <c r="CT58" s="13">
        <f>IF('Données projet'!$A$140&gt;35,CT57+CS58-DB57,IF(A58&lt;'Données projet'!$A$140,$CQ$205^A58,IF(A58='Données projet'!$A$140,'Données projet'!$B$140,CT57+CS58-DB57)))</f>
        <v>226.92307692307688</v>
      </c>
      <c r="CU58" s="18">
        <f>CT58*VLOOKUP('Données projet'!$B$13,Paramètres!$A$1:$I$89,3,0)*VLOOKUP('Données projet'!$B$13,Paramètres!$A$1:$I$89,5,0)</f>
        <v>215.93999999999997</v>
      </c>
      <c r="CV58" s="14">
        <f t="shared" si="41"/>
        <v>53.231510438903811</v>
      </c>
      <c r="CW58" s="22">
        <f t="shared" si="13"/>
        <v>468.80704734775742</v>
      </c>
      <c r="CX58" s="62">
        <f t="shared" si="14"/>
        <v>727.12950282822885</v>
      </c>
      <c r="CY58" s="62">
        <f ca="1">AVERAGE(OFFSET($CX$3,0,0,'Données projet'!$E$13+1,1))-AVERAGE(OFFSET($H$3,0,0,'Données projet'!$E$13+1,1))</f>
        <v>491.87038198656927</v>
      </c>
      <c r="CZ58" s="62">
        <f t="shared" si="42"/>
        <v>406.49261644949559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0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>
        <f>VLOOKUP(A58,'Données projet'!$A$165:$I$185,2,0)</f>
        <v>282</v>
      </c>
      <c r="DM58" s="13">
        <f>VLOOKUP(A58,'Données projet'!$A$165:$I$185,9,0)</f>
        <v>10.199999999999999</v>
      </c>
      <c r="DN58" s="13">
        <f t="array" ref="DN58">INDEX(DM:DM,MIN(IF(ISNUMBER(DM58:DM254),ROW(DM58:DM254),"")))</f>
        <v>10.199999999999999</v>
      </c>
      <c r="DO58" s="13">
        <f>IF('Données projet'!$A$166&gt;35,DO57+DN58-DW57,IF(A58&lt;'Données projet'!$A$166,$DL$205^A58,IF(A58='Données projet'!$A$166,'Données projet'!$B$166,DO57+DN58-DW57)))</f>
        <v>282</v>
      </c>
      <c r="DP58" s="18">
        <f>DO58*VLOOKUP('Données projet'!$B$14,Paramètres!$A$1:$I$89,3,0)*VLOOKUP('Données projet'!$B$14,Paramètres!$A$1:$I$89,5,0)</f>
        <v>272.75040000000001</v>
      </c>
      <c r="DQ58" s="14">
        <f t="shared" si="43"/>
        <v>65.43262883082069</v>
      </c>
      <c r="DR58" s="22">
        <f t="shared" si="16"/>
        <v>589.00210854701277</v>
      </c>
      <c r="DS58" s="62">
        <f t="shared" si="17"/>
        <v>847.32456402748414</v>
      </c>
      <c r="DT58" s="62">
        <f ca="1">AVERAGE(OFFSET($DS$3,0,0,'Données projet'!$E$14+1,1))-AVERAGE(OFFSET($H$3,0,0,'Données projet'!$E$14+1,1))</f>
        <v>603.52431522262032</v>
      </c>
      <c r="DU58" s="62">
        <f t="shared" si="44"/>
        <v>313.56299786481338</v>
      </c>
      <c r="DV58" s="16">
        <f>IF(ISNA(VLOOKUP(A58,'Données projet'!$A$165:$I$185,3,0)),0,VLOOKUP(A58,'Données projet'!$A$165:$I$185,3,0))</f>
        <v>4</v>
      </c>
      <c r="DW58" s="16">
        <f>IF(ISNA(VLOOKUP(A58,'Données projet'!$A$165:$I$185,4,0)),0,VLOOKUP(A58,'Données projet'!$A$165:$I$185,4,0))</f>
        <v>56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projet'!$B$14,Paramètres!$A$1:$I$89,3,0)*0.475*44/12</f>
        <v>0</v>
      </c>
      <c r="EB58" s="23">
        <f>EXP(-LN(2)/25)*EB57+(1-EXP(-LN(2)/25))/(LN(2)/25)*Calculateur!DW58*Calculateur!DY58*VLOOKUP('Données projet'!$B$14,Paramètres!$A$1:$I$89,3,0)*0.475*44/12</f>
        <v>0</v>
      </c>
      <c r="EC58" s="23">
        <f>EXP(-LN(2)/2)*EC57+(1-EXP(-LN(2)/2))/(LN(2)/2)*DW58*DZ58*VLOOKUP('Données projet'!$B$14,Paramètres!$A$1:$I$89,3,0)*0.475*44/12</f>
        <v>0</v>
      </c>
      <c r="ED58" s="24">
        <f t="shared" si="18"/>
        <v>0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>
        <f>VLOOKUP(A58,'Données projet'!$A$191:$I$211,2,0)</f>
        <v>266</v>
      </c>
      <c r="EH58" s="13">
        <f>VLOOKUP(A58,'Données projet'!$A$191:$I$211,9,0)</f>
        <v>7.6</v>
      </c>
      <c r="EI58" s="13">
        <f t="array" ref="EI58">INDEX(EH:EH,MIN(IF(ISNUMBER(EH58:EH254),ROW(EH58:EH254),"")))</f>
        <v>7.6</v>
      </c>
      <c r="EJ58" s="13">
        <f>IF('Données projet'!$A$192&gt;35,EJ57+EI58-ER57,IF(A58&lt;'Données projet'!$A$192,$EG$205^A58,IF(A58='Données projet'!$A$192,'Données projet'!$B$192,EJ57+EI58-ER57)))</f>
        <v>266</v>
      </c>
      <c r="EK58" s="18">
        <f>EJ58*VLOOKUP('Données projet'!$B$15,Paramètres!$A$1:$I$89,3,0)*VLOOKUP('Données projet'!$B$15,Paramètres!$A$1:$I$89,5,0)</f>
        <v>215.7792</v>
      </c>
      <c r="EL58" s="14">
        <f t="shared" si="45"/>
        <v>53.196483976998607</v>
      </c>
      <c r="EM58" s="22">
        <f t="shared" si="19"/>
        <v>468.46598292660588</v>
      </c>
      <c r="EN58" s="62">
        <f t="shared" si="20"/>
        <v>726.78843840707725</v>
      </c>
      <c r="EO58" s="62">
        <f ca="1">AVERAGE(OFFSET($EN$3,0,0,'Données projet'!$E$15+1,1))-AVERAGE(OFFSET($H$3,0,0,'Données projet'!$E$15+1,1))</f>
        <v>272.69564942740931</v>
      </c>
      <c r="EP58" s="62">
        <f t="shared" si="46"/>
        <v>316.57989180609252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>
        <f>EXP(-LN(2)/35)*EV57+(1-EXP(-LN(2)/35))/(LN(2)/35)*ER58*ES58*VLOOKUP('Données projet'!$B$15,Paramètres!$A$1:$I$89,3,0)*0.475*44/12</f>
        <v>0</v>
      </c>
      <c r="EW58" s="23">
        <f>EXP(-LN(2)/25)*EW57+(1-EXP(-LN(2)/25))/(LN(2)/25)*Calculateur!ER58*Calculateur!ET58*VLOOKUP('Données projet'!$B$15,Paramètres!$A$1:$I$89,3,0)*0.475*44/12</f>
        <v>0</v>
      </c>
      <c r="EX58" s="23">
        <f>EXP(-LN(2)/2)*EX57+(1-EXP(-LN(2)/2))/(LN(2)/2)*ER58*EU58*VLOOKUP('Données projet'!$B$15,Paramètres!$A$1:$I$89,3,0)*0.475*44/12</f>
        <v>0</v>
      </c>
      <c r="EY58" s="24">
        <f t="shared" si="21"/>
        <v>0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>
        <f>VLOOKUP(A58,'Données projet'!$A$217:$I$237,2,0)</f>
        <v>292.94871794871796</v>
      </c>
      <c r="FC58" s="13">
        <f>VLOOKUP(A58,'Données projet'!$A$217:$I$237,9,0)</f>
        <v>7.1794871794871824</v>
      </c>
      <c r="FD58" s="13">
        <f t="array" ref="FD58">INDEX(FC:FC,MIN(IF(ISNUMBER(FC58:FC254),ROW(FC58:FC254),"")))</f>
        <v>7.1794871794871824</v>
      </c>
      <c r="FE58" s="13">
        <f>IF('Données projet'!$A$218&gt;35,FE57+FD58-FM57,IF(A58&lt;'Données projet'!$A$218,$FB$205^A58,IF(A58='Données projet'!$A$218,'Données projet'!$B$218,FE57+FD58-FM57)))</f>
        <v>292.94871794871773</v>
      </c>
      <c r="FF58" s="18">
        <f>FE58*VLOOKUP('Données projet'!$B$16,Paramètres!$A$1:$I$89,3,0)*VLOOKUP('Données projet'!$B$16,Paramètres!$A$1:$I$89,5,0)</f>
        <v>196.50999999999985</v>
      </c>
      <c r="FG58" s="14">
        <f t="shared" si="47"/>
        <v>48.976387297804273</v>
      </c>
      <c r="FH58" s="22">
        <f t="shared" si="22"/>
        <v>427.55545787700885</v>
      </c>
      <c r="FI58" s="62">
        <f t="shared" si="23"/>
        <v>685.87791335748022</v>
      </c>
      <c r="FJ58" s="62">
        <f ca="1">AVERAGE(OFFSET($FI$3,0,0,'Données projet'!$E$16+1,1))-AVERAGE(OFFSET($H$3,0,0,'Données projet'!$E$16+1,1))</f>
        <v>440.90856392064205</v>
      </c>
      <c r="FK58" s="62">
        <f t="shared" si="48"/>
        <v>373.33139300970629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>
        <f>EXP(-LN(2)/35)*FQ57+(1-EXP(-LN(2)/35))/(LN(2)/35)*FM58*FN58*VLOOKUP('Données projet'!$B$16,Paramètres!$A$1:$I$89,3,0)*0.475*44/12</f>
        <v>0</v>
      </c>
      <c r="FR58" s="23">
        <f>EXP(-LN(2)/25)*FR57+(1-EXP(-LN(2)/25))/(LN(2)/25)*Calculateur!FM58*Calculateur!FO58*VLOOKUP('Données projet'!$B$16,Paramètres!$A$1:$I$89,3,0)*0.475*44/12</f>
        <v>0</v>
      </c>
      <c r="FS58" s="23">
        <f>EXP(-LN(2)/2)*FS57+(1-EXP(-LN(2)/2))/(LN(2)/2)*FM58*FP58*VLOOKUP('Données projet'!$B$16,Paramètres!$A$1:$I$89,3,0)*0.475*44/12</f>
        <v>0</v>
      </c>
      <c r="FT58" s="24">
        <f t="shared" si="24"/>
        <v>0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70">
        <f t="shared" si="1"/>
        <v>183.33333333333334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9.4</v>
      </c>
      <c r="N59" s="14">
        <f>IF('Données projet'!$A$36&gt;35,N58+M59-V58,IF(A59&lt;'Données projet'!$A$36,$K$205^A59,IF(A59='Données projet'!$A$36,'Données projet'!$B$36,N58+M59-V58)))</f>
        <v>235.39999999999998</v>
      </c>
      <c r="O59" s="14">
        <f>N59*VLOOKUP('Données projet'!$B$9,Paramètres!$A$1:$I$89,3,0)*VLOOKUP('Données projet'!$B$9,Paramètres!$A$1:$I$89,5,0)</f>
        <v>212.98991999999998</v>
      </c>
      <c r="P59" s="14">
        <f t="shared" si="33"/>
        <v>52.588419883221171</v>
      </c>
      <c r="Q59" s="22">
        <f t="shared" si="53"/>
        <v>462.54894196327677</v>
      </c>
      <c r="R59" s="62">
        <f t="shared" si="0"/>
        <v>721.47875790189846</v>
      </c>
      <c r="S59" s="62">
        <f ca="1">AVERAGE(OFFSET($R$3,0,0,'Données projet'!$E$9+1,1))-AVERAGE(OFFSET($H$3,0,0,'Données projet'!$E$9+1,1))</f>
        <v>570.08763950759544</v>
      </c>
      <c r="T59" s="62">
        <f t="shared" si="34"/>
        <v>297.32483725004136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6.2</v>
      </c>
      <c r="AI59" s="14">
        <f>IF('Données projet'!$A$62&gt;35,AI58+AH59-AQ58,IF(A59&lt;'Données projet'!$A$62,$AF$205^A59,IF(A59='Données projet'!$A$62,'Données projet'!$B$62,AI58+AH59-AQ58)))</f>
        <v>285.2</v>
      </c>
      <c r="AJ59" s="14">
        <f>AI59*VLOOKUP('Données projet'!$B$10,Paramètres!$A$1:$I$89,3,0)*VLOOKUP('Données projet'!$B$10,Paramètres!$A$1:$I$89,5,0)</f>
        <v>226.90512000000001</v>
      </c>
      <c r="AK59" s="14">
        <f t="shared" si="35"/>
        <v>55.612969408444414</v>
      </c>
      <c r="AL59" s="22">
        <f t="shared" si="4"/>
        <v>492.05233905304067</v>
      </c>
      <c r="AM59" s="62">
        <f t="shared" si="5"/>
        <v>750.98215499166236</v>
      </c>
      <c r="AN59" s="62">
        <f ca="1">AVERAGE(OFFSET($AM$3,0,0,'Données projet'!$E$10+1,1))-AVERAGE(OFFSET($H$3,0,0,'Données projet'!$E$10+1,1))</f>
        <v>394.70330963327166</v>
      </c>
      <c r="AO59" s="62">
        <f t="shared" si="36"/>
        <v>424.06445894109982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6.2</v>
      </c>
      <c r="BD59" s="13">
        <f>IF('Données projet'!$A$88&gt;35,BD58+BC59-BL58,IF(A59&lt;'Données projet'!$A$88,$BA$205^A59,IF(A59='Données projet'!$A$88,'Données projet'!$B$88,BD58+BC59-BL58)))</f>
        <v>285.2</v>
      </c>
      <c r="BE59" s="14">
        <f>BD59*VLOOKUP('Données projet'!$B$11,Paramètres!$A$1:$I$89,3,0)*VLOOKUP('Données projet'!$B$11,Paramètres!$A$1:$I$89,5,0)</f>
        <v>209.10863999999998</v>
      </c>
      <c r="BF59" s="14">
        <f t="shared" si="37"/>
        <v>51.740752917407036</v>
      </c>
      <c r="BG59" s="22">
        <f t="shared" si="7"/>
        <v>454.3126926644839</v>
      </c>
      <c r="BH59" s="62">
        <f t="shared" si="8"/>
        <v>713.24250860310565</v>
      </c>
      <c r="BI59" s="62">
        <f ca="1">AVERAGE(OFFSET($BH$3,0,0,'Données projet'!$E$11+1,1))-AVERAGE(OFFSET($H$3,0,0,'Données projet'!$E$11+1,1))</f>
        <v>368.54671978064204</v>
      </c>
      <c r="BJ59" s="62">
        <f t="shared" si="38"/>
        <v>395.83504504492237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9.375</v>
      </c>
      <c r="BY59" s="13">
        <f>IF('Données projet'!$A$114&gt;35,BY58+BX59-CG58,IF(A59&lt;'Données projet'!$A$114,$BV$205^A59,IF(A59='Données projet'!$A$114,'Données projet'!$B$114,BY58+BX59-CG58)))</f>
        <v>259.49999999999989</v>
      </c>
      <c r="BZ59" s="14">
        <f>BY59*VLOOKUP('Données projet'!$B$12,Paramètres!$A$1:$I$89,3,0)*VLOOKUP('Données projet'!$B$12,Paramètres!$A$1:$I$89,5,0)</f>
        <v>202.40999999999991</v>
      </c>
      <c r="CA59" s="14">
        <f t="shared" si="39"/>
        <v>50.273442991661817</v>
      </c>
      <c r="CB59" s="22">
        <f t="shared" si="10"/>
        <v>440.09032987714414</v>
      </c>
      <c r="CC59" s="62">
        <f t="shared" si="11"/>
        <v>699.02014581576589</v>
      </c>
      <c r="CD59" s="62">
        <f ca="1">AVERAGE(OFFSET($CC$3,0,0,'Données projet'!$E$12+1,1))-AVERAGE(OFFSET($H$3,0,0,'Données projet'!$E$12+1,1))</f>
        <v>309.21625451786218</v>
      </c>
      <c r="CE59" s="62">
        <f t="shared" si="40"/>
        <v>302.59481222418219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5.8974358974359005</v>
      </c>
      <c r="CT59" s="13">
        <f>IF('Données projet'!$A$140&gt;35,CT58+CS59-DB58,IF(A59&lt;'Données projet'!$A$140,$CQ$205^A59,IF(A59='Données projet'!$A$140,'Données projet'!$B$140,CT58+CS59-DB58)))</f>
        <v>232.82051282051279</v>
      </c>
      <c r="CU59" s="18">
        <f>CT59*VLOOKUP('Données projet'!$B$13,Paramètres!$A$1:$I$89,3,0)*VLOOKUP('Données projet'!$B$13,Paramètres!$A$1:$I$89,5,0)</f>
        <v>221.55199999999999</v>
      </c>
      <c r="CV59" s="14">
        <f t="shared" si="41"/>
        <v>54.452067119881683</v>
      </c>
      <c r="CW59" s="22">
        <f t="shared" si="13"/>
        <v>480.7070835671272</v>
      </c>
      <c r="CX59" s="62">
        <f t="shared" si="14"/>
        <v>739.63689950574894</v>
      </c>
      <c r="CY59" s="62">
        <f ca="1">AVERAGE(OFFSET($CX$3,0,0,'Données projet'!$E$13+1,1))-AVERAGE(OFFSET($H$3,0,0,'Données projet'!$E$13+1,1))</f>
        <v>491.87038198656927</v>
      </c>
      <c r="CZ59" s="62">
        <f t="shared" si="42"/>
        <v>406.49261644949559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0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9.4</v>
      </c>
      <c r="DO59" s="13">
        <f>IF('Données projet'!$A$166&gt;35,DO58+DN59-DW58,IF(A59&lt;'Données projet'!$A$166,$DL$205^A59,IF(A59='Données projet'!$A$166,'Données projet'!$B$166,DO58+DN59-DW58)))</f>
        <v>235.39999999999998</v>
      </c>
      <c r="DP59" s="18">
        <f>DO59*VLOOKUP('Données projet'!$B$14,Paramètres!$A$1:$I$89,3,0)*VLOOKUP('Données projet'!$B$14,Paramètres!$A$1:$I$89,5,0)</f>
        <v>227.67887999999996</v>
      </c>
      <c r="DQ59" s="14">
        <f t="shared" si="43"/>
        <v>55.780505229774469</v>
      </c>
      <c r="DR59" s="22">
        <f t="shared" si="16"/>
        <v>493.69176260852379</v>
      </c>
      <c r="DS59" s="62">
        <f t="shared" si="17"/>
        <v>752.62157854714553</v>
      </c>
      <c r="DT59" s="62">
        <f ca="1">AVERAGE(OFFSET($DS$3,0,0,'Données projet'!$E$14+1,1))-AVERAGE(OFFSET($H$3,0,0,'Données projet'!$E$14+1,1))</f>
        <v>603.52431522262032</v>
      </c>
      <c r="DU59" s="62">
        <f t="shared" si="44"/>
        <v>313.56299786481338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projet'!$B$14,Paramètres!$A$1:$I$89,3,0)*0.475*44/12</f>
        <v>0</v>
      </c>
      <c r="EB59" s="23">
        <f>EXP(-LN(2)/25)*EB58+(1-EXP(-LN(2)/25))/(LN(2)/25)*Calculateur!DW59*Calculateur!DY59*VLOOKUP('Données projet'!$B$14,Paramètres!$A$1:$I$89,3,0)*0.475*44/12</f>
        <v>0</v>
      </c>
      <c r="EC59" s="23">
        <f>EXP(-LN(2)/2)*EC58+(1-EXP(-LN(2)/2))/(LN(2)/2)*DW59*DZ59*VLOOKUP('Données projet'!$B$14,Paramètres!$A$1:$I$89,3,0)*0.475*44/12</f>
        <v>0</v>
      </c>
      <c r="ED59" s="24">
        <f t="shared" si="18"/>
        <v>0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7.4</v>
      </c>
      <c r="EJ59" s="13">
        <f>IF('Données projet'!$A$192&gt;35,EJ58+EI59-ER58,IF(A59&lt;'Données projet'!$A$192,$EG$205^A59,IF(A59='Données projet'!$A$192,'Données projet'!$B$192,EJ58+EI59-ER58)))</f>
        <v>273.39999999999998</v>
      </c>
      <c r="EK59" s="18">
        <f>EJ59*VLOOKUP('Données projet'!$B$15,Paramètres!$A$1:$I$89,3,0)*VLOOKUP('Données projet'!$B$15,Paramètres!$A$1:$I$89,5,0)</f>
        <v>221.78208000000001</v>
      </c>
      <c r="EL59" s="14">
        <f t="shared" si="45"/>
        <v>54.502029950220781</v>
      </c>
      <c r="EM59" s="22">
        <f t="shared" si="19"/>
        <v>481.19482482996779</v>
      </c>
      <c r="EN59" s="62">
        <f t="shared" si="20"/>
        <v>740.12464076858953</v>
      </c>
      <c r="EO59" s="62">
        <f ca="1">AVERAGE(OFFSET($EN$3,0,0,'Données projet'!$E$15+1,1))-AVERAGE(OFFSET($H$3,0,0,'Données projet'!$E$15+1,1))</f>
        <v>272.69564942740931</v>
      </c>
      <c r="EP59" s="62">
        <f t="shared" si="46"/>
        <v>316.57989180609252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>
        <f>EXP(-LN(2)/35)*EV58+(1-EXP(-LN(2)/35))/(LN(2)/35)*ER59*ES59*VLOOKUP('Données projet'!$B$15,Paramètres!$A$1:$I$89,3,0)*0.475*44/12</f>
        <v>0</v>
      </c>
      <c r="EW59" s="23">
        <f>EXP(-LN(2)/25)*EW58+(1-EXP(-LN(2)/25))/(LN(2)/25)*Calculateur!ER59*Calculateur!ET59*VLOOKUP('Données projet'!$B$15,Paramètres!$A$1:$I$89,3,0)*0.475*44/12</f>
        <v>0</v>
      </c>
      <c r="EX59" s="23">
        <f>EXP(-LN(2)/2)*EX58+(1-EXP(-LN(2)/2))/(LN(2)/2)*ER59*EU59*VLOOKUP('Données projet'!$B$15,Paramètres!$A$1:$I$89,3,0)*0.475*44/12</f>
        <v>0</v>
      </c>
      <c r="EY59" s="24">
        <f t="shared" si="21"/>
        <v>0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6.5384615384615357</v>
      </c>
      <c r="FE59" s="13">
        <f>IF('Données projet'!$A$218&gt;35,FE58+FD59-FM58,IF(A59&lt;'Données projet'!$A$218,$FB$205^A59,IF(A59='Données projet'!$A$218,'Données projet'!$B$218,FE58+FD59-FM58)))</f>
        <v>299.48717948717928</v>
      </c>
      <c r="FF59" s="18">
        <f>FE59*VLOOKUP('Données projet'!$B$16,Paramètres!$A$1:$I$89,3,0)*VLOOKUP('Données projet'!$B$16,Paramètres!$A$1:$I$89,5,0)</f>
        <v>200.89599999999987</v>
      </c>
      <c r="FG59" s="14">
        <f t="shared" si="47"/>
        <v>49.941030149068958</v>
      </c>
      <c r="FH59" s="22">
        <f t="shared" si="22"/>
        <v>436.87449417629483</v>
      </c>
      <c r="FI59" s="62">
        <f t="shared" si="23"/>
        <v>695.80431011491658</v>
      </c>
      <c r="FJ59" s="62">
        <f ca="1">AVERAGE(OFFSET($FI$3,0,0,'Données projet'!$E$16+1,1))-AVERAGE(OFFSET($H$3,0,0,'Données projet'!$E$16+1,1))</f>
        <v>440.90856392064205</v>
      </c>
      <c r="FK59" s="62">
        <f t="shared" si="48"/>
        <v>373.33139300970629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>
        <f>EXP(-LN(2)/35)*FQ58+(1-EXP(-LN(2)/35))/(LN(2)/35)*FM59*FN59*VLOOKUP('Données projet'!$B$16,Paramètres!$A$1:$I$89,3,0)*0.475*44/12</f>
        <v>0</v>
      </c>
      <c r="FR59" s="23">
        <f>EXP(-LN(2)/25)*FR58+(1-EXP(-LN(2)/25))/(LN(2)/25)*Calculateur!FM59*Calculateur!FO59*VLOOKUP('Données projet'!$B$16,Paramètres!$A$1:$I$89,3,0)*0.475*44/12</f>
        <v>0</v>
      </c>
      <c r="FS59" s="23">
        <f>EXP(-LN(2)/2)*FS58+(1-EXP(-LN(2)/2))/(LN(2)/2)*FM59*FP59*VLOOKUP('Données projet'!$B$16,Paramètres!$A$1:$I$89,3,0)*0.475*44/12</f>
        <v>0</v>
      </c>
      <c r="FT59" s="24">
        <f t="shared" si="24"/>
        <v>0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70">
        <f t="shared" si="1"/>
        <v>183.33333333333334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9.4</v>
      </c>
      <c r="N60" s="14">
        <f>IF('Données projet'!$A$36&gt;35,N59+M60-V59,IF(A60&lt;'Données projet'!$A$36,$K$205^A60,IF(A60='Données projet'!$A$36,'Données projet'!$B$36,N59+M60-V59)))</f>
        <v>244.79999999999998</v>
      </c>
      <c r="O60" s="14">
        <f>N60*VLOOKUP('Données projet'!$B$9,Paramètres!$A$1:$I$89,3,0)*VLOOKUP('Données projet'!$B$9,Paramètres!$A$1:$I$89,5,0)</f>
        <v>221.49503999999999</v>
      </c>
      <c r="P60" s="14">
        <f t="shared" si="33"/>
        <v>54.439697086174412</v>
      </c>
      <c r="Q60" s="22">
        <f t="shared" si="53"/>
        <v>480.58633375842032</v>
      </c>
      <c r="R60" s="62">
        <f t="shared" si="0"/>
        <v>740.11297380909809</v>
      </c>
      <c r="S60" s="62">
        <f ca="1">AVERAGE(OFFSET($R$3,0,0,'Données projet'!$E$9+1,1))-AVERAGE(OFFSET($H$3,0,0,'Données projet'!$E$9+1,1))</f>
        <v>570.08763950759544</v>
      </c>
      <c r="T60" s="62">
        <f t="shared" si="34"/>
        <v>297.32483725004136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6.2</v>
      </c>
      <c r="AI60" s="14">
        <f>IF('Données projet'!$A$62&gt;35,AI59+AH60-AQ59,IF(A60&lt;'Données projet'!$A$62,$AF$205^A60,IF(A60='Données projet'!$A$62,'Données projet'!$B$62,AI59+AH60-AQ59)))</f>
        <v>291.39999999999998</v>
      </c>
      <c r="AJ60" s="14">
        <f>AI60*VLOOKUP('Données projet'!$B$10,Paramètres!$A$1:$I$89,3,0)*VLOOKUP('Données projet'!$B$10,Paramètres!$A$1:$I$89,5,0)</f>
        <v>231.83784000000003</v>
      </c>
      <c r="AK60" s="14">
        <f t="shared" si="35"/>
        <v>56.679881250286201</v>
      </c>
      <c r="AL60" s="22">
        <f t="shared" si="4"/>
        <v>502.50169784424844</v>
      </c>
      <c r="AM60" s="62">
        <f t="shared" si="5"/>
        <v>762.02833789492615</v>
      </c>
      <c r="AN60" s="62">
        <f ca="1">AVERAGE(OFFSET($AM$3,0,0,'Données projet'!$E$10+1,1))-AVERAGE(OFFSET($H$3,0,0,'Données projet'!$E$10+1,1))</f>
        <v>394.70330963327166</v>
      </c>
      <c r="AO60" s="62">
        <f t="shared" si="36"/>
        <v>424.06445894109982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6.2</v>
      </c>
      <c r="BD60" s="13">
        <f>IF('Données projet'!$A$88&gt;35,BD59+BC60-BL59,IF(A60&lt;'Données projet'!$A$88,$BA$205^A60,IF(A60='Données projet'!$A$88,'Données projet'!$B$88,BD59+BC60-BL59)))</f>
        <v>291.39999999999998</v>
      </c>
      <c r="BE60" s="14">
        <f>BD60*VLOOKUP('Données projet'!$B$11,Paramètres!$A$1:$I$89,3,0)*VLOOKUP('Données projet'!$B$11,Paramètres!$A$1:$I$89,5,0)</f>
        <v>213.65447999999995</v>
      </c>
      <c r="BF60" s="14">
        <f t="shared" si="37"/>
        <v>52.733377885657866</v>
      </c>
      <c r="BG60" s="22">
        <f t="shared" si="7"/>
        <v>463.95885248418728</v>
      </c>
      <c r="BH60" s="62">
        <f t="shared" si="8"/>
        <v>723.48549253486499</v>
      </c>
      <c r="BI60" s="62">
        <f ca="1">AVERAGE(OFFSET($BH$3,0,0,'Données projet'!$E$11+1,1))-AVERAGE(OFFSET($H$3,0,0,'Données projet'!$E$11+1,1))</f>
        <v>368.54671978064204</v>
      </c>
      <c r="BJ60" s="62">
        <f t="shared" si="38"/>
        <v>395.83504504492237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9.375</v>
      </c>
      <c r="BY60" s="13">
        <f>IF('Données projet'!$A$114&gt;35,BY59+BX60-CG59,IF(A60&lt;'Données projet'!$A$114,$BV$205^A60,IF(A60='Données projet'!$A$114,'Données projet'!$B$114,BY59+BX60-CG59)))</f>
        <v>268.87499999999989</v>
      </c>
      <c r="BZ60" s="14">
        <f>BY60*VLOOKUP('Données projet'!$B$12,Paramètres!$A$1:$I$89,3,0)*VLOOKUP('Données projet'!$B$12,Paramètres!$A$1:$I$89,5,0)</f>
        <v>209.72249999999991</v>
      </c>
      <c r="CA60" s="14">
        <f t="shared" si="39"/>
        <v>51.874940300502246</v>
      </c>
      <c r="CB60" s="22">
        <f t="shared" si="10"/>
        <v>455.61554185670792</v>
      </c>
      <c r="CC60" s="62">
        <f t="shared" si="11"/>
        <v>715.14218190738563</v>
      </c>
      <c r="CD60" s="62">
        <f ca="1">AVERAGE(OFFSET($CC$3,0,0,'Données projet'!$E$12+1,1))-AVERAGE(OFFSET($H$3,0,0,'Données projet'!$E$12+1,1))</f>
        <v>309.21625451786218</v>
      </c>
      <c r="CE60" s="62">
        <f t="shared" si="40"/>
        <v>302.59481222418219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5.8974358974359005</v>
      </c>
      <c r="CT60" s="13">
        <f>IF('Données projet'!$A$140&gt;35,CT59+CS60-DB59,IF(A60&lt;'Données projet'!$A$140,$CQ$205^A60,IF(A60='Données projet'!$A$140,'Données projet'!$B$140,CT59+CS60-DB59)))</f>
        <v>238.7179487179487</v>
      </c>
      <c r="CU60" s="18">
        <f>CT60*VLOOKUP('Données projet'!$B$13,Paramètres!$A$1:$I$89,3,0)*VLOOKUP('Données projet'!$B$13,Paramètres!$A$1:$I$89,5,0)</f>
        <v>227.16399999999999</v>
      </c>
      <c r="CV60" s="14">
        <f t="shared" si="41"/>
        <v>55.66902993459999</v>
      </c>
      <c r="CW60" s="22">
        <f t="shared" si="13"/>
        <v>492.60086046942826</v>
      </c>
      <c r="CX60" s="62">
        <f t="shared" si="14"/>
        <v>752.12750052010597</v>
      </c>
      <c r="CY60" s="62">
        <f ca="1">AVERAGE(OFFSET($CX$3,0,0,'Données projet'!$E$13+1,1))-AVERAGE(OFFSET($H$3,0,0,'Données projet'!$E$13+1,1))</f>
        <v>491.87038198656927</v>
      </c>
      <c r="CZ60" s="62">
        <f t="shared" si="42"/>
        <v>406.49261644949559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0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9.4</v>
      </c>
      <c r="DO60" s="13">
        <f>IF('Données projet'!$A$166&gt;35,DO59+DN60-DW59,IF(A60&lt;'Données projet'!$A$166,$DL$205^A60,IF(A60='Données projet'!$A$166,'Données projet'!$B$166,DO59+DN60-DW59)))</f>
        <v>244.79999999999998</v>
      </c>
      <c r="DP60" s="18">
        <f>DO60*VLOOKUP('Données projet'!$B$14,Paramètres!$A$1:$I$89,3,0)*VLOOKUP('Données projet'!$B$14,Paramètres!$A$1:$I$89,5,0)</f>
        <v>236.77055999999999</v>
      </c>
      <c r="DQ60" s="14">
        <f t="shared" si="43"/>
        <v>57.744153841586929</v>
      </c>
      <c r="DR60" s="22">
        <f t="shared" si="16"/>
        <v>512.94645994076382</v>
      </c>
      <c r="DS60" s="62">
        <f t="shared" si="17"/>
        <v>772.47309999144159</v>
      </c>
      <c r="DT60" s="62">
        <f ca="1">AVERAGE(OFFSET($DS$3,0,0,'Données projet'!$E$14+1,1))-AVERAGE(OFFSET($H$3,0,0,'Données projet'!$E$14+1,1))</f>
        <v>603.52431522262032</v>
      </c>
      <c r="DU60" s="62">
        <f t="shared" si="44"/>
        <v>313.56299786481338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projet'!$B$14,Paramètres!$A$1:$I$89,3,0)*0.475*44/12</f>
        <v>0</v>
      </c>
      <c r="EB60" s="23">
        <f>EXP(-LN(2)/25)*EB59+(1-EXP(-LN(2)/25))/(LN(2)/25)*Calculateur!DW60*Calculateur!DY60*VLOOKUP('Données projet'!$B$14,Paramètres!$A$1:$I$89,3,0)*0.475*44/12</f>
        <v>0</v>
      </c>
      <c r="EC60" s="23">
        <f>EXP(-LN(2)/2)*EC59+(1-EXP(-LN(2)/2))/(LN(2)/2)*DW60*DZ60*VLOOKUP('Données projet'!$B$14,Paramètres!$A$1:$I$89,3,0)*0.475*44/12</f>
        <v>0</v>
      </c>
      <c r="ED60" s="24">
        <f t="shared" si="18"/>
        <v>0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7.4</v>
      </c>
      <c r="EJ60" s="13">
        <f>IF('Données projet'!$A$192&gt;35,EJ59+EI60-ER59,IF(A60&lt;'Données projet'!$A$192,$EG$205^A60,IF(A60='Données projet'!$A$192,'Données projet'!$B$192,EJ59+EI60-ER59)))</f>
        <v>280.79999999999995</v>
      </c>
      <c r="EK60" s="18">
        <f>EJ60*VLOOKUP('Données projet'!$B$15,Paramètres!$A$1:$I$89,3,0)*VLOOKUP('Données projet'!$B$15,Paramètres!$A$1:$I$89,5,0)</f>
        <v>227.78495999999998</v>
      </c>
      <c r="EL60" s="14">
        <f t="shared" si="45"/>
        <v>55.803468680001743</v>
      </c>
      <c r="EM60" s="22">
        <f t="shared" si="19"/>
        <v>493.91651328433619</v>
      </c>
      <c r="EN60" s="62">
        <f t="shared" si="20"/>
        <v>753.4431533350139</v>
      </c>
      <c r="EO60" s="62">
        <f ca="1">AVERAGE(OFFSET($EN$3,0,0,'Données projet'!$E$15+1,1))-AVERAGE(OFFSET($H$3,0,0,'Données projet'!$E$15+1,1))</f>
        <v>272.69564942740931</v>
      </c>
      <c r="EP60" s="62">
        <f t="shared" si="46"/>
        <v>316.57989180609252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>
        <f>EXP(-LN(2)/35)*EV59+(1-EXP(-LN(2)/35))/(LN(2)/35)*ER60*ES60*VLOOKUP('Données projet'!$B$15,Paramètres!$A$1:$I$89,3,0)*0.475*44/12</f>
        <v>0</v>
      </c>
      <c r="EW60" s="23">
        <f>EXP(-LN(2)/25)*EW59+(1-EXP(-LN(2)/25))/(LN(2)/25)*Calculateur!ER60*Calculateur!ET60*VLOOKUP('Données projet'!$B$15,Paramètres!$A$1:$I$89,3,0)*0.475*44/12</f>
        <v>0</v>
      </c>
      <c r="EX60" s="23">
        <f>EXP(-LN(2)/2)*EX59+(1-EXP(-LN(2)/2))/(LN(2)/2)*ER60*EU60*VLOOKUP('Données projet'!$B$15,Paramètres!$A$1:$I$89,3,0)*0.475*44/12</f>
        <v>0</v>
      </c>
      <c r="EY60" s="24">
        <f t="shared" si="21"/>
        <v>0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6.5384615384615357</v>
      </c>
      <c r="FE60" s="13">
        <f>IF('Données projet'!$A$218&gt;35,FE59+FD60-FM59,IF(A60&lt;'Données projet'!$A$218,$FB$205^A60,IF(A60='Données projet'!$A$218,'Données projet'!$B$218,FE59+FD60-FM59)))</f>
        <v>306.02564102564082</v>
      </c>
      <c r="FF60" s="18">
        <f>FE60*VLOOKUP('Données projet'!$B$16,Paramètres!$A$1:$I$89,3,0)*VLOOKUP('Données projet'!$B$16,Paramètres!$A$1:$I$89,5,0)</f>
        <v>205.28199999999984</v>
      </c>
      <c r="FG60" s="14">
        <f t="shared" si="47"/>
        <v>50.903224491789274</v>
      </c>
      <c r="FH60" s="22">
        <f t="shared" si="22"/>
        <v>446.18926598986599</v>
      </c>
      <c r="FI60" s="62">
        <f t="shared" si="23"/>
        <v>705.7159060405437</v>
      </c>
      <c r="FJ60" s="62">
        <f ca="1">AVERAGE(OFFSET($FI$3,0,0,'Données projet'!$E$16+1,1))-AVERAGE(OFFSET($H$3,0,0,'Données projet'!$E$16+1,1))</f>
        <v>440.90856392064205</v>
      </c>
      <c r="FK60" s="62">
        <f t="shared" si="48"/>
        <v>373.33139300970629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>
        <f>EXP(-LN(2)/35)*FQ59+(1-EXP(-LN(2)/35))/(LN(2)/35)*FM60*FN60*VLOOKUP('Données projet'!$B$16,Paramètres!$A$1:$I$89,3,0)*0.475*44/12</f>
        <v>0</v>
      </c>
      <c r="FR60" s="23">
        <f>EXP(-LN(2)/25)*FR59+(1-EXP(-LN(2)/25))/(LN(2)/25)*Calculateur!FM60*Calculateur!FO60*VLOOKUP('Données projet'!$B$16,Paramètres!$A$1:$I$89,3,0)*0.475*44/12</f>
        <v>0</v>
      </c>
      <c r="FS60" s="23">
        <f>EXP(-LN(2)/2)*FS59+(1-EXP(-LN(2)/2))/(LN(2)/2)*FM60*FP60*VLOOKUP('Données projet'!$B$16,Paramètres!$A$1:$I$89,3,0)*0.475*44/12</f>
        <v>0</v>
      </c>
      <c r="FT60" s="24">
        <f t="shared" si="24"/>
        <v>0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70">
        <f t="shared" si="1"/>
        <v>183.33333333333334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9.4</v>
      </c>
      <c r="N61" s="14">
        <f>IF('Données projet'!$A$36&gt;35,N60+M61-V60,IF(A61&lt;'Données projet'!$A$36,$K$205^A61,IF(A61='Données projet'!$A$36,'Données projet'!$B$36,N60+M61-V60)))</f>
        <v>254.2</v>
      </c>
      <c r="O61" s="14">
        <f>N61*VLOOKUP('Données projet'!$B$9,Paramètres!$A$1:$I$89,3,0)*VLOOKUP('Données projet'!$B$9,Paramètres!$A$1:$I$89,5,0)</f>
        <v>230.00015999999997</v>
      </c>
      <c r="P61" s="14">
        <f t="shared" si="33"/>
        <v>56.282716126880423</v>
      </c>
      <c r="Q61" s="22">
        <f t="shared" si="53"/>
        <v>498.60934258765002</v>
      </c>
      <c r="R61" s="62">
        <f t="shared" si="0"/>
        <v>758.7224531863385</v>
      </c>
      <c r="S61" s="62">
        <f ca="1">AVERAGE(OFFSET($R$3,0,0,'Données projet'!$E$9+1,1))-AVERAGE(OFFSET($H$3,0,0,'Données projet'!$E$9+1,1))</f>
        <v>570.08763950759544</v>
      </c>
      <c r="T61" s="62">
        <f t="shared" si="34"/>
        <v>297.32483725004136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6.2</v>
      </c>
      <c r="AI61" s="14">
        <f>IF('Données projet'!$A$62&gt;35,AI60+AH61-AQ60,IF(A61&lt;'Données projet'!$A$62,$AF$205^A61,IF(A61='Données projet'!$A$62,'Données projet'!$B$62,AI60+AH61-AQ60)))</f>
        <v>297.59999999999997</v>
      </c>
      <c r="AJ61" s="14">
        <f>AI61*VLOOKUP('Données projet'!$B$10,Paramètres!$A$1:$I$89,3,0)*VLOOKUP('Données projet'!$B$10,Paramètres!$A$1:$I$89,5,0)</f>
        <v>236.77055999999999</v>
      </c>
      <c r="AK61" s="14">
        <f t="shared" si="35"/>
        <v>57.744153841586929</v>
      </c>
      <c r="AL61" s="22">
        <f t="shared" si="4"/>
        <v>512.94645994076382</v>
      </c>
      <c r="AM61" s="62">
        <f t="shared" si="5"/>
        <v>773.05957053945224</v>
      </c>
      <c r="AN61" s="62">
        <f ca="1">AVERAGE(OFFSET($AM$3,0,0,'Données projet'!$E$10+1,1))-AVERAGE(OFFSET($H$3,0,0,'Données projet'!$E$10+1,1))</f>
        <v>394.70330963327166</v>
      </c>
      <c r="AO61" s="62">
        <f t="shared" si="36"/>
        <v>424.06445894109982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6.2</v>
      </c>
      <c r="BD61" s="13">
        <f>IF('Données projet'!$A$88&gt;35,BD60+BC61-BL60,IF(A61&lt;'Données projet'!$A$88,$BA$205^A61,IF(A61='Données projet'!$A$88,'Données projet'!$B$88,BD60+BC61-BL60)))</f>
        <v>297.59999999999997</v>
      </c>
      <c r="BE61" s="14">
        <f>BD61*VLOOKUP('Données projet'!$B$11,Paramètres!$A$1:$I$89,3,0)*VLOOKUP('Données projet'!$B$11,Paramètres!$A$1:$I$89,5,0)</f>
        <v>218.20031999999998</v>
      </c>
      <c r="BF61" s="14">
        <f t="shared" si="37"/>
        <v>53.723547368945667</v>
      </c>
      <c r="BG61" s="22">
        <f t="shared" si="7"/>
        <v>473.6007356675803</v>
      </c>
      <c r="BH61" s="62">
        <f t="shared" si="8"/>
        <v>733.71384626626877</v>
      </c>
      <c r="BI61" s="62">
        <f ca="1">AVERAGE(OFFSET($BH$3,0,0,'Données projet'!$E$11+1,1))-AVERAGE(OFFSET($H$3,0,0,'Données projet'!$E$11+1,1))</f>
        <v>368.54671978064204</v>
      </c>
      <c r="BJ61" s="62">
        <f t="shared" si="38"/>
        <v>395.83504504492237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9.375</v>
      </c>
      <c r="BY61" s="13">
        <f>IF('Données projet'!$A$114&gt;35,BY60+BX61-CG60,IF(A61&lt;'Données projet'!$A$114,$BV$205^A61,IF(A61='Données projet'!$A$114,'Données projet'!$B$114,BY60+BX61-CG60)))</f>
        <v>278.24999999999989</v>
      </c>
      <c r="BZ61" s="14">
        <f>BY61*VLOOKUP('Données projet'!$B$12,Paramètres!$A$1:$I$89,3,0)*VLOOKUP('Données projet'!$B$12,Paramètres!$A$1:$I$89,5,0)</f>
        <v>217.03499999999991</v>
      </c>
      <c r="CA61" s="14">
        <f t="shared" si="39"/>
        <v>53.469949591969474</v>
      </c>
      <c r="CB61" s="22">
        <f t="shared" si="10"/>
        <v>471.12945387267996</v>
      </c>
      <c r="CC61" s="62">
        <f t="shared" si="11"/>
        <v>731.24256447136838</v>
      </c>
      <c r="CD61" s="62">
        <f ca="1">AVERAGE(OFFSET($CC$3,0,0,'Données projet'!$E$12+1,1))-AVERAGE(OFFSET($H$3,0,0,'Données projet'!$E$12+1,1))</f>
        <v>309.21625451786218</v>
      </c>
      <c r="CE61" s="62">
        <f t="shared" si="40"/>
        <v>302.59481222418219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5.8974358974359005</v>
      </c>
      <c r="CT61" s="13">
        <f>IF('Données projet'!$A$140&gt;35,CT60+CS61-DB60,IF(A61&lt;'Données projet'!$A$140,$CQ$205^A61,IF(A61='Données projet'!$A$140,'Données projet'!$B$140,CT60+CS61-DB60)))</f>
        <v>244.61538461538461</v>
      </c>
      <c r="CU61" s="18">
        <f>CT61*VLOOKUP('Données projet'!$B$13,Paramètres!$A$1:$I$89,3,0)*VLOOKUP('Données projet'!$B$13,Paramètres!$A$1:$I$89,5,0)</f>
        <v>232.77599999999998</v>
      </c>
      <c r="CV61" s="14">
        <f t="shared" si="41"/>
        <v>56.88249788072978</v>
      </c>
      <c r="CW61" s="22">
        <f t="shared" si="13"/>
        <v>504.48855047560437</v>
      </c>
      <c r="CX61" s="62">
        <f t="shared" si="14"/>
        <v>764.60166107429279</v>
      </c>
      <c r="CY61" s="62">
        <f ca="1">AVERAGE(OFFSET($CX$3,0,0,'Données projet'!$E$13+1,1))-AVERAGE(OFFSET($H$3,0,0,'Données projet'!$E$13+1,1))</f>
        <v>491.87038198656927</v>
      </c>
      <c r="CZ61" s="62">
        <f t="shared" si="42"/>
        <v>406.49261644949559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0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9.4</v>
      </c>
      <c r="DO61" s="13">
        <f>IF('Données projet'!$A$166&gt;35,DO60+DN61-DW60,IF(A61&lt;'Données projet'!$A$166,$DL$205^A61,IF(A61='Données projet'!$A$166,'Données projet'!$B$166,DO60+DN61-DW60)))</f>
        <v>254.2</v>
      </c>
      <c r="DP61" s="18">
        <f>DO61*VLOOKUP('Données projet'!$B$14,Paramètres!$A$1:$I$89,3,0)*VLOOKUP('Données projet'!$B$14,Paramètres!$A$1:$I$89,5,0)</f>
        <v>245.86223999999999</v>
      </c>
      <c r="DQ61" s="14">
        <f t="shared" si="43"/>
        <v>59.699043025687963</v>
      </c>
      <c r="DR61" s="22">
        <f t="shared" si="16"/>
        <v>532.18590126973982</v>
      </c>
      <c r="DS61" s="62">
        <f t="shared" si="17"/>
        <v>792.29901186842824</v>
      </c>
      <c r="DT61" s="62">
        <f ca="1">AVERAGE(OFFSET($DS$3,0,0,'Données projet'!$E$14+1,1))-AVERAGE(OFFSET($H$3,0,0,'Données projet'!$E$14+1,1))</f>
        <v>603.52431522262032</v>
      </c>
      <c r="DU61" s="62">
        <f t="shared" si="44"/>
        <v>313.56299786481338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projet'!$B$14,Paramètres!$A$1:$I$89,3,0)*0.475*44/12</f>
        <v>0</v>
      </c>
      <c r="EB61" s="23">
        <f>EXP(-LN(2)/25)*EB60+(1-EXP(-LN(2)/25))/(LN(2)/25)*Calculateur!DW61*Calculateur!DY61*VLOOKUP('Données projet'!$B$14,Paramètres!$A$1:$I$89,3,0)*0.475*44/12</f>
        <v>0</v>
      </c>
      <c r="EC61" s="23">
        <f>EXP(-LN(2)/2)*EC60+(1-EXP(-LN(2)/2))/(LN(2)/2)*DW61*DZ61*VLOOKUP('Données projet'!$B$14,Paramètres!$A$1:$I$89,3,0)*0.475*44/12</f>
        <v>0</v>
      </c>
      <c r="ED61" s="24">
        <f t="shared" si="18"/>
        <v>0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7.4</v>
      </c>
      <c r="EJ61" s="13">
        <f>IF('Données projet'!$A$192&gt;35,EJ60+EI61-ER60,IF(A61&lt;'Données projet'!$A$192,$EG$205^A61,IF(A61='Données projet'!$A$192,'Données projet'!$B$192,EJ60+EI61-ER60)))</f>
        <v>288.19999999999993</v>
      </c>
      <c r="EK61" s="18">
        <f>EJ61*VLOOKUP('Données projet'!$B$15,Paramètres!$A$1:$I$89,3,0)*VLOOKUP('Données projet'!$B$15,Paramètres!$A$1:$I$89,5,0)</f>
        <v>233.78783999999996</v>
      </c>
      <c r="EL61" s="14">
        <f t="shared" si="45"/>
        <v>57.100920847849451</v>
      </c>
      <c r="EM61" s="22">
        <f t="shared" si="19"/>
        <v>506.63125847667106</v>
      </c>
      <c r="EN61" s="62">
        <f t="shared" si="20"/>
        <v>766.74436907535949</v>
      </c>
      <c r="EO61" s="62">
        <f ca="1">AVERAGE(OFFSET($EN$3,0,0,'Données projet'!$E$15+1,1))-AVERAGE(OFFSET($H$3,0,0,'Données projet'!$E$15+1,1))</f>
        <v>272.69564942740931</v>
      </c>
      <c r="EP61" s="62">
        <f t="shared" si="46"/>
        <v>316.57989180609252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>
        <f>EXP(-LN(2)/35)*EV60+(1-EXP(-LN(2)/35))/(LN(2)/35)*ER61*ES61*VLOOKUP('Données projet'!$B$15,Paramètres!$A$1:$I$89,3,0)*0.475*44/12</f>
        <v>0</v>
      </c>
      <c r="EW61" s="23">
        <f>EXP(-LN(2)/25)*EW60+(1-EXP(-LN(2)/25))/(LN(2)/25)*Calculateur!ER61*Calculateur!ET61*VLOOKUP('Données projet'!$B$15,Paramètres!$A$1:$I$89,3,0)*0.475*44/12</f>
        <v>0</v>
      </c>
      <c r="EX61" s="23">
        <f>EXP(-LN(2)/2)*EX60+(1-EXP(-LN(2)/2))/(LN(2)/2)*ER61*EU61*VLOOKUP('Données projet'!$B$15,Paramètres!$A$1:$I$89,3,0)*0.475*44/12</f>
        <v>0</v>
      </c>
      <c r="EY61" s="24">
        <f t="shared" si="21"/>
        <v>0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6.5384615384615357</v>
      </c>
      <c r="FE61" s="13">
        <f>IF('Données projet'!$A$218&gt;35,FE60+FD61-FM60,IF(A61&lt;'Données projet'!$A$218,$FB$205^A61,IF(A61='Données projet'!$A$218,'Données projet'!$B$218,FE60+FD61-FM60)))</f>
        <v>312.56410256410237</v>
      </c>
      <c r="FF61" s="18">
        <f>FE61*VLOOKUP('Données projet'!$B$16,Paramètres!$A$1:$I$89,3,0)*VLOOKUP('Données projet'!$B$16,Paramètres!$A$1:$I$89,5,0)</f>
        <v>209.66799999999986</v>
      </c>
      <c r="FG61" s="14">
        <f t="shared" si="47"/>
        <v>51.863028665910385</v>
      </c>
      <c r="FH61" s="22">
        <f t="shared" si="22"/>
        <v>455.49987492646034</v>
      </c>
      <c r="FI61" s="62">
        <f t="shared" si="23"/>
        <v>715.61298552514882</v>
      </c>
      <c r="FJ61" s="62">
        <f ca="1">AVERAGE(OFFSET($FI$3,0,0,'Données projet'!$E$16+1,1))-AVERAGE(OFFSET($H$3,0,0,'Données projet'!$E$16+1,1))</f>
        <v>440.90856392064205</v>
      </c>
      <c r="FK61" s="62">
        <f t="shared" si="48"/>
        <v>373.33139300970629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>
        <f>EXP(-LN(2)/35)*FQ60+(1-EXP(-LN(2)/35))/(LN(2)/35)*FM61*FN61*VLOOKUP('Données projet'!$B$16,Paramètres!$A$1:$I$89,3,0)*0.475*44/12</f>
        <v>0</v>
      </c>
      <c r="FR61" s="23">
        <f>EXP(-LN(2)/25)*FR60+(1-EXP(-LN(2)/25))/(LN(2)/25)*Calculateur!FM61*Calculateur!FO61*VLOOKUP('Données projet'!$B$16,Paramètres!$A$1:$I$89,3,0)*0.475*44/12</f>
        <v>0</v>
      </c>
      <c r="FS61" s="23">
        <f>EXP(-LN(2)/2)*FS60+(1-EXP(-LN(2)/2))/(LN(2)/2)*FM61*FP61*VLOOKUP('Données projet'!$B$16,Paramètres!$A$1:$I$89,3,0)*0.475*44/12</f>
        <v>0</v>
      </c>
      <c r="FT61" s="24">
        <f t="shared" si="24"/>
        <v>0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70">
        <f t="shared" si="1"/>
        <v>183.33333333333334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9.4</v>
      </c>
      <c r="N62" s="14">
        <f>IF('Données projet'!$A$36&gt;35,N61+M62-V61,IF(A62&lt;'Données projet'!$A$36,$K$205^A62,IF(A62='Données projet'!$A$36,'Données projet'!$B$36,N61+M62-V61)))</f>
        <v>263.59999999999997</v>
      </c>
      <c r="O62" s="14">
        <f>N62*VLOOKUP('Données projet'!$B$9,Paramètres!$A$1:$I$89,3,0)*VLOOKUP('Données projet'!$B$9,Paramètres!$A$1:$I$89,5,0)</f>
        <v>238.50527999999997</v>
      </c>
      <c r="P62" s="14">
        <f t="shared" si="33"/>
        <v>58.117817352909881</v>
      </c>
      <c r="Q62" s="22">
        <f t="shared" si="53"/>
        <v>516.61856122298457</v>
      </c>
      <c r="R62" s="62">
        <f t="shared" si="0"/>
        <v>777.30796841682741</v>
      </c>
      <c r="S62" s="62">
        <f ca="1">AVERAGE(OFFSET($R$3,0,0,'Données projet'!$E$9+1,1))-AVERAGE(OFFSET($H$3,0,0,'Données projet'!$E$9+1,1))</f>
        <v>570.08763950759544</v>
      </c>
      <c r="T62" s="62">
        <f t="shared" si="34"/>
        <v>297.32483725004136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6.2</v>
      </c>
      <c r="AI62" s="14">
        <f>IF('Données projet'!$A$62&gt;35,AI61+AH62-AQ61,IF(A62&lt;'Données projet'!$A$62,$AF$205^A62,IF(A62='Données projet'!$A$62,'Données projet'!$B$62,AI61+AH62-AQ61)))</f>
        <v>303.79999999999995</v>
      </c>
      <c r="AJ62" s="14">
        <f>AI62*VLOOKUP('Données projet'!$B$10,Paramètres!$A$1:$I$89,3,0)*VLOOKUP('Données projet'!$B$10,Paramètres!$A$1:$I$89,5,0)</f>
        <v>241.70327999999998</v>
      </c>
      <c r="AK62" s="14">
        <f t="shared" si="35"/>
        <v>58.805848501502631</v>
      </c>
      <c r="AL62" s="22">
        <f t="shared" si="4"/>
        <v>523.38673214011703</v>
      </c>
      <c r="AM62" s="62">
        <f t="shared" si="5"/>
        <v>784.07613933395987</v>
      </c>
      <c r="AN62" s="62">
        <f ca="1">AVERAGE(OFFSET($AM$3,0,0,'Données projet'!$E$10+1,1))-AVERAGE(OFFSET($H$3,0,0,'Données projet'!$E$10+1,1))</f>
        <v>394.70330963327166</v>
      </c>
      <c r="AO62" s="62">
        <f t="shared" si="36"/>
        <v>424.06445894109982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6.2</v>
      </c>
      <c r="BD62" s="13">
        <f>IF('Données projet'!$A$88&gt;35,BD61+BC62-BL61,IF(A62&lt;'Données projet'!$A$88,$BA$205^A62,IF(A62='Données projet'!$A$88,'Données projet'!$B$88,BD61+BC62-BL61)))</f>
        <v>303.79999999999995</v>
      </c>
      <c r="BE62" s="14">
        <f>BD62*VLOOKUP('Données projet'!$B$11,Paramètres!$A$1:$I$89,3,0)*VLOOKUP('Données projet'!$B$11,Paramètres!$A$1:$I$89,5,0)</f>
        <v>222.74615999999997</v>
      </c>
      <c r="BF62" s="14">
        <f t="shared" si="37"/>
        <v>54.711318416900006</v>
      </c>
      <c r="BG62" s="22">
        <f t="shared" si="7"/>
        <v>483.23844157610074</v>
      </c>
      <c r="BH62" s="62">
        <f t="shared" si="8"/>
        <v>743.92784876994347</v>
      </c>
      <c r="BI62" s="62">
        <f ca="1">AVERAGE(OFFSET($BH$3,0,0,'Données projet'!$E$11+1,1))-AVERAGE(OFFSET($H$3,0,0,'Données projet'!$E$11+1,1))</f>
        <v>368.54671978064204</v>
      </c>
      <c r="BJ62" s="62">
        <f t="shared" si="38"/>
        <v>395.83504504492237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9.375</v>
      </c>
      <c r="BY62" s="13">
        <f>IF('Données projet'!$A$114&gt;35,BY61+BX62-CG61,IF(A62&lt;'Données projet'!$A$114,$BV$205^A62,IF(A62='Données projet'!$A$114,'Données projet'!$B$114,BY61+BX62-CG61)))</f>
        <v>287.62499999999989</v>
      </c>
      <c r="BZ62" s="14">
        <f>BY62*VLOOKUP('Données projet'!$B$12,Paramètres!$A$1:$I$89,3,0)*VLOOKUP('Données projet'!$B$12,Paramètres!$A$1:$I$89,5,0)</f>
        <v>224.34749999999991</v>
      </c>
      <c r="CA62" s="14">
        <f t="shared" si="39"/>
        <v>55.058714525680429</v>
      </c>
      <c r="CB62" s="22">
        <f t="shared" si="10"/>
        <v>486.63249029889329</v>
      </c>
      <c r="CC62" s="62">
        <f t="shared" si="11"/>
        <v>747.32189749273607</v>
      </c>
      <c r="CD62" s="62">
        <f ca="1">AVERAGE(OFFSET($CC$3,0,0,'Données projet'!$E$12+1,1))-AVERAGE(OFFSET($H$3,0,0,'Données projet'!$E$12+1,1))</f>
        <v>309.21625451786218</v>
      </c>
      <c r="CE62" s="62">
        <f t="shared" si="40"/>
        <v>302.59481222418219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5.8974358974359005</v>
      </c>
      <c r="CT62" s="13">
        <f>IF('Données projet'!$A$140&gt;35,CT61+CS62-DB61,IF(A62&lt;'Données projet'!$A$140,$CQ$205^A62,IF(A62='Données projet'!$A$140,'Données projet'!$B$140,CT61+CS62-DB61)))</f>
        <v>250.51282051282053</v>
      </c>
      <c r="CU62" s="18">
        <f>CT62*VLOOKUP('Données projet'!$B$13,Paramètres!$A$1:$I$89,3,0)*VLOOKUP('Données projet'!$B$13,Paramètres!$A$1:$I$89,5,0)</f>
        <v>238.38800000000001</v>
      </c>
      <c r="CV62" s="14">
        <f t="shared" si="41"/>
        <v>58.092564910262119</v>
      </c>
      <c r="CW62" s="22">
        <f t="shared" si="13"/>
        <v>516.37031721870653</v>
      </c>
      <c r="CX62" s="62">
        <f t="shared" si="14"/>
        <v>777.05972441254926</v>
      </c>
      <c r="CY62" s="62">
        <f ca="1">AVERAGE(OFFSET($CX$3,0,0,'Données projet'!$E$13+1,1))-AVERAGE(OFFSET($H$3,0,0,'Données projet'!$E$13+1,1))</f>
        <v>491.87038198656927</v>
      </c>
      <c r="CZ62" s="62">
        <f t="shared" si="42"/>
        <v>406.49261644949559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0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9.4</v>
      </c>
      <c r="DO62" s="13">
        <f>IF('Données projet'!$A$166&gt;35,DO61+DN62-DW61,IF(A62&lt;'Données projet'!$A$166,$DL$205^A62,IF(A62='Données projet'!$A$166,'Données projet'!$B$166,DO61+DN62-DW61)))</f>
        <v>263.59999999999997</v>
      </c>
      <c r="DP62" s="18">
        <f>DO62*VLOOKUP('Données projet'!$B$14,Paramètres!$A$1:$I$89,3,0)*VLOOKUP('Données projet'!$B$14,Paramètres!$A$1:$I$89,5,0)</f>
        <v>254.95391999999998</v>
      </c>
      <c r="DQ62" s="14">
        <f t="shared" si="43"/>
        <v>61.645533788540583</v>
      </c>
      <c r="DR62" s="22">
        <f t="shared" si="16"/>
        <v>551.41071534837477</v>
      </c>
      <c r="DS62" s="62">
        <f t="shared" si="17"/>
        <v>812.1001225422176</v>
      </c>
      <c r="DT62" s="62">
        <f ca="1">AVERAGE(OFFSET($DS$3,0,0,'Données projet'!$E$14+1,1))-AVERAGE(OFFSET($H$3,0,0,'Données projet'!$E$14+1,1))</f>
        <v>603.52431522262032</v>
      </c>
      <c r="DU62" s="62">
        <f t="shared" si="44"/>
        <v>313.56299786481338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projet'!$B$14,Paramètres!$A$1:$I$89,3,0)*0.475*44/12</f>
        <v>0</v>
      </c>
      <c r="EB62" s="23">
        <f>EXP(-LN(2)/25)*EB61+(1-EXP(-LN(2)/25))/(LN(2)/25)*Calculateur!DW62*Calculateur!DY62*VLOOKUP('Données projet'!$B$14,Paramètres!$A$1:$I$89,3,0)*0.475*44/12</f>
        <v>0</v>
      </c>
      <c r="EC62" s="23">
        <f>EXP(-LN(2)/2)*EC61+(1-EXP(-LN(2)/2))/(LN(2)/2)*DW62*DZ62*VLOOKUP('Données projet'!$B$14,Paramètres!$A$1:$I$89,3,0)*0.475*44/12</f>
        <v>0</v>
      </c>
      <c r="ED62" s="24">
        <f t="shared" si="18"/>
        <v>0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7.4</v>
      </c>
      <c r="EJ62" s="13">
        <f>IF('Données projet'!$A$192&gt;35,EJ61+EI62-ER61,IF(A62&lt;'Données projet'!$A$192,$EG$205^A62,IF(A62='Données projet'!$A$192,'Données projet'!$B$192,EJ61+EI62-ER61)))</f>
        <v>295.59999999999991</v>
      </c>
      <c r="EK62" s="18">
        <f>EJ62*VLOOKUP('Données projet'!$B$15,Paramètres!$A$1:$I$89,3,0)*VLOOKUP('Données projet'!$B$15,Paramètres!$A$1:$I$89,5,0)</f>
        <v>239.79071999999994</v>
      </c>
      <c r="EL62" s="14">
        <f t="shared" si="45"/>
        <v>58.394500584818381</v>
      </c>
      <c r="EM62" s="22">
        <f t="shared" si="19"/>
        <v>519.33925918522516</v>
      </c>
      <c r="EN62" s="62">
        <f t="shared" si="20"/>
        <v>780.028666379068</v>
      </c>
      <c r="EO62" s="62">
        <f ca="1">AVERAGE(OFFSET($EN$3,0,0,'Données projet'!$E$15+1,1))-AVERAGE(OFFSET($H$3,0,0,'Données projet'!$E$15+1,1))</f>
        <v>272.69564942740931</v>
      </c>
      <c r="EP62" s="62">
        <f t="shared" si="46"/>
        <v>316.57989180609252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>
        <f>EXP(-LN(2)/35)*EV61+(1-EXP(-LN(2)/35))/(LN(2)/35)*ER62*ES62*VLOOKUP('Données projet'!$B$15,Paramètres!$A$1:$I$89,3,0)*0.475*44/12</f>
        <v>0</v>
      </c>
      <c r="EW62" s="23">
        <f>EXP(-LN(2)/25)*EW61+(1-EXP(-LN(2)/25))/(LN(2)/25)*Calculateur!ER62*Calculateur!ET62*VLOOKUP('Données projet'!$B$15,Paramètres!$A$1:$I$89,3,0)*0.475*44/12</f>
        <v>0</v>
      </c>
      <c r="EX62" s="23">
        <f>EXP(-LN(2)/2)*EX61+(1-EXP(-LN(2)/2))/(LN(2)/2)*ER62*EU62*VLOOKUP('Données projet'!$B$15,Paramètres!$A$1:$I$89,3,0)*0.475*44/12</f>
        <v>0</v>
      </c>
      <c r="EY62" s="24">
        <f t="shared" si="21"/>
        <v>0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6.5384615384615357</v>
      </c>
      <c r="FE62" s="13">
        <f>IF('Données projet'!$A$218&gt;35,FE61+FD62-FM61,IF(A62&lt;'Données projet'!$A$218,$FB$205^A62,IF(A62='Données projet'!$A$218,'Données projet'!$B$218,FE61+FD62-FM61)))</f>
        <v>319.10256410256392</v>
      </c>
      <c r="FF62" s="18">
        <f>FE62*VLOOKUP('Données projet'!$B$16,Paramètres!$A$1:$I$89,3,0)*VLOOKUP('Données projet'!$B$16,Paramètres!$A$1:$I$89,5,0)</f>
        <v>214.05399999999989</v>
      </c>
      <c r="FG62" s="14">
        <f t="shared" si="47"/>
        <v>52.820498431098194</v>
      </c>
      <c r="FH62" s="22">
        <f t="shared" si="22"/>
        <v>464.80641810082903</v>
      </c>
      <c r="FI62" s="62">
        <f t="shared" si="23"/>
        <v>725.49582529467182</v>
      </c>
      <c r="FJ62" s="62">
        <f ca="1">AVERAGE(OFFSET($FI$3,0,0,'Données projet'!$E$16+1,1))-AVERAGE(OFFSET($H$3,0,0,'Données projet'!$E$16+1,1))</f>
        <v>440.90856392064205</v>
      </c>
      <c r="FK62" s="62">
        <f t="shared" si="48"/>
        <v>373.33139300970629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>
        <f>EXP(-LN(2)/35)*FQ61+(1-EXP(-LN(2)/35))/(LN(2)/35)*FM62*FN62*VLOOKUP('Données projet'!$B$16,Paramètres!$A$1:$I$89,3,0)*0.475*44/12</f>
        <v>0</v>
      </c>
      <c r="FR62" s="23">
        <f>EXP(-LN(2)/25)*FR61+(1-EXP(-LN(2)/25))/(LN(2)/25)*Calculateur!FM62*Calculateur!FO62*VLOOKUP('Données projet'!$B$16,Paramètres!$A$1:$I$89,3,0)*0.475*44/12</f>
        <v>0</v>
      </c>
      <c r="FS62" s="23">
        <f>EXP(-LN(2)/2)*FS61+(1-EXP(-LN(2)/2))/(LN(2)/2)*FM62*FP62*VLOOKUP('Données projet'!$B$16,Paramètres!$A$1:$I$89,3,0)*0.475*44/12</f>
        <v>0</v>
      </c>
      <c r="FT62" s="24">
        <f t="shared" si="24"/>
        <v>0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70">
        <f t="shared" si="1"/>
        <v>183.33333333333334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273</v>
      </c>
      <c r="L63" s="13">
        <f>VLOOKUP(A63,'Données projet'!$A$35:$I$55,9,0)</f>
        <v>9.4</v>
      </c>
      <c r="M63" s="13">
        <f t="array" ref="M63">INDEX(L:L,MIN(IF(ISNUMBER(L63:L259),ROW(L63:L259),"")))</f>
        <v>9.4</v>
      </c>
      <c r="N63" s="14">
        <f>IF('Données projet'!$A$36&gt;35,N62+M63-V62,IF(A63&lt;'Données projet'!$A$36,$K$205^A63,IF(A63='Données projet'!$A$36,'Données projet'!$B$36,N62+M63-V62)))</f>
        <v>272.99999999999994</v>
      </c>
      <c r="O63" s="14">
        <f>N63*VLOOKUP('Données projet'!$B$9,Paramètres!$A$1:$I$89,3,0)*VLOOKUP('Données projet'!$B$9,Paramètres!$A$1:$I$89,5,0)</f>
        <v>247.01039999999992</v>
      </c>
      <c r="P63" s="14">
        <f t="shared" si="33"/>
        <v>59.945315462121812</v>
      </c>
      <c r="Q63" s="22">
        <f t="shared" si="53"/>
        <v>534.61453776319524</v>
      </c>
      <c r="R63" s="62">
        <f t="shared" si="0"/>
        <v>795.87024409467267</v>
      </c>
      <c r="S63" s="62">
        <f ca="1">AVERAGE(OFFSET($R$3,0,0,'Données projet'!$E$9+1,1))-AVERAGE(OFFSET($H$3,0,0,'Données projet'!$E$9+1,1))</f>
        <v>570.08763950759544</v>
      </c>
      <c r="T63" s="62">
        <f t="shared" si="34"/>
        <v>297.32483725004136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310</v>
      </c>
      <c r="AG63" s="13">
        <f>VLOOKUP(A63,'Données projet'!$A$61:$I$81,9,0)</f>
        <v>6.2</v>
      </c>
      <c r="AH63" s="13">
        <f t="array" ref="AH63">INDEX(AG:AG,MIN(IF(ISNUMBER(AG63:AG259),ROW(AG63:AG259),"")))</f>
        <v>6.2</v>
      </c>
      <c r="AI63" s="14">
        <f>IF('Données projet'!$A$62&gt;35,AI62+AH63-AQ62,IF(A63&lt;'Données projet'!$A$62,$AF$205^A63,IF(A63='Données projet'!$A$62,'Données projet'!$B$62,AI62+AH63-AQ62)))</f>
        <v>309.99999999999994</v>
      </c>
      <c r="AJ63" s="14">
        <f>AI63*VLOOKUP('Données projet'!$B$10,Paramètres!$A$1:$I$89,3,0)*VLOOKUP('Données projet'!$B$10,Paramètres!$A$1:$I$89,5,0)</f>
        <v>246.63599999999997</v>
      </c>
      <c r="AK63" s="14">
        <f t="shared" si="35"/>
        <v>59.865023903294535</v>
      </c>
      <c r="AL63" s="22">
        <f t="shared" si="4"/>
        <v>533.82261663157112</v>
      </c>
      <c r="AM63" s="62">
        <f t="shared" si="5"/>
        <v>795.07832296304855</v>
      </c>
      <c r="AN63" s="62">
        <f ca="1">AVERAGE(OFFSET($AM$3,0,0,'Données projet'!$E$10+1,1))-AVERAGE(OFFSET($H$3,0,0,'Données projet'!$E$10+1,1))</f>
        <v>394.70330963327166</v>
      </c>
      <c r="AO63" s="62">
        <f t="shared" si="36"/>
        <v>424.06445894109982</v>
      </c>
      <c r="AP63" s="16">
        <f>IF(ISNA(VLOOKUP(A63,'Données projet'!$A$61:$I$81,3,0)),0,VLOOKUP(A63,'Données projet'!$A$61:$I$81,3,0))</f>
        <v>5</v>
      </c>
      <c r="AQ63" s="16">
        <f>IF(ISNA(VLOOKUP(A63,'Données projet'!$A$61:$I$81,4,0)),0,VLOOKUP(A63,'Données projet'!$A$61:$I$81,4,0))</f>
        <v>30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310</v>
      </c>
      <c r="BB63" s="13">
        <f>VLOOKUP(A63,'Données projet'!$A$87:$I$107,9,0)</f>
        <v>6.2</v>
      </c>
      <c r="BC63" s="13">
        <f t="array" ref="BC63">INDEX(BB:BB,MIN(IF(ISNUMBER(BB63:BB259),ROW(BB63:BB259),"")))</f>
        <v>6.2</v>
      </c>
      <c r="BD63" s="13">
        <f>IF('Données projet'!$A$88&gt;35,BD62+BC63-BL62,IF(A63&lt;'Données projet'!$A$88,$BA$205^A63,IF(A63='Données projet'!$A$88,'Données projet'!$B$88,BD62+BC63-BL62)))</f>
        <v>309.99999999999994</v>
      </c>
      <c r="BE63" s="14">
        <f>BD63*VLOOKUP('Données projet'!$B$11,Paramètres!$A$1:$I$89,3,0)*VLOOKUP('Données projet'!$B$11,Paramètres!$A$1:$I$89,5,0)</f>
        <v>227.29199999999994</v>
      </c>
      <c r="BF63" s="14">
        <f t="shared" si="37"/>
        <v>55.6967456174837</v>
      </c>
      <c r="BG63" s="22">
        <f t="shared" si="7"/>
        <v>492.87206528378402</v>
      </c>
      <c r="BH63" s="62">
        <f t="shared" si="8"/>
        <v>754.12777161526151</v>
      </c>
      <c r="BI63" s="62">
        <f ca="1">AVERAGE(OFFSET($BH$3,0,0,'Données projet'!$E$11+1,1))-AVERAGE(OFFSET($H$3,0,0,'Données projet'!$E$11+1,1))</f>
        <v>368.54671978064204</v>
      </c>
      <c r="BJ63" s="62">
        <f t="shared" si="38"/>
        <v>395.83504504492237</v>
      </c>
      <c r="BK63" s="16">
        <f>IF(ISNA(VLOOKUP(A63,'Données projet'!$A$87:$I$107,3,0)),0,VLOOKUP(A63,'Données projet'!$A$87:$I$107,3,0))</f>
        <v>5</v>
      </c>
      <c r="BL63" s="16">
        <f>IF(ISNA(VLOOKUP(A63,'Données projet'!$A$87:$I$107,4,0)),0,VLOOKUP(A63,'Données projet'!$A$87:$I$107,4,0))</f>
        <v>30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297</v>
      </c>
      <c r="BW63" s="13">
        <f>VLOOKUP(A63,'Données projet'!$A$113:$I$133,9,0)</f>
        <v>9.375</v>
      </c>
      <c r="BX63" s="13">
        <f t="array" ref="BX63">INDEX(BW:BW,MIN(IF(ISNUMBER(BW63:BW259),ROW(BW63:BW259),"")))</f>
        <v>9.375</v>
      </c>
      <c r="BY63" s="13">
        <f>IF('Données projet'!$A$114&gt;35,BY62+BX63-CG62,IF(A63&lt;'Données projet'!$A$114,$BV$205^A63,IF(A63='Données projet'!$A$114,'Données projet'!$B$114,BY62+BX63-CG62)))</f>
        <v>296.99999999999989</v>
      </c>
      <c r="BZ63" s="14">
        <f>BY63*VLOOKUP('Données projet'!$B$12,Paramètres!$A$1:$I$89,3,0)*VLOOKUP('Données projet'!$B$12,Paramètres!$A$1:$I$89,5,0)</f>
        <v>231.65999999999991</v>
      </c>
      <c r="CA63" s="14">
        <f t="shared" si="39"/>
        <v>56.641461975682766</v>
      </c>
      <c r="CB63" s="22">
        <f t="shared" si="10"/>
        <v>502.125046274314</v>
      </c>
      <c r="CC63" s="62">
        <f t="shared" si="11"/>
        <v>763.38075260579149</v>
      </c>
      <c r="CD63" s="62">
        <f ca="1">AVERAGE(OFFSET($CC$3,0,0,'Données projet'!$E$12+1,1))-AVERAGE(OFFSET($H$3,0,0,'Données projet'!$E$12+1,1))</f>
        <v>309.21625451786218</v>
      </c>
      <c r="CE63" s="62">
        <f t="shared" si="40"/>
        <v>302.59481222418219</v>
      </c>
      <c r="CF63" s="16">
        <f>IF(ISNA(VLOOKUP(A63,'Données projet'!$A$113:$I$133,3,0)),0,VLOOKUP(A63,'Données projet'!$A$113:$I$133,3,0))</f>
        <v>7</v>
      </c>
      <c r="CG63" s="16">
        <f>IF(ISNA(VLOOKUP(A63,'Données projet'!$A$113:$I$133,4,0)),0,VLOOKUP(A63,'Données projet'!$A$113:$I$133,4,0))</f>
        <v>47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256.41025641025641</v>
      </c>
      <c r="CR63" s="13">
        <f>VLOOKUP(A63,'Données projet'!$A$139:$I$159,9,0)</f>
        <v>5.8974358974359005</v>
      </c>
      <c r="CS63" s="13">
        <f t="array" ref="CS63">INDEX(CR:CR,MIN(IF(ISNUMBER(CR63:CR259),ROW(CR63:CR259),"")))</f>
        <v>5.8974358974359005</v>
      </c>
      <c r="CT63" s="13">
        <f>IF('Données projet'!$A$140&gt;35,CT62+CS63-DB62,IF(A63&lt;'Données projet'!$A$140,$CQ$205^A63,IF(A63='Données projet'!$A$140,'Données projet'!$B$140,CT62+CS63-DB62)))</f>
        <v>256.41025641025641</v>
      </c>
      <c r="CU63" s="18">
        <f>CT63*VLOOKUP('Données projet'!$B$13,Paramètres!$A$1:$I$89,3,0)*VLOOKUP('Données projet'!$B$13,Paramètres!$A$1:$I$89,5,0)</f>
        <v>244</v>
      </c>
      <c r="CV63" s="14">
        <f t="shared" si="41"/>
        <v>59.299320299313244</v>
      </c>
      <c r="CW63" s="22">
        <f t="shared" si="13"/>
        <v>528.24631618797059</v>
      </c>
      <c r="CX63" s="62">
        <f t="shared" si="14"/>
        <v>789.50202251944802</v>
      </c>
      <c r="CY63" s="62">
        <f ca="1">AVERAGE(OFFSET($CX$3,0,0,'Données projet'!$E$13+1,1))-AVERAGE(OFFSET($H$3,0,0,'Données projet'!$E$13+1,1))</f>
        <v>491.87038198656927</v>
      </c>
      <c r="CZ63" s="62">
        <f t="shared" si="42"/>
        <v>406.49261644949559</v>
      </c>
      <c r="DA63" s="16">
        <f>IF(ISNA(VLOOKUP(A63,'Données projet'!$A$139:$I$159,3,0)),0,VLOOKUP(A63,'Données projet'!$A$139:$I$159,3,0))</f>
        <v>5</v>
      </c>
      <c r="DB63" s="16">
        <f>IF(ISNA(VLOOKUP(A63,'Données projet'!$A$139:$I$159,4,0)),0,VLOOKUP(A63,'Données projet'!$A$139:$I$159,4,0))</f>
        <v>37.820512820512818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0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>
        <f>VLOOKUP(A63,'Données projet'!$A$165:$I$185,2,0)</f>
        <v>273</v>
      </c>
      <c r="DM63" s="13">
        <f>VLOOKUP(A63,'Données projet'!$A$165:$I$185,9,0)</f>
        <v>9.4</v>
      </c>
      <c r="DN63" s="13">
        <f t="array" ref="DN63">INDEX(DM:DM,MIN(IF(ISNUMBER(DM63:DM259),ROW(DM63:DM259),"")))</f>
        <v>9.4</v>
      </c>
      <c r="DO63" s="13">
        <f>IF('Données projet'!$A$166&gt;35,DO62+DN63-DW62,IF(A63&lt;'Données projet'!$A$166,$DL$205^A63,IF(A63='Données projet'!$A$166,'Données projet'!$B$166,DO62+DN63-DW62)))</f>
        <v>272.99999999999994</v>
      </c>
      <c r="DP63" s="18">
        <f>DO63*VLOOKUP('Données projet'!$B$14,Paramètres!$A$1:$I$89,3,0)*VLOOKUP('Données projet'!$B$14,Paramètres!$A$1:$I$89,5,0)</f>
        <v>264.04559999999992</v>
      </c>
      <c r="DQ63" s="14">
        <f t="shared" si="43"/>
        <v>63.58395992997368</v>
      </c>
      <c r="DR63" s="22">
        <f t="shared" si="16"/>
        <v>570.62148354470401</v>
      </c>
      <c r="DS63" s="62">
        <f t="shared" si="17"/>
        <v>831.87718987618155</v>
      </c>
      <c r="DT63" s="62">
        <f ca="1">AVERAGE(OFFSET($DS$3,0,0,'Données projet'!$E$14+1,1))-AVERAGE(OFFSET($H$3,0,0,'Données projet'!$E$14+1,1))</f>
        <v>603.52431522262032</v>
      </c>
      <c r="DU63" s="62">
        <f t="shared" si="44"/>
        <v>313.56299786481338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projet'!$B$14,Paramètres!$A$1:$I$89,3,0)*0.475*44/12</f>
        <v>0</v>
      </c>
      <c r="EB63" s="23">
        <f>EXP(-LN(2)/25)*EB62+(1-EXP(-LN(2)/25))/(LN(2)/25)*Calculateur!DW63*Calculateur!DY63*VLOOKUP('Données projet'!$B$14,Paramètres!$A$1:$I$89,3,0)*0.475*44/12</f>
        <v>0</v>
      </c>
      <c r="EC63" s="23">
        <f>EXP(-LN(2)/2)*EC62+(1-EXP(-LN(2)/2))/(LN(2)/2)*DW63*DZ63*VLOOKUP('Données projet'!$B$14,Paramètres!$A$1:$I$89,3,0)*0.475*44/12</f>
        <v>0</v>
      </c>
      <c r="ED63" s="24">
        <f t="shared" si="18"/>
        <v>0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>
        <f>VLOOKUP(A63,'Données projet'!$A$191:$I$211,2,0)</f>
        <v>303</v>
      </c>
      <c r="EH63" s="13">
        <f>VLOOKUP(A63,'Données projet'!$A$191:$I$211,9,0)</f>
        <v>7.4</v>
      </c>
      <c r="EI63" s="13">
        <f t="array" ref="EI63">INDEX(EH:EH,MIN(IF(ISNUMBER(EH63:EH259),ROW(EH63:EH259),"")))</f>
        <v>7.4</v>
      </c>
      <c r="EJ63" s="13">
        <f>IF('Données projet'!$A$192&gt;35,EJ62+EI63-ER62,IF(A63&lt;'Données projet'!$A$192,$EG$205^A63,IF(A63='Données projet'!$A$192,'Données projet'!$B$192,EJ62+EI63-ER62)))</f>
        <v>302.99999999999989</v>
      </c>
      <c r="EK63" s="18">
        <f>EJ63*VLOOKUP('Données projet'!$B$15,Paramètres!$A$1:$I$89,3,0)*VLOOKUP('Données projet'!$B$15,Paramètres!$A$1:$I$89,5,0)</f>
        <v>245.79359999999991</v>
      </c>
      <c r="EL63" s="14">
        <f t="shared" si="45"/>
        <v>59.684315982017168</v>
      </c>
      <c r="EM63" s="22">
        <f t="shared" si="19"/>
        <v>532.04070366867973</v>
      </c>
      <c r="EN63" s="62">
        <f t="shared" si="20"/>
        <v>793.29641000015727</v>
      </c>
      <c r="EO63" s="62">
        <f ca="1">AVERAGE(OFFSET($EN$3,0,0,'Données projet'!$E$15+1,1))-AVERAGE(OFFSET($H$3,0,0,'Données projet'!$E$15+1,1))</f>
        <v>272.69564942740931</v>
      </c>
      <c r="EP63" s="62">
        <f t="shared" si="46"/>
        <v>316.57989180609252</v>
      </c>
      <c r="EQ63" s="16">
        <f>IF(ISNA(VLOOKUP(A63,'Données projet'!$A$191:$I$211,3,0)),0,VLOOKUP(A63,'Données projet'!$A$191:$I$211,3,0))</f>
        <v>3</v>
      </c>
      <c r="ER63" s="16">
        <f>IF(ISNA(VLOOKUP(A63,'Données projet'!$A$191:$I$211,4,0)),0,VLOOKUP(A63,'Données projet'!$A$191:$I$211,4,0))</f>
        <v>303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>
        <f>EXP(-LN(2)/35)*EV62+(1-EXP(-LN(2)/35))/(LN(2)/35)*ER63*ES63*VLOOKUP('Données projet'!$B$15,Paramètres!$A$1:$I$89,3,0)*0.475*44/12</f>
        <v>0</v>
      </c>
      <c r="EW63" s="23">
        <f>EXP(-LN(2)/25)*EW62+(1-EXP(-LN(2)/25))/(LN(2)/25)*Calculateur!ER63*Calculateur!ET63*VLOOKUP('Données projet'!$B$15,Paramètres!$A$1:$I$89,3,0)*0.475*44/12</f>
        <v>0</v>
      </c>
      <c r="EX63" s="23">
        <f>EXP(-LN(2)/2)*EX62+(1-EXP(-LN(2)/2))/(LN(2)/2)*ER63*EU63*VLOOKUP('Données projet'!$B$15,Paramètres!$A$1:$I$89,3,0)*0.475*44/12</f>
        <v>0</v>
      </c>
      <c r="EY63" s="24">
        <f t="shared" si="21"/>
        <v>0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>
        <f>VLOOKUP(A63,'Données projet'!$A$217:$I$237,2,0)</f>
        <v>325.64102564102564</v>
      </c>
      <c r="FC63" s="13">
        <f>VLOOKUP(A63,'Données projet'!$A$217:$I$237,9,0)</f>
        <v>6.5384615384615357</v>
      </c>
      <c r="FD63" s="13">
        <f t="array" ref="FD63">INDEX(FC:FC,MIN(IF(ISNUMBER(FC63:FC259),ROW(FC63:FC259),"")))</f>
        <v>6.5384615384615357</v>
      </c>
      <c r="FE63" s="13">
        <f>IF('Données projet'!$A$218&gt;35,FE62+FD63-FM62,IF(A63&lt;'Données projet'!$A$218,$FB$205^A63,IF(A63='Données projet'!$A$218,'Données projet'!$B$218,FE62+FD63-FM62)))</f>
        <v>325.64102564102546</v>
      </c>
      <c r="FF63" s="18">
        <f>FE63*VLOOKUP('Données projet'!$B$16,Paramètres!$A$1:$I$89,3,0)*VLOOKUP('Données projet'!$B$16,Paramètres!$A$1:$I$89,5,0)</f>
        <v>218.43999999999986</v>
      </c>
      <c r="FG63" s="14">
        <f t="shared" si="47"/>
        <v>53.77568713135436</v>
      </c>
      <c r="FH63" s="22">
        <f t="shared" si="22"/>
        <v>474.1089884204419</v>
      </c>
      <c r="FI63" s="62">
        <f t="shared" si="23"/>
        <v>735.36469475191939</v>
      </c>
      <c r="FJ63" s="62">
        <f ca="1">AVERAGE(OFFSET($FI$3,0,0,'Données projet'!$E$16+1,1))-AVERAGE(OFFSET($H$3,0,0,'Données projet'!$E$16+1,1))</f>
        <v>440.90856392064205</v>
      </c>
      <c r="FK63" s="62">
        <f t="shared" si="48"/>
        <v>373.33139300970629</v>
      </c>
      <c r="FL63" s="16">
        <f>IF(ISNA(VLOOKUP(A63,'Données projet'!$A$217:$I$237,3,0)),0,VLOOKUP(A63,'Données projet'!$A$217:$I$237,3,0))</f>
        <v>5</v>
      </c>
      <c r="FM63" s="16">
        <f>IF(ISNA(VLOOKUP(A63,'Données projet'!$A$217:$I$237,4,0)),0,VLOOKUP(A63,'Données projet'!$A$217:$I$237,4,0))</f>
        <v>37.820512820512818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>
        <f>EXP(-LN(2)/35)*FQ62+(1-EXP(-LN(2)/35))/(LN(2)/35)*FM63*FN63*VLOOKUP('Données projet'!$B$16,Paramètres!$A$1:$I$89,3,0)*0.475*44/12</f>
        <v>0</v>
      </c>
      <c r="FR63" s="23">
        <f>EXP(-LN(2)/25)*FR62+(1-EXP(-LN(2)/25))/(LN(2)/25)*Calculateur!FM63*Calculateur!FO63*VLOOKUP('Données projet'!$B$16,Paramètres!$A$1:$I$89,3,0)*0.475*44/12</f>
        <v>0</v>
      </c>
      <c r="FS63" s="23">
        <f>EXP(-LN(2)/2)*FS62+(1-EXP(-LN(2)/2))/(LN(2)/2)*FM63*FP63*VLOOKUP('Données projet'!$B$16,Paramètres!$A$1:$I$89,3,0)*0.475*44/12</f>
        <v>0</v>
      </c>
      <c r="FT63" s="24">
        <f t="shared" si="24"/>
        <v>0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70">
        <f t="shared" si="1"/>
        <v>183.33333333333334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8.8000000000000007</v>
      </c>
      <c r="N64" s="14">
        <f>IF('Données projet'!$A$36&gt;35,N63+M64-V63,IF(A64&lt;'Données projet'!$A$36,$K$205^A64,IF(A64='Données projet'!$A$36,'Données projet'!$B$36,N63+M64-V63)))</f>
        <v>281.79999999999995</v>
      </c>
      <c r="O64" s="14">
        <f>N64*VLOOKUP('Données projet'!$B$9,Paramètres!$A$1:$I$89,3,0)*VLOOKUP('Données projet'!$B$9,Paramètres!$A$1:$I$89,5,0)</f>
        <v>254.97263999999996</v>
      </c>
      <c r="P64" s="14">
        <f t="shared" si="33"/>
        <v>61.649533232533919</v>
      </c>
      <c r="Q64" s="22">
        <f t="shared" si="53"/>
        <v>551.45028504666311</v>
      </c>
      <c r="R64" s="62">
        <f t="shared" si="0"/>
        <v>813.26246649179245</v>
      </c>
      <c r="S64" s="62">
        <f ca="1">AVERAGE(OFFSET($R$3,0,0,'Données projet'!$E$9+1,1))-AVERAGE(OFFSET($H$3,0,0,'Données projet'!$E$9+1,1))</f>
        <v>570.08763950759544</v>
      </c>
      <c r="T64" s="62">
        <f t="shared" si="34"/>
        <v>297.32483725004136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5.2</v>
      </c>
      <c r="AI64" s="14">
        <f>IF('Données projet'!$A$62&gt;35,AI63+AH64-AQ63,IF(A64&lt;'Données projet'!$A$62,$AF$205^A64,IF(A64='Données projet'!$A$62,'Données projet'!$B$62,AI63+AH64-AQ63)))</f>
        <v>285.19999999999993</v>
      </c>
      <c r="AJ64" s="14">
        <f>AI64*VLOOKUP('Données projet'!$B$10,Paramètres!$A$1:$I$89,3,0)*VLOOKUP('Données projet'!$B$10,Paramètres!$A$1:$I$89,5,0)</f>
        <v>226.90511999999995</v>
      </c>
      <c r="AK64" s="14">
        <f t="shared" si="35"/>
        <v>55.612969408444364</v>
      </c>
      <c r="AL64" s="22">
        <f t="shared" si="4"/>
        <v>492.05233905304044</v>
      </c>
      <c r="AM64" s="62">
        <f t="shared" si="5"/>
        <v>753.86452049816978</v>
      </c>
      <c r="AN64" s="62">
        <f ca="1">AVERAGE(OFFSET($AM$3,0,0,'Données projet'!$E$10+1,1))-AVERAGE(OFFSET($H$3,0,0,'Données projet'!$E$10+1,1))</f>
        <v>394.70330963327166</v>
      </c>
      <c r="AO64" s="62">
        <f t="shared" si="36"/>
        <v>424.06445894109982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5.2</v>
      </c>
      <c r="BD64" s="13">
        <f>IF('Données projet'!$A$88&gt;35,BD63+BC64-BL63,IF(A64&lt;'Données projet'!$A$88,$BA$205^A64,IF(A64='Données projet'!$A$88,'Données projet'!$B$88,BD63+BC64-BL63)))</f>
        <v>285.19999999999993</v>
      </c>
      <c r="BE64" s="14">
        <f>BD64*VLOOKUP('Données projet'!$B$11,Paramètres!$A$1:$I$89,3,0)*VLOOKUP('Données projet'!$B$11,Paramètres!$A$1:$I$89,5,0)</f>
        <v>209.10863999999992</v>
      </c>
      <c r="BF64" s="14">
        <f t="shared" si="37"/>
        <v>51.740752917407036</v>
      </c>
      <c r="BG64" s="22">
        <f t="shared" si="7"/>
        <v>454.31269266448368</v>
      </c>
      <c r="BH64" s="62">
        <f t="shared" si="8"/>
        <v>716.12487410961307</v>
      </c>
      <c r="BI64" s="62">
        <f ca="1">AVERAGE(OFFSET($BH$3,0,0,'Données projet'!$E$11+1,1))-AVERAGE(OFFSET($H$3,0,0,'Données projet'!$E$11+1,1))</f>
        <v>368.54671978064204</v>
      </c>
      <c r="BJ64" s="62">
        <f t="shared" si="38"/>
        <v>395.83504504492237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8.6666666666666661</v>
      </c>
      <c r="BY64" s="13">
        <f>IF('Données projet'!$A$114&gt;35,BY63+BX64-CG63,IF(A64&lt;'Données projet'!$A$114,$BV$205^A64,IF(A64='Données projet'!$A$114,'Données projet'!$B$114,BY63+BX64-CG63)))</f>
        <v>258.66666666666657</v>
      </c>
      <c r="BZ64" s="14">
        <f>BY64*VLOOKUP('Données projet'!$B$12,Paramètres!$A$1:$I$89,3,0)*VLOOKUP('Données projet'!$B$12,Paramètres!$A$1:$I$89,5,0)</f>
        <v>201.75999999999993</v>
      </c>
      <c r="CA64" s="14">
        <f t="shared" si="39"/>
        <v>50.130765000424169</v>
      </c>
      <c r="CB64" s="22">
        <f t="shared" si="10"/>
        <v>438.70974904240529</v>
      </c>
      <c r="CC64" s="62">
        <f t="shared" si="11"/>
        <v>700.52193048753463</v>
      </c>
      <c r="CD64" s="62">
        <f ca="1">AVERAGE(OFFSET($CC$3,0,0,'Données projet'!$E$12+1,1))-AVERAGE(OFFSET($H$3,0,0,'Données projet'!$E$12+1,1))</f>
        <v>309.21625451786218</v>
      </c>
      <c r="CE64" s="62">
        <f t="shared" si="40"/>
        <v>302.59481222418219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5.5128205128205083</v>
      </c>
      <c r="CT64" s="13">
        <f>IF('Données projet'!$A$140&gt;35,CT63+CS64-DB63,IF(A64&lt;'Données projet'!$A$140,$CQ$205^A64,IF(A64='Données projet'!$A$140,'Données projet'!$B$140,CT63+CS64-DB63)))</f>
        <v>224.10256410256409</v>
      </c>
      <c r="CU64" s="18">
        <f>CT64*VLOOKUP('Données projet'!$B$13,Paramètres!$A$1:$I$89,3,0)*VLOOKUP('Données projet'!$B$13,Paramètres!$A$1:$I$89,5,0)</f>
        <v>213.25599999999997</v>
      </c>
      <c r="CV64" s="14">
        <f t="shared" si="41"/>
        <v>52.646465235028018</v>
      </c>
      <c r="CW64" s="22">
        <f t="shared" si="13"/>
        <v>463.11346028434042</v>
      </c>
      <c r="CX64" s="62">
        <f t="shared" si="14"/>
        <v>724.92564172946982</v>
      </c>
      <c r="CY64" s="62">
        <f ca="1">AVERAGE(OFFSET($CX$3,0,0,'Données projet'!$E$13+1,1))-AVERAGE(OFFSET($H$3,0,0,'Données projet'!$E$13+1,1))</f>
        <v>491.87038198656927</v>
      </c>
      <c r="CZ64" s="62">
        <f t="shared" si="42"/>
        <v>406.49261644949559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0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8.8000000000000007</v>
      </c>
      <c r="DO64" s="13">
        <f>IF('Données projet'!$A$166&gt;35,DO63+DN64-DW63,IF(A64&lt;'Données projet'!$A$166,$DL$205^A64,IF(A64='Données projet'!$A$166,'Données projet'!$B$166,DO63+DN64-DW63)))</f>
        <v>281.79999999999995</v>
      </c>
      <c r="DP64" s="18">
        <f>DO64*VLOOKUP('Données projet'!$B$14,Paramètres!$A$1:$I$89,3,0)*VLOOKUP('Données projet'!$B$14,Paramètres!$A$1:$I$89,5,0)</f>
        <v>272.55696</v>
      </c>
      <c r="DQ64" s="14">
        <f t="shared" si="43"/>
        <v>65.391622690449097</v>
      </c>
      <c r="DR64" s="22">
        <f t="shared" si="16"/>
        <v>588.59378151919873</v>
      </c>
      <c r="DS64" s="62">
        <f t="shared" si="17"/>
        <v>850.40596296432807</v>
      </c>
      <c r="DT64" s="62">
        <f ca="1">AVERAGE(OFFSET($DS$3,0,0,'Données projet'!$E$14+1,1))-AVERAGE(OFFSET($H$3,0,0,'Données projet'!$E$14+1,1))</f>
        <v>603.52431522262032</v>
      </c>
      <c r="DU64" s="62">
        <f t="shared" si="44"/>
        <v>313.56299786481338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projet'!$B$14,Paramètres!$A$1:$I$89,3,0)*0.475*44/12</f>
        <v>0</v>
      </c>
      <c r="EB64" s="23">
        <f>EXP(-LN(2)/25)*EB63+(1-EXP(-LN(2)/25))/(LN(2)/25)*Calculateur!DW64*Calculateur!DY64*VLOOKUP('Données projet'!$B$14,Paramètres!$A$1:$I$89,3,0)*0.475*44/12</f>
        <v>0</v>
      </c>
      <c r="EC64" s="23">
        <f>EXP(-LN(2)/2)*EC63+(1-EXP(-LN(2)/2))/(LN(2)/2)*DW64*DZ64*VLOOKUP('Données projet'!$B$14,Paramètres!$A$1:$I$89,3,0)*0.475*44/12</f>
        <v>0</v>
      </c>
      <c r="ED64" s="24">
        <f t="shared" si="18"/>
        <v>0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-1.1368683772161603E-13</v>
      </c>
      <c r="EK64" s="18">
        <f>EJ64*VLOOKUP('Données projet'!$B$15,Paramètres!$A$1:$I$89,3,0)*VLOOKUP('Données projet'!$B$15,Paramètres!$A$1:$I$89,5,0)</f>
        <v>-9.2222762759774927E-14</v>
      </c>
      <c r="EL64" s="14" t="e">
        <f t="shared" si="45"/>
        <v>#NUM!</v>
      </c>
      <c r="EM64" s="22" t="e">
        <f t="shared" si="19"/>
        <v>#NUM!</v>
      </c>
      <c r="EN64" s="62" t="e">
        <f t="shared" si="20"/>
        <v>#NUM!</v>
      </c>
      <c r="EO64" s="62">
        <f ca="1">AVERAGE(OFFSET($EN$3,0,0,'Données projet'!$E$15+1,1))-AVERAGE(OFFSET($H$3,0,0,'Données projet'!$E$15+1,1))</f>
        <v>272.69564942740931</v>
      </c>
      <c r="EP64" s="62">
        <f t="shared" si="46"/>
        <v>316.57989180609252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>
        <f>EXP(-LN(2)/35)*EV63+(1-EXP(-LN(2)/35))/(LN(2)/35)*ER64*ES64*VLOOKUP('Données projet'!$B$15,Paramètres!$A$1:$I$89,3,0)*0.475*44/12</f>
        <v>0</v>
      </c>
      <c r="EW64" s="23">
        <f>EXP(-LN(2)/25)*EW63+(1-EXP(-LN(2)/25))/(LN(2)/25)*Calculateur!ER64*Calculateur!ET64*VLOOKUP('Données projet'!$B$15,Paramètres!$A$1:$I$89,3,0)*0.475*44/12</f>
        <v>0</v>
      </c>
      <c r="EX64" s="23">
        <f>EXP(-LN(2)/2)*EX63+(1-EXP(-LN(2)/2))/(LN(2)/2)*ER64*EU64*VLOOKUP('Données projet'!$B$15,Paramètres!$A$1:$I$89,3,0)*0.475*44/12</f>
        <v>0</v>
      </c>
      <c r="EY64" s="24">
        <f t="shared" si="21"/>
        <v>0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6.2820512820512819</v>
      </c>
      <c r="FE64" s="13">
        <f>IF('Données projet'!$A$218&gt;35,FE63+FD64-FM63,IF(A64&lt;'Données projet'!$A$218,$FB$205^A64,IF(A64='Données projet'!$A$218,'Données projet'!$B$218,FE63+FD64-FM63)))</f>
        <v>294.10256410256392</v>
      </c>
      <c r="FF64" s="18">
        <f>FE64*VLOOKUP('Données projet'!$B$16,Paramètres!$A$1:$I$89,3,0)*VLOOKUP('Données projet'!$B$16,Paramètres!$A$1:$I$89,5,0)</f>
        <v>197.28399999999988</v>
      </c>
      <c r="FG64" s="14">
        <f t="shared" si="47"/>
        <v>49.14679896995667</v>
      </c>
      <c r="FH64" s="22">
        <f t="shared" si="22"/>
        <v>429.20030820600761</v>
      </c>
      <c r="FI64" s="62">
        <f t="shared" si="23"/>
        <v>691.012489651137</v>
      </c>
      <c r="FJ64" s="62">
        <f ca="1">AVERAGE(OFFSET($FI$3,0,0,'Données projet'!$E$16+1,1))-AVERAGE(OFFSET($H$3,0,0,'Données projet'!$E$16+1,1))</f>
        <v>440.90856392064205</v>
      </c>
      <c r="FK64" s="62">
        <f t="shared" si="48"/>
        <v>373.33139300970629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>
        <f>EXP(-LN(2)/35)*FQ63+(1-EXP(-LN(2)/35))/(LN(2)/35)*FM64*FN64*VLOOKUP('Données projet'!$B$16,Paramètres!$A$1:$I$89,3,0)*0.475*44/12</f>
        <v>0</v>
      </c>
      <c r="FR64" s="23">
        <f>EXP(-LN(2)/25)*FR63+(1-EXP(-LN(2)/25))/(LN(2)/25)*Calculateur!FM64*Calculateur!FO64*VLOOKUP('Données projet'!$B$16,Paramètres!$A$1:$I$89,3,0)*0.475*44/12</f>
        <v>0</v>
      </c>
      <c r="FS64" s="23">
        <f>EXP(-LN(2)/2)*FS63+(1-EXP(-LN(2)/2))/(LN(2)/2)*FM64*FP64*VLOOKUP('Données projet'!$B$16,Paramètres!$A$1:$I$89,3,0)*0.475*44/12</f>
        <v>0</v>
      </c>
      <c r="FT64" s="24">
        <f t="shared" si="24"/>
        <v>0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70">
        <f t="shared" si="1"/>
        <v>183.33333333333334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8.8000000000000007</v>
      </c>
      <c r="N65" s="14">
        <f>IF('Données projet'!$A$36&gt;35,N64+M65-V64,IF(A65&lt;'Données projet'!$A$36,$K$205^A65,IF(A65='Données projet'!$A$36,'Données projet'!$B$36,N64+M65-V64)))</f>
        <v>290.59999999999997</v>
      </c>
      <c r="O65" s="14">
        <f>N65*VLOOKUP('Données projet'!$B$9,Paramètres!$A$1:$I$89,3,0)*VLOOKUP('Données projet'!$B$9,Paramètres!$A$1:$I$89,5,0)</f>
        <v>262.93487999999996</v>
      </c>
      <c r="P65" s="14">
        <f t="shared" si="33"/>
        <v>63.347566493432765</v>
      </c>
      <c r="Q65" s="22">
        <f t="shared" si="53"/>
        <v>568.27526097606199</v>
      </c>
      <c r="R65" s="62">
        <f t="shared" si="0"/>
        <v>830.63426393571331</v>
      </c>
      <c r="S65" s="62">
        <f ca="1">AVERAGE(OFFSET($R$3,0,0,'Données projet'!$E$9+1,1))-AVERAGE(OFFSET($H$3,0,0,'Données projet'!$E$9+1,1))</f>
        <v>570.08763950759544</v>
      </c>
      <c r="T65" s="62">
        <f t="shared" si="34"/>
        <v>297.32483725004136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5.2</v>
      </c>
      <c r="AI65" s="14">
        <f>IF('Données projet'!$A$62&gt;35,AI64+AH65-AQ64,IF(A65&lt;'Données projet'!$A$62,$AF$205^A65,IF(A65='Données projet'!$A$62,'Données projet'!$B$62,AI64+AH65-AQ64)))</f>
        <v>290.39999999999992</v>
      </c>
      <c r="AJ65" s="14">
        <f>AI65*VLOOKUP('Données projet'!$B$10,Paramètres!$A$1:$I$89,3,0)*VLOOKUP('Données projet'!$B$10,Paramètres!$A$1:$I$89,5,0)</f>
        <v>231.04223999999994</v>
      </c>
      <c r="AK65" s="14">
        <f t="shared" si="35"/>
        <v>56.507978852931409</v>
      </c>
      <c r="AL65" s="22">
        <f t="shared" si="4"/>
        <v>500.81663116885539</v>
      </c>
      <c r="AM65" s="62">
        <f t="shared" si="5"/>
        <v>763.17563412850677</v>
      </c>
      <c r="AN65" s="62">
        <f ca="1">AVERAGE(OFFSET($AM$3,0,0,'Données projet'!$E$10+1,1))-AVERAGE(OFFSET($H$3,0,0,'Données projet'!$E$10+1,1))</f>
        <v>394.70330963327166</v>
      </c>
      <c r="AO65" s="62">
        <f t="shared" si="36"/>
        <v>424.06445894109982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5.2</v>
      </c>
      <c r="BD65" s="13">
        <f>IF('Données projet'!$A$88&gt;35,BD64+BC65-BL64,IF(A65&lt;'Données projet'!$A$88,$BA$205^A65,IF(A65='Données projet'!$A$88,'Données projet'!$B$88,BD64+BC65-BL64)))</f>
        <v>290.39999999999992</v>
      </c>
      <c r="BE65" s="14">
        <f>BD65*VLOOKUP('Données projet'!$B$11,Paramètres!$A$1:$I$89,3,0)*VLOOKUP('Données projet'!$B$11,Paramètres!$A$1:$I$89,5,0)</f>
        <v>212.92127999999991</v>
      </c>
      <c r="BF65" s="14">
        <f t="shared" si="37"/>
        <v>52.57344469809297</v>
      </c>
      <c r="BG65" s="22">
        <f t="shared" si="7"/>
        <v>462.4033121825118</v>
      </c>
      <c r="BH65" s="62">
        <f t="shared" si="8"/>
        <v>724.76231514216306</v>
      </c>
      <c r="BI65" s="62">
        <f ca="1">AVERAGE(OFFSET($BH$3,0,0,'Données projet'!$E$11+1,1))-AVERAGE(OFFSET($H$3,0,0,'Données projet'!$E$11+1,1))</f>
        <v>368.54671978064204</v>
      </c>
      <c r="BJ65" s="62">
        <f t="shared" si="38"/>
        <v>395.83504504492237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8.6666666666666661</v>
      </c>
      <c r="BY65" s="13">
        <f>IF('Données projet'!$A$114&gt;35,BY64+BX65-CG64,IF(A65&lt;'Données projet'!$A$114,$BV$205^A65,IF(A65='Données projet'!$A$114,'Données projet'!$B$114,BY64+BX65-CG64)))</f>
        <v>267.33333333333326</v>
      </c>
      <c r="BZ65" s="14">
        <f>BY65*VLOOKUP('Données projet'!$B$12,Paramètres!$A$1:$I$89,3,0)*VLOOKUP('Données projet'!$B$12,Paramètres!$A$1:$I$89,5,0)</f>
        <v>208.51999999999995</v>
      </c>
      <c r="CA65" s="14">
        <f t="shared" si="39"/>
        <v>51.612035456318459</v>
      </c>
      <c r="CB65" s="22">
        <f t="shared" si="10"/>
        <v>453.06329508642119</v>
      </c>
      <c r="CC65" s="62">
        <f t="shared" si="11"/>
        <v>715.42229804607246</v>
      </c>
      <c r="CD65" s="62">
        <f ca="1">AVERAGE(OFFSET($CC$3,0,0,'Données projet'!$E$12+1,1))-AVERAGE(OFFSET($H$3,0,0,'Données projet'!$E$12+1,1))</f>
        <v>309.21625451786218</v>
      </c>
      <c r="CE65" s="62">
        <f t="shared" si="40"/>
        <v>302.59481222418219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5.5128205128205083</v>
      </c>
      <c r="CT65" s="13">
        <f>IF('Données projet'!$A$140&gt;35,CT64+CS65-DB64,IF(A65&lt;'Données projet'!$A$140,$CQ$205^A65,IF(A65='Données projet'!$A$140,'Données projet'!$B$140,CT64+CS65-DB64)))</f>
        <v>229.61538461538458</v>
      </c>
      <c r="CU65" s="18">
        <f>CT65*VLOOKUP('Données projet'!$B$13,Paramètres!$A$1:$I$89,3,0)*VLOOKUP('Données projet'!$B$13,Paramètres!$A$1:$I$89,5,0)</f>
        <v>218.50199999999998</v>
      </c>
      <c r="CV65" s="14">
        <f t="shared" si="41"/>
        <v>53.789173468854308</v>
      </c>
      <c r="CW65" s="22">
        <f t="shared" si="13"/>
        <v>474.24046045825457</v>
      </c>
      <c r="CX65" s="62">
        <f t="shared" si="14"/>
        <v>736.59946341790589</v>
      </c>
      <c r="CY65" s="62">
        <f ca="1">AVERAGE(OFFSET($CX$3,0,0,'Données projet'!$E$13+1,1))-AVERAGE(OFFSET($H$3,0,0,'Données projet'!$E$13+1,1))</f>
        <v>491.87038198656927</v>
      </c>
      <c r="CZ65" s="62">
        <f t="shared" si="42"/>
        <v>406.49261644949559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0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8.8000000000000007</v>
      </c>
      <c r="DO65" s="13">
        <f>IF('Données projet'!$A$166&gt;35,DO64+DN65-DW64,IF(A65&lt;'Données projet'!$A$166,$DL$205^A65,IF(A65='Données projet'!$A$166,'Données projet'!$B$166,DO64+DN65-DW64)))</f>
        <v>290.59999999999997</v>
      </c>
      <c r="DP65" s="18">
        <f>DO65*VLOOKUP('Données projet'!$B$14,Paramètres!$A$1:$I$89,3,0)*VLOOKUP('Données projet'!$B$14,Paramètres!$A$1:$I$89,5,0)</f>
        <v>281.06831999999997</v>
      </c>
      <c r="DQ65" s="14">
        <f t="shared" si="43"/>
        <v>67.19272554541665</v>
      </c>
      <c r="DR65" s="22">
        <f t="shared" si="16"/>
        <v>606.55465432493395</v>
      </c>
      <c r="DS65" s="62">
        <f t="shared" si="17"/>
        <v>868.91365728458527</v>
      </c>
      <c r="DT65" s="62">
        <f ca="1">AVERAGE(OFFSET($DS$3,0,0,'Données projet'!$E$14+1,1))-AVERAGE(OFFSET($H$3,0,0,'Données projet'!$E$14+1,1))</f>
        <v>603.52431522262032</v>
      </c>
      <c r="DU65" s="62">
        <f t="shared" si="44"/>
        <v>313.56299786481338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projet'!$B$14,Paramètres!$A$1:$I$89,3,0)*0.475*44/12</f>
        <v>0</v>
      </c>
      <c r="EB65" s="23">
        <f>EXP(-LN(2)/25)*EB64+(1-EXP(-LN(2)/25))/(LN(2)/25)*Calculateur!DW65*Calculateur!DY65*VLOOKUP('Données projet'!$B$14,Paramètres!$A$1:$I$89,3,0)*0.475*44/12</f>
        <v>0</v>
      </c>
      <c r="EC65" s="23">
        <f>EXP(-LN(2)/2)*EC64+(1-EXP(-LN(2)/2))/(LN(2)/2)*DW65*DZ65*VLOOKUP('Données projet'!$B$14,Paramètres!$A$1:$I$89,3,0)*0.475*44/12</f>
        <v>0</v>
      </c>
      <c r="ED65" s="24">
        <f t="shared" si="18"/>
        <v>0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-1.1368683772161603E-13</v>
      </c>
      <c r="EK65" s="18">
        <f>EJ65*VLOOKUP('Données projet'!$B$15,Paramètres!$A$1:$I$89,3,0)*VLOOKUP('Données projet'!$B$15,Paramètres!$A$1:$I$89,5,0)</f>
        <v>-9.2222762759774927E-14</v>
      </c>
      <c r="EL65" s="14" t="e">
        <f t="shared" si="45"/>
        <v>#NUM!</v>
      </c>
      <c r="EM65" s="22" t="e">
        <f t="shared" si="19"/>
        <v>#NUM!</v>
      </c>
      <c r="EN65" s="62" t="e">
        <f t="shared" si="20"/>
        <v>#NUM!</v>
      </c>
      <c r="EO65" s="62">
        <f ca="1">AVERAGE(OFFSET($EN$3,0,0,'Données projet'!$E$15+1,1))-AVERAGE(OFFSET($H$3,0,0,'Données projet'!$E$15+1,1))</f>
        <v>272.69564942740931</v>
      </c>
      <c r="EP65" s="62">
        <f t="shared" si="46"/>
        <v>316.57989180609252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>
        <f>EXP(-LN(2)/35)*EV64+(1-EXP(-LN(2)/35))/(LN(2)/35)*ER65*ES65*VLOOKUP('Données projet'!$B$15,Paramètres!$A$1:$I$89,3,0)*0.475*44/12</f>
        <v>0</v>
      </c>
      <c r="EW65" s="23">
        <f>EXP(-LN(2)/25)*EW64+(1-EXP(-LN(2)/25))/(LN(2)/25)*Calculateur!ER65*Calculateur!ET65*VLOOKUP('Données projet'!$B$15,Paramètres!$A$1:$I$89,3,0)*0.475*44/12</f>
        <v>0</v>
      </c>
      <c r="EX65" s="23">
        <f>EXP(-LN(2)/2)*EX64+(1-EXP(-LN(2)/2))/(LN(2)/2)*ER65*EU65*VLOOKUP('Données projet'!$B$15,Paramètres!$A$1:$I$89,3,0)*0.475*44/12</f>
        <v>0</v>
      </c>
      <c r="EY65" s="24">
        <f t="shared" si="21"/>
        <v>0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6.2820512820512819</v>
      </c>
      <c r="FE65" s="13">
        <f>IF('Données projet'!$A$218&gt;35,FE64+FD65-FM64,IF(A65&lt;'Données projet'!$A$218,$FB$205^A65,IF(A65='Données projet'!$A$218,'Données projet'!$B$218,FE64+FD65-FM64)))</f>
        <v>300.38461538461519</v>
      </c>
      <c r="FF65" s="18">
        <f>FE65*VLOOKUP('Données projet'!$B$16,Paramètres!$A$1:$I$89,3,0)*VLOOKUP('Données projet'!$B$16,Paramètres!$A$1:$I$89,5,0)</f>
        <v>201.49799999999988</v>
      </c>
      <c r="FG65" s="14">
        <f t="shared" si="47"/>
        <v>50.073239673089361</v>
      </c>
      <c r="FH65" s="22">
        <f t="shared" si="22"/>
        <v>438.15324243063037</v>
      </c>
      <c r="FI65" s="62">
        <f t="shared" si="23"/>
        <v>700.51224539028169</v>
      </c>
      <c r="FJ65" s="62">
        <f ca="1">AVERAGE(OFFSET($FI$3,0,0,'Données projet'!$E$16+1,1))-AVERAGE(OFFSET($H$3,0,0,'Données projet'!$E$16+1,1))</f>
        <v>440.90856392064205</v>
      </c>
      <c r="FK65" s="62">
        <f t="shared" si="48"/>
        <v>373.33139300970629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>
        <f>EXP(-LN(2)/35)*FQ64+(1-EXP(-LN(2)/35))/(LN(2)/35)*FM65*FN65*VLOOKUP('Données projet'!$B$16,Paramètres!$A$1:$I$89,3,0)*0.475*44/12</f>
        <v>0</v>
      </c>
      <c r="FR65" s="23">
        <f>EXP(-LN(2)/25)*FR64+(1-EXP(-LN(2)/25))/(LN(2)/25)*Calculateur!FM65*Calculateur!FO65*VLOOKUP('Données projet'!$B$16,Paramètres!$A$1:$I$89,3,0)*0.475*44/12</f>
        <v>0</v>
      </c>
      <c r="FS65" s="23">
        <f>EXP(-LN(2)/2)*FS64+(1-EXP(-LN(2)/2))/(LN(2)/2)*FM65*FP65*VLOOKUP('Données projet'!$B$16,Paramètres!$A$1:$I$89,3,0)*0.475*44/12</f>
        <v>0</v>
      </c>
      <c r="FT65" s="24">
        <f t="shared" si="24"/>
        <v>0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70">
        <f t="shared" si="1"/>
        <v>183.33333333333334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8.8000000000000007</v>
      </c>
      <c r="N66" s="14">
        <f>IF('Données projet'!$A$36&gt;35,N65+M66-V65,IF(A66&lt;'Données projet'!$A$36,$K$205^A66,IF(A66='Données projet'!$A$36,'Données projet'!$B$36,N65+M66-V65)))</f>
        <v>299.39999999999998</v>
      </c>
      <c r="O66" s="14">
        <f>N66*VLOOKUP('Données projet'!$B$9,Paramètres!$A$1:$I$89,3,0)*VLOOKUP('Données projet'!$B$9,Paramètres!$A$1:$I$89,5,0)</f>
        <v>270.89711999999997</v>
      </c>
      <c r="P66" s="14">
        <f t="shared" si="33"/>
        <v>65.039624021315475</v>
      </c>
      <c r="Q66" s="22">
        <f t="shared" si="53"/>
        <v>585.08982917045773</v>
      </c>
      <c r="R66" s="62">
        <f t="shared" si="0"/>
        <v>847.98616751386385</v>
      </c>
      <c r="S66" s="62">
        <f ca="1">AVERAGE(OFFSET($R$3,0,0,'Données projet'!$E$9+1,1))-AVERAGE(OFFSET($H$3,0,0,'Données projet'!$E$9+1,1))</f>
        <v>570.08763950759544</v>
      </c>
      <c r="T66" s="62">
        <f t="shared" si="34"/>
        <v>297.32483725004136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5.2</v>
      </c>
      <c r="AI66" s="14">
        <f>IF('Données projet'!$A$62&gt;35,AI65+AH66-AQ65,IF(A66&lt;'Données projet'!$A$62,$AF$205^A66,IF(A66='Données projet'!$A$62,'Données projet'!$B$62,AI65+AH66-AQ65)))</f>
        <v>295.59999999999991</v>
      </c>
      <c r="AJ66" s="14">
        <f>AI66*VLOOKUP('Données projet'!$B$10,Paramètres!$A$1:$I$89,3,0)*VLOOKUP('Données projet'!$B$10,Paramètres!$A$1:$I$89,5,0)</f>
        <v>235.17935999999992</v>
      </c>
      <c r="AK66" s="14">
        <f t="shared" si="35"/>
        <v>57.401124668909425</v>
      </c>
      <c r="AL66" s="22">
        <f t="shared" si="4"/>
        <v>509.57767746501708</v>
      </c>
      <c r="AM66" s="62">
        <f t="shared" si="5"/>
        <v>772.47401580842325</v>
      </c>
      <c r="AN66" s="62">
        <f ca="1">AVERAGE(OFFSET($AM$3,0,0,'Données projet'!$E$10+1,1))-AVERAGE(OFFSET($H$3,0,0,'Données projet'!$E$10+1,1))</f>
        <v>394.70330963327166</v>
      </c>
      <c r="AO66" s="62">
        <f t="shared" si="36"/>
        <v>424.06445894109982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5.2</v>
      </c>
      <c r="BD66" s="13">
        <f>IF('Données projet'!$A$88&gt;35,BD65+BC66-BL65,IF(A66&lt;'Données projet'!$A$88,$BA$205^A66,IF(A66='Données projet'!$A$88,'Données projet'!$B$88,BD65+BC66-BL65)))</f>
        <v>295.59999999999991</v>
      </c>
      <c r="BE66" s="14">
        <f>BD66*VLOOKUP('Données projet'!$B$11,Paramètres!$A$1:$I$89,3,0)*VLOOKUP('Données projet'!$B$11,Paramètres!$A$1:$I$89,5,0)</f>
        <v>216.73391999999996</v>
      </c>
      <c r="BF66" s="14">
        <f t="shared" si="37"/>
        <v>53.404402610883679</v>
      </c>
      <c r="BG66" s="22">
        <f t="shared" si="7"/>
        <v>470.49091188062226</v>
      </c>
      <c r="BH66" s="62">
        <f t="shared" si="8"/>
        <v>733.38725022402832</v>
      </c>
      <c r="BI66" s="62">
        <f ca="1">AVERAGE(OFFSET($BH$3,0,0,'Données projet'!$E$11+1,1))-AVERAGE(OFFSET($H$3,0,0,'Données projet'!$E$11+1,1))</f>
        <v>368.54671978064204</v>
      </c>
      <c r="BJ66" s="62">
        <f t="shared" si="38"/>
        <v>395.83504504492237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8.6666666666666661</v>
      </c>
      <c r="BY66" s="13">
        <f>IF('Données projet'!$A$114&gt;35,BY65+BX66-CG65,IF(A66&lt;'Données projet'!$A$114,$BV$205^A66,IF(A66='Données projet'!$A$114,'Données projet'!$B$114,BY65+BX66-CG65)))</f>
        <v>275.99999999999994</v>
      </c>
      <c r="BZ66" s="14">
        <f>BY66*VLOOKUP('Données projet'!$B$12,Paramètres!$A$1:$I$89,3,0)*VLOOKUP('Données projet'!$B$12,Paramètres!$A$1:$I$89,5,0)</f>
        <v>215.27999999999997</v>
      </c>
      <c r="CA66" s="14">
        <f t="shared" si="39"/>
        <v>53.087725740853138</v>
      </c>
      <c r="CB66" s="22">
        <f t="shared" si="10"/>
        <v>467.40712233198587</v>
      </c>
      <c r="CC66" s="62">
        <f t="shared" si="11"/>
        <v>730.30346067539199</v>
      </c>
      <c r="CD66" s="62">
        <f ca="1">AVERAGE(OFFSET($CC$3,0,0,'Données projet'!$E$12+1,1))-AVERAGE(OFFSET($H$3,0,0,'Données projet'!$E$12+1,1))</f>
        <v>309.21625451786218</v>
      </c>
      <c r="CE66" s="62">
        <f t="shared" si="40"/>
        <v>302.59481222418219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5.5128205128205083</v>
      </c>
      <c r="CT66" s="13">
        <f>IF('Données projet'!$A$140&gt;35,CT65+CS66-DB65,IF(A66&lt;'Données projet'!$A$140,$CQ$205^A66,IF(A66='Données projet'!$A$140,'Données projet'!$B$140,CT65+CS66-DB65)))</f>
        <v>235.12820512820508</v>
      </c>
      <c r="CU66" s="18">
        <f>CT66*VLOOKUP('Données projet'!$B$13,Paramètres!$A$1:$I$89,3,0)*VLOOKUP('Données projet'!$B$13,Paramètres!$A$1:$I$89,5,0)</f>
        <v>223.74799999999996</v>
      </c>
      <c r="CV66" s="14">
        <f t="shared" si="41"/>
        <v>54.928692378995628</v>
      </c>
      <c r="CW66" s="22">
        <f t="shared" si="13"/>
        <v>485.36190589341732</v>
      </c>
      <c r="CX66" s="62">
        <f t="shared" si="14"/>
        <v>748.25824423682343</v>
      </c>
      <c r="CY66" s="62">
        <f ca="1">AVERAGE(OFFSET($CX$3,0,0,'Données projet'!$E$13+1,1))-AVERAGE(OFFSET($H$3,0,0,'Données projet'!$E$13+1,1))</f>
        <v>491.87038198656927</v>
      </c>
      <c r="CZ66" s="62">
        <f t="shared" si="42"/>
        <v>406.49261644949559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0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8.8000000000000007</v>
      </c>
      <c r="DO66" s="13">
        <f>IF('Données projet'!$A$166&gt;35,DO65+DN66-DW65,IF(A66&lt;'Données projet'!$A$166,$DL$205^A66,IF(A66='Données projet'!$A$166,'Données projet'!$B$166,DO65+DN66-DW65)))</f>
        <v>299.39999999999998</v>
      </c>
      <c r="DP66" s="18">
        <f>DO66*VLOOKUP('Données projet'!$B$14,Paramètres!$A$1:$I$89,3,0)*VLOOKUP('Données projet'!$B$14,Paramètres!$A$1:$I$89,5,0)</f>
        <v>289.57968</v>
      </c>
      <c r="DQ66" s="14">
        <f t="shared" si="43"/>
        <v>68.987489943980663</v>
      </c>
      <c r="DR66" s="22">
        <f t="shared" si="16"/>
        <v>624.504487652433</v>
      </c>
      <c r="DS66" s="62">
        <f t="shared" si="17"/>
        <v>887.40082599583911</v>
      </c>
      <c r="DT66" s="62">
        <f ca="1">AVERAGE(OFFSET($DS$3,0,0,'Données projet'!$E$14+1,1))-AVERAGE(OFFSET($H$3,0,0,'Données projet'!$E$14+1,1))</f>
        <v>603.52431522262032</v>
      </c>
      <c r="DU66" s="62">
        <f t="shared" si="44"/>
        <v>313.56299786481338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projet'!$B$14,Paramètres!$A$1:$I$89,3,0)*0.475*44/12</f>
        <v>0</v>
      </c>
      <c r="EB66" s="23">
        <f>EXP(-LN(2)/25)*EB65+(1-EXP(-LN(2)/25))/(LN(2)/25)*Calculateur!DW66*Calculateur!DY66*VLOOKUP('Données projet'!$B$14,Paramètres!$A$1:$I$89,3,0)*0.475*44/12</f>
        <v>0</v>
      </c>
      <c r="EC66" s="23">
        <f>EXP(-LN(2)/2)*EC65+(1-EXP(-LN(2)/2))/(LN(2)/2)*DW66*DZ66*VLOOKUP('Données projet'!$B$14,Paramètres!$A$1:$I$89,3,0)*0.475*44/12</f>
        <v>0</v>
      </c>
      <c r="ED66" s="24">
        <f t="shared" si="18"/>
        <v>0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-1.1368683772161603E-13</v>
      </c>
      <c r="EK66" s="18">
        <f>EJ66*VLOOKUP('Données projet'!$B$15,Paramètres!$A$1:$I$89,3,0)*VLOOKUP('Données projet'!$B$15,Paramètres!$A$1:$I$89,5,0)</f>
        <v>-9.2222762759774927E-14</v>
      </c>
      <c r="EL66" s="14" t="e">
        <f t="shared" si="45"/>
        <v>#NUM!</v>
      </c>
      <c r="EM66" s="22" t="e">
        <f t="shared" si="19"/>
        <v>#NUM!</v>
      </c>
      <c r="EN66" s="62" t="e">
        <f t="shared" si="20"/>
        <v>#NUM!</v>
      </c>
      <c r="EO66" s="62">
        <f ca="1">AVERAGE(OFFSET($EN$3,0,0,'Données projet'!$E$15+1,1))-AVERAGE(OFFSET($H$3,0,0,'Données projet'!$E$15+1,1))</f>
        <v>272.69564942740931</v>
      </c>
      <c r="EP66" s="62">
        <f t="shared" si="46"/>
        <v>316.57989180609252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>
        <f>EXP(-LN(2)/35)*EV65+(1-EXP(-LN(2)/35))/(LN(2)/35)*ER66*ES66*VLOOKUP('Données projet'!$B$15,Paramètres!$A$1:$I$89,3,0)*0.475*44/12</f>
        <v>0</v>
      </c>
      <c r="EW66" s="23">
        <f>EXP(-LN(2)/25)*EW65+(1-EXP(-LN(2)/25))/(LN(2)/25)*Calculateur!ER66*Calculateur!ET66*VLOOKUP('Données projet'!$B$15,Paramètres!$A$1:$I$89,3,0)*0.475*44/12</f>
        <v>0</v>
      </c>
      <c r="EX66" s="23">
        <f>EXP(-LN(2)/2)*EX65+(1-EXP(-LN(2)/2))/(LN(2)/2)*ER66*EU66*VLOOKUP('Données projet'!$B$15,Paramètres!$A$1:$I$89,3,0)*0.475*44/12</f>
        <v>0</v>
      </c>
      <c r="EY66" s="24">
        <f t="shared" si="21"/>
        <v>0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6.2820512820512819</v>
      </c>
      <c r="FE66" s="13">
        <f>IF('Données projet'!$A$218&gt;35,FE65+FD66-FM65,IF(A66&lt;'Données projet'!$A$218,$FB$205^A66,IF(A66='Données projet'!$A$218,'Données projet'!$B$218,FE65+FD66-FM65)))</f>
        <v>306.66666666666646</v>
      </c>
      <c r="FF66" s="18">
        <f>FE66*VLOOKUP('Données projet'!$B$16,Paramètres!$A$1:$I$89,3,0)*VLOOKUP('Données projet'!$B$16,Paramètres!$A$1:$I$89,5,0)</f>
        <v>205.71199999999988</v>
      </c>
      <c r="FG66" s="14">
        <f t="shared" si="47"/>
        <v>50.99742769693372</v>
      </c>
      <c r="FH66" s="22">
        <f t="shared" si="22"/>
        <v>447.10225323882588</v>
      </c>
      <c r="FI66" s="62">
        <f t="shared" si="23"/>
        <v>709.99859158223194</v>
      </c>
      <c r="FJ66" s="62">
        <f ca="1">AVERAGE(OFFSET($FI$3,0,0,'Données projet'!$E$16+1,1))-AVERAGE(OFFSET($H$3,0,0,'Données projet'!$E$16+1,1))</f>
        <v>440.90856392064205</v>
      </c>
      <c r="FK66" s="62">
        <f t="shared" si="48"/>
        <v>373.33139300970629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>
        <f>EXP(-LN(2)/35)*FQ65+(1-EXP(-LN(2)/35))/(LN(2)/35)*FM66*FN66*VLOOKUP('Données projet'!$B$16,Paramètres!$A$1:$I$89,3,0)*0.475*44/12</f>
        <v>0</v>
      </c>
      <c r="FR66" s="23">
        <f>EXP(-LN(2)/25)*FR65+(1-EXP(-LN(2)/25))/(LN(2)/25)*Calculateur!FM66*Calculateur!FO66*VLOOKUP('Données projet'!$B$16,Paramètres!$A$1:$I$89,3,0)*0.475*44/12</f>
        <v>0</v>
      </c>
      <c r="FS66" s="23">
        <f>EXP(-LN(2)/2)*FS65+(1-EXP(-LN(2)/2))/(LN(2)/2)*FM66*FP66*VLOOKUP('Données projet'!$B$16,Paramètres!$A$1:$I$89,3,0)*0.475*44/12</f>
        <v>0</v>
      </c>
      <c r="FT66" s="24">
        <f t="shared" si="24"/>
        <v>0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70">
        <f t="shared" si="1"/>
        <v>183.33333333333334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8.8000000000000007</v>
      </c>
      <c r="N67" s="14">
        <f>IF('Données projet'!$A$36&gt;35,N66+M67-V66,IF(A67&lt;'Données projet'!$A$36,$K$205^A67,IF(A67='Données projet'!$A$36,'Données projet'!$B$36,N66+M67-V66)))</f>
        <v>308.2</v>
      </c>
      <c r="O67" s="14">
        <f>N67*VLOOKUP('Données projet'!$B$9,Paramètres!$A$1:$I$89,3,0)*VLOOKUP('Données projet'!$B$9,Paramètres!$A$1:$I$89,5,0)</f>
        <v>278.85935999999998</v>
      </c>
      <c r="P67" s="14">
        <f t="shared" si="33"/>
        <v>66.725901622172444</v>
      </c>
      <c r="Q67" s="22">
        <f t="shared" ref="Q67:Q98" si="54">(O67+P67)*0.475*44/12</f>
        <v>601.89433065861692</v>
      </c>
      <c r="R67" s="62">
        <f t="shared" ref="R67:R130" si="55">Q67+(I67+J67)*44/12</f>
        <v>865.31868281817174</v>
      </c>
      <c r="S67" s="62">
        <f ca="1">AVERAGE(OFFSET($R$3,0,0,'Données projet'!$E$9+1,1))-AVERAGE(OFFSET($H$3,0,0,'Données projet'!$E$9+1,1))</f>
        <v>570.08763950759544</v>
      </c>
      <c r="T67" s="62">
        <f t="shared" si="34"/>
        <v>297.32483725004136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5.2</v>
      </c>
      <c r="AI67" s="14">
        <f>IF('Données projet'!$A$62&gt;35,AI66+AH67-AQ66,IF(A67&lt;'Données projet'!$A$62,$AF$205^A67,IF(A67='Données projet'!$A$62,'Données projet'!$B$62,AI66+AH67-AQ66)))</f>
        <v>300.7999999999999</v>
      </c>
      <c r="AJ67" s="14">
        <f>AI67*VLOOKUP('Données projet'!$B$10,Paramètres!$A$1:$I$89,3,0)*VLOOKUP('Données projet'!$B$10,Paramètres!$A$1:$I$89,5,0)</f>
        <v>239.31647999999996</v>
      </c>
      <c r="AK67" s="14">
        <f t="shared" si="35"/>
        <v>58.292443422481945</v>
      </c>
      <c r="AL67" s="22">
        <f t="shared" si="4"/>
        <v>518.33554162748931</v>
      </c>
      <c r="AM67" s="62">
        <f t="shared" si="5"/>
        <v>781.75989378704412</v>
      </c>
      <c r="AN67" s="62">
        <f ca="1">AVERAGE(OFFSET($AM$3,0,0,'Données projet'!$E$10+1,1))-AVERAGE(OFFSET($H$3,0,0,'Données projet'!$E$10+1,1))</f>
        <v>394.70330963327166</v>
      </c>
      <c r="AO67" s="62">
        <f t="shared" si="36"/>
        <v>424.06445894109982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5.2</v>
      </c>
      <c r="BD67" s="13">
        <f>IF('Données projet'!$A$88&gt;35,BD66+BC67-BL66,IF(A67&lt;'Données projet'!$A$88,$BA$205^A67,IF(A67='Données projet'!$A$88,'Données projet'!$B$88,BD66+BC67-BL66)))</f>
        <v>300.7999999999999</v>
      </c>
      <c r="BE67" s="14">
        <f>BD67*VLOOKUP('Données projet'!$B$11,Paramètres!$A$1:$I$89,3,0)*VLOOKUP('Données projet'!$B$11,Paramètres!$A$1:$I$89,5,0)</f>
        <v>220.54655999999991</v>
      </c>
      <c r="BF67" s="14">
        <f t="shared" si="37"/>
        <v>54.233660675860236</v>
      </c>
      <c r="BG67" s="22">
        <f t="shared" si="7"/>
        <v>478.57555101045642</v>
      </c>
      <c r="BH67" s="62">
        <f t="shared" si="8"/>
        <v>741.99990317001118</v>
      </c>
      <c r="BI67" s="62">
        <f ca="1">AVERAGE(OFFSET($BH$3,0,0,'Données projet'!$E$11+1,1))-AVERAGE(OFFSET($H$3,0,0,'Données projet'!$E$11+1,1))</f>
        <v>368.54671978064204</v>
      </c>
      <c r="BJ67" s="62">
        <f t="shared" si="38"/>
        <v>395.83504504492237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8.6666666666666661</v>
      </c>
      <c r="BY67" s="13">
        <f>IF('Données projet'!$A$114&gt;35,BY66+BX67-CG66,IF(A67&lt;'Données projet'!$A$114,$BV$205^A67,IF(A67='Données projet'!$A$114,'Données projet'!$B$114,BY66+BX67-CG66)))</f>
        <v>284.66666666666663</v>
      </c>
      <c r="BZ67" s="14">
        <f>BY67*VLOOKUP('Données projet'!$B$12,Paramètres!$A$1:$I$89,3,0)*VLOOKUP('Données projet'!$B$12,Paramètres!$A$1:$I$89,5,0)</f>
        <v>222.04</v>
      </c>
      <c r="CA67" s="14">
        <f t="shared" si="39"/>
        <v>54.558031180803546</v>
      </c>
      <c r="CB67" s="22">
        <f t="shared" si="10"/>
        <v>481.74157097323285</v>
      </c>
      <c r="CC67" s="62">
        <f t="shared" si="11"/>
        <v>745.16592313278761</v>
      </c>
      <c r="CD67" s="62">
        <f ca="1">AVERAGE(OFFSET($CC$3,0,0,'Données projet'!$E$12+1,1))-AVERAGE(OFFSET($H$3,0,0,'Données projet'!$E$12+1,1))</f>
        <v>309.21625451786218</v>
      </c>
      <c r="CE67" s="62">
        <f t="shared" si="40"/>
        <v>302.59481222418219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5.5128205128205083</v>
      </c>
      <c r="CT67" s="13">
        <f>IF('Données projet'!$A$140&gt;35,CT66+CS67-DB66,IF(A67&lt;'Données projet'!$A$140,$CQ$205^A67,IF(A67='Données projet'!$A$140,'Données projet'!$B$140,CT66+CS67-DB66)))</f>
        <v>240.64102564102558</v>
      </c>
      <c r="CU67" s="18">
        <f>CT67*VLOOKUP('Données projet'!$B$13,Paramètres!$A$1:$I$89,3,0)*VLOOKUP('Données projet'!$B$13,Paramètres!$A$1:$I$89,5,0)</f>
        <v>228.99399999999997</v>
      </c>
      <c r="CV67" s="14">
        <f t="shared" si="41"/>
        <v>56.065105348066425</v>
      </c>
      <c r="CW67" s="22">
        <f t="shared" si="13"/>
        <v>496.47794181454901</v>
      </c>
      <c r="CX67" s="62">
        <f t="shared" si="14"/>
        <v>759.90229397410371</v>
      </c>
      <c r="CY67" s="62">
        <f ca="1">AVERAGE(OFFSET($CX$3,0,0,'Données projet'!$E$13+1,1))-AVERAGE(OFFSET($H$3,0,0,'Données projet'!$E$13+1,1))</f>
        <v>491.87038198656927</v>
      </c>
      <c r="CZ67" s="62">
        <f t="shared" si="42"/>
        <v>406.49261644949559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0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8.8000000000000007</v>
      </c>
      <c r="DO67" s="13">
        <f>IF('Données projet'!$A$166&gt;35,DO66+DN67-DW66,IF(A67&lt;'Données projet'!$A$166,$DL$205^A67,IF(A67='Données projet'!$A$166,'Données projet'!$B$166,DO66+DN67-DW66)))</f>
        <v>308.2</v>
      </c>
      <c r="DP67" s="18">
        <f>DO67*VLOOKUP('Données projet'!$B$14,Paramètres!$A$1:$I$89,3,0)*VLOOKUP('Données projet'!$B$14,Paramètres!$A$1:$I$89,5,0)</f>
        <v>298.09104000000002</v>
      </c>
      <c r="DQ67" s="14">
        <f t="shared" si="43"/>
        <v>70.776123577436934</v>
      </c>
      <c r="DR67" s="22">
        <f t="shared" si="16"/>
        <v>642.44364323070261</v>
      </c>
      <c r="DS67" s="62">
        <f t="shared" si="17"/>
        <v>905.86799539025742</v>
      </c>
      <c r="DT67" s="62">
        <f ca="1">AVERAGE(OFFSET($DS$3,0,0,'Données projet'!$E$14+1,1))-AVERAGE(OFFSET($H$3,0,0,'Données projet'!$E$14+1,1))</f>
        <v>603.52431522262032</v>
      </c>
      <c r="DU67" s="62">
        <f t="shared" si="44"/>
        <v>313.56299786481338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projet'!$B$14,Paramètres!$A$1:$I$89,3,0)*0.475*44/12</f>
        <v>0</v>
      </c>
      <c r="EB67" s="23">
        <f>EXP(-LN(2)/25)*EB66+(1-EXP(-LN(2)/25))/(LN(2)/25)*Calculateur!DW67*Calculateur!DY67*VLOOKUP('Données projet'!$B$14,Paramètres!$A$1:$I$89,3,0)*0.475*44/12</f>
        <v>0</v>
      </c>
      <c r="EC67" s="23">
        <f>EXP(-LN(2)/2)*EC66+(1-EXP(-LN(2)/2))/(LN(2)/2)*DW67*DZ67*VLOOKUP('Données projet'!$B$14,Paramètres!$A$1:$I$89,3,0)*0.475*44/12</f>
        <v>0</v>
      </c>
      <c r="ED67" s="24">
        <f t="shared" si="18"/>
        <v>0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-1.1368683772161603E-13</v>
      </c>
      <c r="EK67" s="18">
        <f>EJ67*VLOOKUP('Données projet'!$B$15,Paramètres!$A$1:$I$89,3,0)*VLOOKUP('Données projet'!$B$15,Paramètres!$A$1:$I$89,5,0)</f>
        <v>-9.2222762759774927E-14</v>
      </c>
      <c r="EL67" s="14" t="e">
        <f t="shared" si="45"/>
        <v>#NUM!</v>
      </c>
      <c r="EM67" s="22" t="e">
        <f t="shared" si="19"/>
        <v>#NUM!</v>
      </c>
      <c r="EN67" s="62" t="e">
        <f t="shared" si="20"/>
        <v>#NUM!</v>
      </c>
      <c r="EO67" s="62">
        <f ca="1">AVERAGE(OFFSET($EN$3,0,0,'Données projet'!$E$15+1,1))-AVERAGE(OFFSET($H$3,0,0,'Données projet'!$E$15+1,1))</f>
        <v>272.69564942740931</v>
      </c>
      <c r="EP67" s="62">
        <f t="shared" si="46"/>
        <v>316.57989180609252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>
        <f>EXP(-LN(2)/35)*EV66+(1-EXP(-LN(2)/35))/(LN(2)/35)*ER67*ES67*VLOOKUP('Données projet'!$B$15,Paramètres!$A$1:$I$89,3,0)*0.475*44/12</f>
        <v>0</v>
      </c>
      <c r="EW67" s="23">
        <f>EXP(-LN(2)/25)*EW66+(1-EXP(-LN(2)/25))/(LN(2)/25)*Calculateur!ER67*Calculateur!ET67*VLOOKUP('Données projet'!$B$15,Paramètres!$A$1:$I$89,3,0)*0.475*44/12</f>
        <v>0</v>
      </c>
      <c r="EX67" s="23">
        <f>EXP(-LN(2)/2)*EX66+(1-EXP(-LN(2)/2))/(LN(2)/2)*ER67*EU67*VLOOKUP('Données projet'!$B$15,Paramètres!$A$1:$I$89,3,0)*0.475*44/12</f>
        <v>0</v>
      </c>
      <c r="EY67" s="24">
        <f t="shared" si="21"/>
        <v>0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6.2820512820512819</v>
      </c>
      <c r="FE67" s="13">
        <f>IF('Données projet'!$A$218&gt;35,FE66+FD67-FM66,IF(A67&lt;'Données projet'!$A$218,$FB$205^A67,IF(A67='Données projet'!$A$218,'Données projet'!$B$218,FE66+FD67-FM66)))</f>
        <v>312.94871794871773</v>
      </c>
      <c r="FF67" s="18">
        <f>FE67*VLOOKUP('Données projet'!$B$16,Paramètres!$A$1:$I$89,3,0)*VLOOKUP('Données projet'!$B$16,Paramètres!$A$1:$I$89,5,0)</f>
        <v>209.92599999999985</v>
      </c>
      <c r="FG67" s="14">
        <f t="shared" si="47"/>
        <v>51.919414504803278</v>
      </c>
      <c r="FH67" s="22">
        <f t="shared" si="22"/>
        <v>456.04743026253209</v>
      </c>
      <c r="FI67" s="62">
        <f t="shared" si="23"/>
        <v>719.47178242208679</v>
      </c>
      <c r="FJ67" s="62">
        <f ca="1">AVERAGE(OFFSET($FI$3,0,0,'Données projet'!$E$16+1,1))-AVERAGE(OFFSET($H$3,0,0,'Données projet'!$E$16+1,1))</f>
        <v>440.90856392064205</v>
      </c>
      <c r="FK67" s="62">
        <f t="shared" si="48"/>
        <v>373.33139300970629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>
        <f>EXP(-LN(2)/35)*FQ66+(1-EXP(-LN(2)/35))/(LN(2)/35)*FM67*FN67*VLOOKUP('Données projet'!$B$16,Paramètres!$A$1:$I$89,3,0)*0.475*44/12</f>
        <v>0</v>
      </c>
      <c r="FR67" s="23">
        <f>EXP(-LN(2)/25)*FR66+(1-EXP(-LN(2)/25))/(LN(2)/25)*Calculateur!FM67*Calculateur!FO67*VLOOKUP('Données projet'!$B$16,Paramètres!$A$1:$I$89,3,0)*0.475*44/12</f>
        <v>0</v>
      </c>
      <c r="FS67" s="23">
        <f>EXP(-LN(2)/2)*FS66+(1-EXP(-LN(2)/2))/(LN(2)/2)*FM67*FP67*VLOOKUP('Données projet'!$B$16,Paramètres!$A$1:$I$89,3,0)*0.475*44/12</f>
        <v>0</v>
      </c>
      <c r="FT67" s="24">
        <f t="shared" si="24"/>
        <v>0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70">
        <f t="shared" ref="H68:H131" si="56">(B68+E68+F68)*44/12+(C68+D68)*0.475*44/12</f>
        <v>183.33333333333334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317</v>
      </c>
      <c r="L68" s="13">
        <f>VLOOKUP(A68,'Données projet'!$A$35:$I$55,9,0)</f>
        <v>8.8000000000000007</v>
      </c>
      <c r="M68" s="13">
        <f t="array" ref="M68">INDEX(L:L,MIN(IF(ISNUMBER(L68:L264),ROW(L68:L264),"")))</f>
        <v>8.8000000000000007</v>
      </c>
      <c r="N68" s="14">
        <f>IF('Données projet'!$A$36&gt;35,N67+M68-V67,IF(A68&lt;'Données projet'!$A$36,$K$205^A68,IF(A68='Données projet'!$A$36,'Données projet'!$B$36,N67+M68-V67)))</f>
        <v>317</v>
      </c>
      <c r="O68" s="14">
        <f>N68*VLOOKUP('Données projet'!$B$9,Paramètres!$A$1:$I$89,3,0)*VLOOKUP('Données projet'!$B$9,Paramètres!$A$1:$I$89,5,0)</f>
        <v>286.82159999999999</v>
      </c>
      <c r="P68" s="14">
        <f t="shared" si="33"/>
        <v>68.406583284351484</v>
      </c>
      <c r="Q68" s="22">
        <f t="shared" si="54"/>
        <v>618.68908588691215</v>
      </c>
      <c r="R68" s="62">
        <f t="shared" si="55"/>
        <v>882.63229200336741</v>
      </c>
      <c r="S68" s="62">
        <f ca="1">AVERAGE(OFFSET($R$3,0,0,'Données projet'!$E$9+1,1))-AVERAGE(OFFSET($H$3,0,0,'Données projet'!$E$9+1,1))</f>
        <v>570.08763950759544</v>
      </c>
      <c r="T68" s="62">
        <f t="shared" si="34"/>
        <v>297.32483725004136</v>
      </c>
      <c r="U68" s="16">
        <f>IF(ISNA(VLOOKUP(A68,'Données projet'!$A$35:$I$55,3,0)),0,VLOOKUP(A68,'Données projet'!$A$35:$I$55,3,0))</f>
        <v>5</v>
      </c>
      <c r="V68" s="16">
        <f>IF(ISNA(VLOOKUP(A68,'Données projet'!$A$35:$I$55,4,0)),0,VLOOKUP(A68,'Données projet'!$A$35:$I$55,4,0))</f>
        <v>56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306</v>
      </c>
      <c r="AG68" s="13">
        <f>VLOOKUP(A68,'Données projet'!$A$61:$I$81,9,0)</f>
        <v>5.2</v>
      </c>
      <c r="AH68" s="13">
        <f t="array" ref="AH68">INDEX(AG:AG,MIN(IF(ISNUMBER(AG68:AG264),ROW(AG68:AG264),"")))</f>
        <v>5.2</v>
      </c>
      <c r="AI68" s="14">
        <f>IF('Données projet'!$A$62&gt;35,AI67+AH68-AQ67,IF(A68&lt;'Données projet'!$A$62,$AF$205^A68,IF(A68='Données projet'!$A$62,'Données projet'!$B$62,AI67+AH68-AQ67)))</f>
        <v>305.99999999999989</v>
      </c>
      <c r="AJ68" s="14">
        <f>AI68*VLOOKUP('Données projet'!$B$10,Paramètres!$A$1:$I$89,3,0)*VLOOKUP('Données projet'!$B$10,Paramètres!$A$1:$I$89,5,0)</f>
        <v>243.45359999999991</v>
      </c>
      <c r="AK68" s="14">
        <f t="shared" si="35"/>
        <v>59.181970343065267</v>
      </c>
      <c r="AL68" s="22">
        <f t="shared" ref="AL68:AL131" si="58">(AJ68+AK68)*0.475*44/12</f>
        <v>527.09028501417185</v>
      </c>
      <c r="AM68" s="62">
        <f t="shared" ref="AM68:AM131" si="59">AL68+(AD68+AE68)*44/12</f>
        <v>791.033491130627</v>
      </c>
      <c r="AN68" s="62">
        <f ca="1">AVERAGE(OFFSET($AM$3,0,0,'Données projet'!$E$10+1,1))-AVERAGE(OFFSET($H$3,0,0,'Données projet'!$E$10+1,1))</f>
        <v>394.70330963327166</v>
      </c>
      <c r="AO68" s="62">
        <f t="shared" si="36"/>
        <v>424.06445894109982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306</v>
      </c>
      <c r="BB68" s="13">
        <f>VLOOKUP(A68,'Données projet'!$A$87:$I$107,9,0)</f>
        <v>5.2</v>
      </c>
      <c r="BC68" s="13">
        <f t="array" ref="BC68">INDEX(BB:BB,MIN(IF(ISNUMBER(BB68:BB264),ROW(BB68:BB264),"")))</f>
        <v>5.2</v>
      </c>
      <c r="BD68" s="13">
        <f>IF('Données projet'!$A$88&gt;35,BD67+BC68-BL67,IF(A68&lt;'Données projet'!$A$88,$BA$205^A68,IF(A68='Données projet'!$A$88,'Données projet'!$B$88,BD67+BC68-BL67)))</f>
        <v>305.99999999999989</v>
      </c>
      <c r="BE68" s="14">
        <f>BD68*VLOOKUP('Données projet'!$B$11,Paramètres!$A$1:$I$89,3,0)*VLOOKUP('Données projet'!$B$11,Paramètres!$A$1:$I$89,5,0)</f>
        <v>224.3591999999999</v>
      </c>
      <c r="BF68" s="14">
        <f t="shared" si="37"/>
        <v>55.061251669487255</v>
      </c>
      <c r="BG68" s="22">
        <f t="shared" ref="BG68:BG131" si="61">(BE68+BF68)*0.475*44/12</f>
        <v>486.65728665769001</v>
      </c>
      <c r="BH68" s="62">
        <f t="shared" ref="BH68:BH131" si="62">BG68+(AY68+AZ68)*44/12</f>
        <v>750.60049277414521</v>
      </c>
      <c r="BI68" s="62">
        <f ca="1">AVERAGE(OFFSET($BH$3,0,0,'Données projet'!$E$11+1,1))-AVERAGE(OFFSET($H$3,0,0,'Données projet'!$E$11+1,1))</f>
        <v>368.54671978064204</v>
      </c>
      <c r="BJ68" s="62">
        <f t="shared" si="38"/>
        <v>395.83504504492237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8.6666666666666661</v>
      </c>
      <c r="BY68" s="13">
        <f>IF('Données projet'!$A$114&gt;35,BY67+BX68-CG67,IF(A68&lt;'Données projet'!$A$114,$BV$205^A68,IF(A68='Données projet'!$A$114,'Données projet'!$B$114,BY67+BX68-CG67)))</f>
        <v>293.33333333333331</v>
      </c>
      <c r="BZ68" s="14">
        <f>BY68*VLOOKUP('Données projet'!$B$12,Paramètres!$A$1:$I$89,3,0)*VLOOKUP('Données projet'!$B$12,Paramètres!$A$1:$I$89,5,0)</f>
        <v>228.79999999999998</v>
      </c>
      <c r="CA68" s="14">
        <f t="shared" si="39"/>
        <v>56.023134533701196</v>
      </c>
      <c r="CB68" s="22">
        <f t="shared" ref="CB68:CB131" si="64">(BZ68+CA68)*0.475*44/12</f>
        <v>496.06695931286293</v>
      </c>
      <c r="CC68" s="62">
        <f t="shared" ref="CC68:CC131" si="65">CB68+(BT68+BU68)*44/12</f>
        <v>760.01016542931814</v>
      </c>
      <c r="CD68" s="62">
        <f ca="1">AVERAGE(OFFSET($CC$3,0,0,'Données projet'!$E$12+1,1))-AVERAGE(OFFSET($H$3,0,0,'Données projet'!$E$12+1,1))</f>
        <v>309.21625451786218</v>
      </c>
      <c r="CE68" s="62">
        <f t="shared" si="40"/>
        <v>302.59481222418219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>
        <f>VLOOKUP(A68,'Données projet'!$A$139:$I$159,2,0)</f>
        <v>246.15384615384613</v>
      </c>
      <c r="CR68" s="13">
        <f>VLOOKUP(A68,'Données projet'!$A$139:$I$159,9,0)</f>
        <v>5.5128205128205083</v>
      </c>
      <c r="CS68" s="13">
        <f t="array" ref="CS68">INDEX(CR:CR,MIN(IF(ISNUMBER(CR68:CR264),ROW(CR68:CR264),"")))</f>
        <v>5.5128205128205083</v>
      </c>
      <c r="CT68" s="13">
        <f>IF('Données projet'!$A$140&gt;35,CT67+CS68-DB67,IF(A68&lt;'Données projet'!$A$140,$CQ$205^A68,IF(A68='Données projet'!$A$140,'Données projet'!$B$140,CT67+CS68-DB67)))</f>
        <v>246.15384615384608</v>
      </c>
      <c r="CU68" s="18">
        <f>CT68*VLOOKUP('Données projet'!$B$13,Paramètres!$A$1:$I$89,3,0)*VLOOKUP('Données projet'!$B$13,Paramètres!$A$1:$I$89,5,0)</f>
        <v>234.23999999999992</v>
      </c>
      <c r="CV68" s="14">
        <f t="shared" si="41"/>
        <v>57.19849172024869</v>
      </c>
      <c r="CW68" s="22">
        <f t="shared" ref="CW68:CW131" si="67">(CU68+CV68)*0.475*44/12</f>
        <v>507.58870641276627</v>
      </c>
      <c r="CX68" s="62">
        <f t="shared" ref="CX68:CX131" si="68">CW68+(CO68+CP68)*44/12</f>
        <v>771.53191252922147</v>
      </c>
      <c r="CY68" s="62">
        <f ca="1">AVERAGE(OFFSET($CX$3,0,0,'Données projet'!$E$13+1,1))-AVERAGE(OFFSET($H$3,0,0,'Données projet'!$E$13+1,1))</f>
        <v>491.87038198656927</v>
      </c>
      <c r="CZ68" s="62">
        <f t="shared" si="42"/>
        <v>406.49261644949559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0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>
        <f>VLOOKUP(A68,'Données projet'!$A$165:$I$185,2,0)</f>
        <v>317</v>
      </c>
      <c r="DM68" s="13">
        <f>VLOOKUP(A68,'Données projet'!$A$165:$I$185,9,0)</f>
        <v>8.8000000000000007</v>
      </c>
      <c r="DN68" s="13">
        <f t="array" ref="DN68">INDEX(DM:DM,MIN(IF(ISNUMBER(DM68:DM264),ROW(DM68:DM264),"")))</f>
        <v>8.8000000000000007</v>
      </c>
      <c r="DO68" s="13">
        <f>IF('Données projet'!$A$166&gt;35,DO67+DN68-DW67,IF(A68&lt;'Données projet'!$A$166,$DL$205^A68,IF(A68='Données projet'!$A$166,'Données projet'!$B$166,DO67+DN68-DW67)))</f>
        <v>317</v>
      </c>
      <c r="DP68" s="18">
        <f>DO68*VLOOKUP('Données projet'!$B$14,Paramètres!$A$1:$I$89,3,0)*VLOOKUP('Données projet'!$B$14,Paramètres!$A$1:$I$89,5,0)</f>
        <v>306.60239999999999</v>
      </c>
      <c r="DQ68" s="14">
        <f t="shared" si="43"/>
        <v>72.558821602115088</v>
      </c>
      <c r="DR68" s="22">
        <f t="shared" ref="DR68:DR131" si="70">(DP68+DQ68)*0.475*44/12</f>
        <v>660.3724609570171</v>
      </c>
      <c r="DS68" s="62">
        <f t="shared" ref="DS68:DS131" si="71">DR68+(DJ68+DK68)*44/12</f>
        <v>924.31566707347224</v>
      </c>
      <c r="DT68" s="62">
        <f ca="1">AVERAGE(OFFSET($DS$3,0,0,'Données projet'!$E$14+1,1))-AVERAGE(OFFSET($H$3,0,0,'Données projet'!$E$14+1,1))</f>
        <v>603.52431522262032</v>
      </c>
      <c r="DU68" s="62">
        <f t="shared" si="44"/>
        <v>313.56299786481338</v>
      </c>
      <c r="DV68" s="16">
        <f>IF(ISNA(VLOOKUP(A68,'Données projet'!$A$165:$I$185,3,0)),0,VLOOKUP(A68,'Données projet'!$A$165:$I$185,3,0))</f>
        <v>5</v>
      </c>
      <c r="DW68" s="16">
        <f>IF(ISNA(VLOOKUP(A68,'Données projet'!$A$165:$I$185,4,0)),0,VLOOKUP(A68,'Données projet'!$A$165:$I$185,4,0))</f>
        <v>56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projet'!$B$14,Paramètres!$A$1:$I$89,3,0)*0.475*44/12</f>
        <v>0</v>
      </c>
      <c r="EB68" s="23">
        <f>EXP(-LN(2)/25)*EB67+(1-EXP(-LN(2)/25))/(LN(2)/25)*Calculateur!DW68*Calculateur!DY68*VLOOKUP('Données projet'!$B$14,Paramètres!$A$1:$I$89,3,0)*0.475*44/12</f>
        <v>0</v>
      </c>
      <c r="EC68" s="23">
        <f>EXP(-LN(2)/2)*EC67+(1-EXP(-LN(2)/2))/(LN(2)/2)*DW68*DZ68*VLOOKUP('Données projet'!$B$14,Paramètres!$A$1:$I$89,3,0)*0.475*44/12</f>
        <v>0</v>
      </c>
      <c r="ED68" s="24">
        <f t="shared" ref="ED68:ED131" si="72">SUM(EA68:EC68)</f>
        <v>0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-1.1368683772161603E-13</v>
      </c>
      <c r="EK68" s="18">
        <f>EJ68*VLOOKUP('Données projet'!$B$15,Paramètres!$A$1:$I$89,3,0)*VLOOKUP('Données projet'!$B$15,Paramètres!$A$1:$I$89,5,0)</f>
        <v>-9.2222762759774927E-14</v>
      </c>
      <c r="EL68" s="14" t="e">
        <f t="shared" si="45"/>
        <v>#NUM!</v>
      </c>
      <c r="EM68" s="22" t="e">
        <f t="shared" ref="EM68:EM131" si="73">(EK68+EL68)*0.475*44/12</f>
        <v>#NUM!</v>
      </c>
      <c r="EN68" s="62" t="e">
        <f t="shared" ref="EN68:EN131" si="74">EM68+(EE68+EF68)*44/12</f>
        <v>#NUM!</v>
      </c>
      <c r="EO68" s="62">
        <f ca="1">AVERAGE(OFFSET($EN$3,0,0,'Données projet'!$E$15+1,1))-AVERAGE(OFFSET($H$3,0,0,'Données projet'!$E$15+1,1))</f>
        <v>272.69564942740931</v>
      </c>
      <c r="EP68" s="62">
        <f t="shared" si="46"/>
        <v>316.57989180609252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>
        <f>EXP(-LN(2)/35)*EV67+(1-EXP(-LN(2)/35))/(LN(2)/35)*ER68*ES68*VLOOKUP('Données projet'!$B$15,Paramètres!$A$1:$I$89,3,0)*0.475*44/12</f>
        <v>0</v>
      </c>
      <c r="EW68" s="23">
        <f>EXP(-LN(2)/25)*EW67+(1-EXP(-LN(2)/25))/(LN(2)/25)*Calculateur!ER68*Calculateur!ET68*VLOOKUP('Données projet'!$B$15,Paramètres!$A$1:$I$89,3,0)*0.475*44/12</f>
        <v>0</v>
      </c>
      <c r="EX68" s="23">
        <f>EXP(-LN(2)/2)*EX67+(1-EXP(-LN(2)/2))/(LN(2)/2)*ER68*EU68*VLOOKUP('Données projet'!$B$15,Paramètres!$A$1:$I$89,3,0)*0.475*44/12</f>
        <v>0</v>
      </c>
      <c r="EY68" s="24">
        <f t="shared" ref="EY68:EY131" si="75">SUM(EV68:EX68)</f>
        <v>0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>
        <f>VLOOKUP(A68,'Données projet'!$A$217:$I$237,2,0)</f>
        <v>319.23076923076923</v>
      </c>
      <c r="FC68" s="13">
        <f>VLOOKUP(A68,'Données projet'!$A$217:$I$237,9,0)</f>
        <v>6.2820512820512819</v>
      </c>
      <c r="FD68" s="13">
        <f t="array" ref="FD68">INDEX(FC:FC,MIN(IF(ISNUMBER(FC68:FC264),ROW(FC68:FC264),"")))</f>
        <v>6.2820512820512819</v>
      </c>
      <c r="FE68" s="13">
        <f>IF('Données projet'!$A$218&gt;35,FE67+FD68-FM67,IF(A68&lt;'Données projet'!$A$218,$FB$205^A68,IF(A68='Données projet'!$A$218,'Données projet'!$B$218,FE67+FD68-FM67)))</f>
        <v>319.230769230769</v>
      </c>
      <c r="FF68" s="18">
        <f>FE68*VLOOKUP('Données projet'!$B$16,Paramètres!$A$1:$I$89,3,0)*VLOOKUP('Données projet'!$B$16,Paramètres!$A$1:$I$89,5,0)</f>
        <v>214.13999999999984</v>
      </c>
      <c r="FG68" s="14">
        <f t="shared" si="47"/>
        <v>52.839249375753219</v>
      </c>
      <c r="FH68" s="22">
        <f t="shared" ref="FH68:FH131" si="76">(FF68+FG68)*0.475*44/12</f>
        <v>464.98885932943654</v>
      </c>
      <c r="FI68" s="62">
        <f t="shared" ref="FI68:FI131" si="77">FH68+(EZ68+FA68)*44/12</f>
        <v>728.93206544589179</v>
      </c>
      <c r="FJ68" s="62">
        <f ca="1">AVERAGE(OFFSET($FI$3,0,0,'Données projet'!$E$16+1,1))-AVERAGE(OFFSET($H$3,0,0,'Données projet'!$E$16+1,1))</f>
        <v>440.90856392064205</v>
      </c>
      <c r="FK68" s="62">
        <f t="shared" si="48"/>
        <v>373.33139300970629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>
        <f>EXP(-LN(2)/35)*FQ67+(1-EXP(-LN(2)/35))/(LN(2)/35)*FM68*FN68*VLOOKUP('Données projet'!$B$16,Paramètres!$A$1:$I$89,3,0)*0.475*44/12</f>
        <v>0</v>
      </c>
      <c r="FR68" s="23">
        <f>EXP(-LN(2)/25)*FR67+(1-EXP(-LN(2)/25))/(LN(2)/25)*Calculateur!FM68*Calculateur!FO68*VLOOKUP('Données projet'!$B$16,Paramètres!$A$1:$I$89,3,0)*0.475*44/12</f>
        <v>0</v>
      </c>
      <c r="FS68" s="23">
        <f>EXP(-LN(2)/2)*FS67+(1-EXP(-LN(2)/2))/(LN(2)/2)*FM68*FP68*VLOOKUP('Données projet'!$B$16,Paramètres!$A$1:$I$89,3,0)*0.475*44/12</f>
        <v>0</v>
      </c>
      <c r="FT68" s="24">
        <f t="shared" ref="FT68:FT131" si="78">SUM(FQ68:FS68)</f>
        <v>0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70">
        <f t="shared" si="56"/>
        <v>183.33333333333334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8.1999999999999993</v>
      </c>
      <c r="N69" s="14">
        <f>IF('Données projet'!$A$36&gt;35,N68+M69-V68,IF(A69&lt;'Données projet'!$A$36,$K$205^A69,IF(A69='Données projet'!$A$36,'Données projet'!$B$36,N68+M69-V68)))</f>
        <v>269.2</v>
      </c>
      <c r="O69" s="14">
        <f>N69*VLOOKUP('Données projet'!$B$9,Paramètres!$A$1:$I$89,3,0)*VLOOKUP('Données projet'!$B$9,Paramètres!$A$1:$I$89,5,0)</f>
        <v>243.57216</v>
      </c>
      <c r="P69" s="14">
        <f t="shared" ref="P69:P132" si="87">EXP(-1.0587+0.8836*LN(O69)+0.284)</f>
        <v>59.207435995642292</v>
      </c>
      <c r="Q69" s="22">
        <f t="shared" si="54"/>
        <v>527.34112969241028</v>
      </c>
      <c r="R69" s="62">
        <f t="shared" si="55"/>
        <v>791.79418880959736</v>
      </c>
      <c r="S69" s="62">
        <f ca="1">AVERAGE(OFFSET($R$3,0,0,'Données projet'!$E$9+1,1))-AVERAGE(OFFSET($H$3,0,0,'Données projet'!$E$9+1,1))</f>
        <v>570.08763950759544</v>
      </c>
      <c r="T69" s="62">
        <f t="shared" ref="T69:T132" si="88">$T$3</f>
        <v>297.32483725004136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4.4000000000000004</v>
      </c>
      <c r="AI69" s="14">
        <f>IF('Données projet'!$A$62&gt;35,AI68+AH69-AQ68,IF(A69&lt;'Données projet'!$A$62,$AF$205^A69,IF(A69='Données projet'!$A$62,'Données projet'!$B$62,AI68+AH69-AQ68)))</f>
        <v>310.39999999999986</v>
      </c>
      <c r="AJ69" s="14">
        <f>AI69*VLOOKUP('Données projet'!$B$10,Paramètres!$A$1:$I$89,3,0)*VLOOKUP('Données projet'!$B$10,Paramètres!$A$1:$I$89,5,0)</f>
        <v>246.95423999999991</v>
      </c>
      <c r="AK69" s="14">
        <f t="shared" ref="AK69:AK132" si="89">EXP(-1.0587+0.8836*LN(AJ69)+0.284)</f>
        <v>59.933272631878893</v>
      </c>
      <c r="AL69" s="22">
        <f t="shared" si="58"/>
        <v>534.49575116718881</v>
      </c>
      <c r="AM69" s="62">
        <f t="shared" si="59"/>
        <v>798.9488102843759</v>
      </c>
      <c r="AN69" s="62">
        <f ca="1">AVERAGE(OFFSET($AM$3,0,0,'Données projet'!$E$10+1,1))-AVERAGE(OFFSET($H$3,0,0,'Données projet'!$E$10+1,1))</f>
        <v>394.70330963327166</v>
      </c>
      <c r="AO69" s="62">
        <f t="shared" ref="AO69:AO132" si="90">$AO$3</f>
        <v>424.06445894109982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4.4000000000000004</v>
      </c>
      <c r="BD69" s="13">
        <f>IF('Données projet'!$A$88&gt;35,BD68+BC69-BL68,IF(A69&lt;'Données projet'!$A$88,$BA$205^A69,IF(A69='Données projet'!$A$88,'Données projet'!$B$88,BD68+BC69-BL68)))</f>
        <v>310.39999999999986</v>
      </c>
      <c r="BE69" s="14">
        <f>BD69*VLOOKUP('Données projet'!$B$11,Paramètres!$A$1:$I$89,3,0)*VLOOKUP('Données projet'!$B$11,Paramètres!$A$1:$I$89,5,0)</f>
        <v>227.58527999999987</v>
      </c>
      <c r="BF69" s="14">
        <f t="shared" ref="BF69:BF132" si="91">EXP(-1.0587+0.8836*LN(BE69)+0.284)</f>
        <v>55.760242327696616</v>
      </c>
      <c r="BG69" s="22">
        <f t="shared" si="61"/>
        <v>493.49345138740472</v>
      </c>
      <c r="BH69" s="62">
        <f t="shared" si="62"/>
        <v>757.94651050459174</v>
      </c>
      <c r="BI69" s="62">
        <f ca="1">AVERAGE(OFFSET($BH$3,0,0,'Données projet'!$E$11+1,1))-AVERAGE(OFFSET($H$3,0,0,'Données projet'!$E$11+1,1))</f>
        <v>368.54671978064204</v>
      </c>
      <c r="BJ69" s="62">
        <f t="shared" ref="BJ69:BJ132" si="92">$BJ$3</f>
        <v>395.83504504492237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8.6666666666666661</v>
      </c>
      <c r="BY69" s="13">
        <f>IF('Données projet'!$A$114&gt;35,BY68+BX69-CG68,IF(A69&lt;'Données projet'!$A$114,$BV$205^A69,IF(A69='Données projet'!$A$114,'Données projet'!$B$114,BY68+BX69-CG68)))</f>
        <v>302</v>
      </c>
      <c r="BZ69" s="14">
        <f>BY69*VLOOKUP('Données projet'!$B$12,Paramètres!$A$1:$I$89,3,0)*VLOOKUP('Données projet'!$B$12,Paramètres!$A$1:$I$89,5,0)</f>
        <v>235.56</v>
      </c>
      <c r="CA69" s="14">
        <f t="shared" ref="CA69:CA132" si="93">EXP(-1.0587+0.8836*LN(BZ69)+0.284)</f>
        <v>57.483207143847721</v>
      </c>
      <c r="CB69" s="22">
        <f t="shared" si="64"/>
        <v>510.38358577553481</v>
      </c>
      <c r="CC69" s="62">
        <f t="shared" si="65"/>
        <v>774.83664489272189</v>
      </c>
      <c r="CD69" s="62">
        <f ca="1">AVERAGE(OFFSET($CC$3,0,0,'Données projet'!$E$12+1,1))-AVERAGE(OFFSET($H$3,0,0,'Données projet'!$E$12+1,1))</f>
        <v>309.21625451786218</v>
      </c>
      <c r="CE69" s="62">
        <f t="shared" ref="CE69:CE132" si="94">$CE$3</f>
        <v>302.59481222418219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5.3846153846153921</v>
      </c>
      <c r="CT69" s="13">
        <f>IF('Données projet'!$A$140&gt;35,CT68+CS69-DB68,IF(A69&lt;'Données projet'!$A$140,$CQ$205^A69,IF(A69='Données projet'!$A$140,'Données projet'!$B$140,CT68+CS69-DB68)))</f>
        <v>251.53846153846146</v>
      </c>
      <c r="CU69" s="18">
        <f>CT69*VLOOKUP('Données projet'!$B$13,Paramètres!$A$1:$I$89,3,0)*VLOOKUP('Données projet'!$B$13,Paramètres!$A$1:$I$89,5,0)</f>
        <v>239.36399999999995</v>
      </c>
      <c r="CV69" s="14">
        <f t="shared" ref="CV69:CV132" si="95">EXP(-1.0587+0.8836*LN(CU69)+0.284)</f>
        <v>58.302670858566024</v>
      </c>
      <c r="CW69" s="22">
        <f t="shared" si="67"/>
        <v>518.43611841200243</v>
      </c>
      <c r="CX69" s="62">
        <f t="shared" si="68"/>
        <v>782.88917752918951</v>
      </c>
      <c r="CY69" s="62">
        <f ca="1">AVERAGE(OFFSET($CX$3,0,0,'Données projet'!$E$13+1,1))-AVERAGE(OFFSET($H$3,0,0,'Données projet'!$E$13+1,1))</f>
        <v>491.87038198656927</v>
      </c>
      <c r="CZ69" s="62">
        <f t="shared" ref="CZ69:CZ132" si="96">$CZ$3</f>
        <v>406.49261644949559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0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8.1999999999999993</v>
      </c>
      <c r="DO69" s="13">
        <f>IF('Données projet'!$A$166&gt;35,DO68+DN69-DW68,IF(A69&lt;'Données projet'!$A$166,$DL$205^A69,IF(A69='Données projet'!$A$166,'Données projet'!$B$166,DO68+DN69-DW68)))</f>
        <v>269.2</v>
      </c>
      <c r="DP69" s="18">
        <f>DO69*VLOOKUP('Données projet'!$B$14,Paramètres!$A$1:$I$89,3,0)*VLOOKUP('Données projet'!$B$14,Paramètres!$A$1:$I$89,5,0)</f>
        <v>260.37024000000002</v>
      </c>
      <c r="DQ69" s="14">
        <f t="shared" ref="DQ69:DQ132" si="97">EXP(-1.0587+0.8836*LN(DP69)+0.284)</f>
        <v>62.801291625234725</v>
      </c>
      <c r="DR69" s="22">
        <f t="shared" si="70"/>
        <v>562.85708424728386</v>
      </c>
      <c r="DS69" s="62">
        <f t="shared" si="71"/>
        <v>827.31014336447095</v>
      </c>
      <c r="DT69" s="62">
        <f ca="1">AVERAGE(OFFSET($DS$3,0,0,'Données projet'!$E$14+1,1))-AVERAGE(OFFSET($H$3,0,0,'Données projet'!$E$14+1,1))</f>
        <v>603.52431522262032</v>
      </c>
      <c r="DU69" s="62">
        <f t="shared" ref="DU69:DU132" si="98">$DU$3</f>
        <v>313.56299786481338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projet'!$B$14,Paramètres!$A$1:$I$89,3,0)*0.475*44/12</f>
        <v>0</v>
      </c>
      <c r="EB69" s="23">
        <f>EXP(-LN(2)/25)*EB68+(1-EXP(-LN(2)/25))/(LN(2)/25)*Calculateur!DW69*Calculateur!DY69*VLOOKUP('Données projet'!$B$14,Paramètres!$A$1:$I$89,3,0)*0.475*44/12</f>
        <v>0</v>
      </c>
      <c r="EC69" s="23">
        <f>EXP(-LN(2)/2)*EC68+(1-EXP(-LN(2)/2))/(LN(2)/2)*DW69*DZ69*VLOOKUP('Données projet'!$B$14,Paramètres!$A$1:$I$89,3,0)*0.475*44/12</f>
        <v>0</v>
      </c>
      <c r="ED69" s="24">
        <f t="shared" si="72"/>
        <v>0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-1.1368683772161603E-13</v>
      </c>
      <c r="EK69" s="18">
        <f>EJ69*VLOOKUP('Données projet'!$B$15,Paramètres!$A$1:$I$89,3,0)*VLOOKUP('Données projet'!$B$15,Paramètres!$A$1:$I$89,5,0)</f>
        <v>-9.2222762759774927E-14</v>
      </c>
      <c r="EL69" s="14" t="e">
        <f t="shared" ref="EL69:EL132" si="99">EXP(-1.0587+0.8836*LN(EK69)+0.284)</f>
        <v>#NUM!</v>
      </c>
      <c r="EM69" s="22" t="e">
        <f t="shared" si="73"/>
        <v>#NUM!</v>
      </c>
      <c r="EN69" s="62" t="e">
        <f t="shared" si="74"/>
        <v>#NUM!</v>
      </c>
      <c r="EO69" s="62">
        <f ca="1">AVERAGE(OFFSET($EN$3,0,0,'Données projet'!$E$15+1,1))-AVERAGE(OFFSET($H$3,0,0,'Données projet'!$E$15+1,1))</f>
        <v>272.69564942740931</v>
      </c>
      <c r="EP69" s="62">
        <f t="shared" ref="EP69:EP132" si="100">$EP$3</f>
        <v>316.57989180609252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>
        <f>EXP(-LN(2)/35)*EV68+(1-EXP(-LN(2)/35))/(LN(2)/35)*ER69*ES69*VLOOKUP('Données projet'!$B$15,Paramètres!$A$1:$I$89,3,0)*0.475*44/12</f>
        <v>0</v>
      </c>
      <c r="EW69" s="23">
        <f>EXP(-LN(2)/25)*EW68+(1-EXP(-LN(2)/25))/(LN(2)/25)*Calculateur!ER69*Calculateur!ET69*VLOOKUP('Données projet'!$B$15,Paramètres!$A$1:$I$89,3,0)*0.475*44/12</f>
        <v>0</v>
      </c>
      <c r="EX69" s="23">
        <f>EXP(-LN(2)/2)*EX68+(1-EXP(-LN(2)/2))/(LN(2)/2)*ER69*EU69*VLOOKUP('Données projet'!$B$15,Paramètres!$A$1:$I$89,3,0)*0.475*44/12</f>
        <v>0</v>
      </c>
      <c r="EY69" s="24">
        <f t="shared" si="75"/>
        <v>0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5.8974358974359005</v>
      </c>
      <c r="FE69" s="13">
        <f>IF('Données projet'!$A$218&gt;35,FE68+FD69-FM68,IF(A69&lt;'Données projet'!$A$218,$FB$205^A69,IF(A69='Données projet'!$A$218,'Données projet'!$B$218,FE68+FD69-FM68)))</f>
        <v>325.12820512820491</v>
      </c>
      <c r="FF69" s="18">
        <f>FE69*VLOOKUP('Données projet'!$B$16,Paramètres!$A$1:$I$89,3,0)*VLOOKUP('Données projet'!$B$16,Paramètres!$A$1:$I$89,5,0)</f>
        <v>218.09599999999986</v>
      </c>
      <c r="FG69" s="14">
        <f t="shared" ref="FG69:FG132" si="101">EXP(-1.0587+0.8836*LN(FF69)+0.284)</f>
        <v>53.700851612092265</v>
      </c>
      <c r="FH69" s="22">
        <f t="shared" si="76"/>
        <v>473.37951655772713</v>
      </c>
      <c r="FI69" s="62">
        <f t="shared" si="77"/>
        <v>737.83257567491421</v>
      </c>
      <c r="FJ69" s="62">
        <f ca="1">AVERAGE(OFFSET($FI$3,0,0,'Données projet'!$E$16+1,1))-AVERAGE(OFFSET($H$3,0,0,'Données projet'!$E$16+1,1))</f>
        <v>440.90856392064205</v>
      </c>
      <c r="FK69" s="62">
        <f t="shared" ref="FK69:FK132" si="102">$FK$3</f>
        <v>373.33139300970629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>
        <f>EXP(-LN(2)/35)*FQ68+(1-EXP(-LN(2)/35))/(LN(2)/35)*FM69*FN69*VLOOKUP('Données projet'!$B$16,Paramètres!$A$1:$I$89,3,0)*0.475*44/12</f>
        <v>0</v>
      </c>
      <c r="FR69" s="23">
        <f>EXP(-LN(2)/25)*FR68+(1-EXP(-LN(2)/25))/(LN(2)/25)*Calculateur!FM69*Calculateur!FO69*VLOOKUP('Données projet'!$B$16,Paramètres!$A$1:$I$89,3,0)*0.475*44/12</f>
        <v>0</v>
      </c>
      <c r="FS69" s="23">
        <f>EXP(-LN(2)/2)*FS68+(1-EXP(-LN(2)/2))/(LN(2)/2)*FM69*FP69*VLOOKUP('Données projet'!$B$16,Paramètres!$A$1:$I$89,3,0)*0.475*44/12</f>
        <v>0</v>
      </c>
      <c r="FT69" s="24">
        <f t="shared" si="78"/>
        <v>0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70">
        <f t="shared" si="56"/>
        <v>183.33333333333334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8.1999999999999993</v>
      </c>
      <c r="N70" s="14">
        <f>IF('Données projet'!$A$36&gt;35,N69+M70-V69,IF(A70&lt;'Données projet'!$A$36,$K$205^A70,IF(A70='Données projet'!$A$36,'Données projet'!$B$36,N69+M70-V69)))</f>
        <v>277.39999999999998</v>
      </c>
      <c r="O70" s="14">
        <f>N70*VLOOKUP('Données projet'!$B$9,Paramètres!$A$1:$I$89,3,0)*VLOOKUP('Données projet'!$B$9,Paramètres!$A$1:$I$89,5,0)</f>
        <v>250.99151999999995</v>
      </c>
      <c r="P70" s="14">
        <f t="shared" si="87"/>
        <v>60.798211000769406</v>
      </c>
      <c r="Q70" s="22">
        <f t="shared" si="54"/>
        <v>543.03378149300659</v>
      </c>
      <c r="R70" s="62">
        <f t="shared" si="55"/>
        <v>807.98784880122344</v>
      </c>
      <c r="S70" s="62">
        <f ca="1">AVERAGE(OFFSET($R$3,0,0,'Données projet'!$E$9+1,1))-AVERAGE(OFFSET($H$3,0,0,'Données projet'!$E$9+1,1))</f>
        <v>570.08763950759544</v>
      </c>
      <c r="T70" s="62">
        <f t="shared" si="88"/>
        <v>297.32483725004136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4.4000000000000004</v>
      </c>
      <c r="AI70" s="14">
        <f>IF('Données projet'!$A$62&gt;35,AI69+AH70-AQ69,IF(A70&lt;'Données projet'!$A$62,$AF$205^A70,IF(A70='Données projet'!$A$62,'Données projet'!$B$62,AI69+AH70-AQ69)))</f>
        <v>314.79999999999984</v>
      </c>
      <c r="AJ70" s="14">
        <f>AI70*VLOOKUP('Données projet'!$B$10,Paramètres!$A$1:$I$89,3,0)*VLOOKUP('Données projet'!$B$10,Paramètres!$A$1:$I$89,5,0)</f>
        <v>250.45487999999989</v>
      </c>
      <c r="AK70" s="14">
        <f t="shared" si="89"/>
        <v>60.683336250201052</v>
      </c>
      <c r="AL70" s="22">
        <f t="shared" si="58"/>
        <v>541.89905996909988</v>
      </c>
      <c r="AM70" s="62">
        <f t="shared" si="59"/>
        <v>806.85312727731684</v>
      </c>
      <c r="AN70" s="62">
        <f ca="1">AVERAGE(OFFSET($AM$3,0,0,'Données projet'!$E$10+1,1))-AVERAGE(OFFSET($H$3,0,0,'Données projet'!$E$10+1,1))</f>
        <v>394.70330963327166</v>
      </c>
      <c r="AO70" s="62">
        <f t="shared" si="90"/>
        <v>424.06445894109982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4.4000000000000004</v>
      </c>
      <c r="BD70" s="13">
        <f>IF('Données projet'!$A$88&gt;35,BD69+BC70-BL69,IF(A70&lt;'Données projet'!$A$88,$BA$205^A70,IF(A70='Données projet'!$A$88,'Données projet'!$B$88,BD69+BC70-BL69)))</f>
        <v>314.79999999999984</v>
      </c>
      <c r="BE70" s="14">
        <f>BD70*VLOOKUP('Données projet'!$B$11,Paramètres!$A$1:$I$89,3,0)*VLOOKUP('Données projet'!$B$11,Paramètres!$A$1:$I$89,5,0)</f>
        <v>230.81135999999987</v>
      </c>
      <c r="BF70" s="14">
        <f t="shared" si="91"/>
        <v>56.458080561489126</v>
      </c>
      <c r="BG70" s="22">
        <f t="shared" si="61"/>
        <v>500.32760897792667</v>
      </c>
      <c r="BH70" s="62">
        <f t="shared" si="62"/>
        <v>765.28167628614358</v>
      </c>
      <c r="BI70" s="62">
        <f ca="1">AVERAGE(OFFSET($BH$3,0,0,'Données projet'!$E$11+1,1))-AVERAGE(OFFSET($H$3,0,0,'Données projet'!$E$11+1,1))</f>
        <v>368.54671978064204</v>
      </c>
      <c r="BJ70" s="62">
        <f t="shared" si="92"/>
        <v>395.83504504492237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8.6666666666666661</v>
      </c>
      <c r="BY70" s="13">
        <f>IF('Données projet'!$A$114&gt;35,BY69+BX70-CG69,IF(A70&lt;'Données projet'!$A$114,$BV$205^A70,IF(A70='Données projet'!$A$114,'Données projet'!$B$114,BY69+BX70-CG69)))</f>
        <v>310.66666666666669</v>
      </c>
      <c r="BZ70" s="14">
        <f>BY70*VLOOKUP('Données projet'!$B$12,Paramètres!$A$1:$I$89,3,0)*VLOOKUP('Données projet'!$B$12,Paramètres!$A$1:$I$89,5,0)</f>
        <v>242.32000000000002</v>
      </c>
      <c r="CA70" s="14">
        <f t="shared" si="93"/>
        <v>58.938409961900859</v>
      </c>
      <c r="CB70" s="22">
        <f t="shared" si="64"/>
        <v>524.69173068364398</v>
      </c>
      <c r="CC70" s="62">
        <f t="shared" si="65"/>
        <v>789.64579799186095</v>
      </c>
      <c r="CD70" s="62">
        <f ca="1">AVERAGE(OFFSET($CC$3,0,0,'Données projet'!$E$12+1,1))-AVERAGE(OFFSET($H$3,0,0,'Données projet'!$E$12+1,1))</f>
        <v>309.21625451786218</v>
      </c>
      <c r="CE70" s="62">
        <f t="shared" si="94"/>
        <v>302.59481222418219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5.3846153846153921</v>
      </c>
      <c r="CT70" s="13">
        <f>IF('Données projet'!$A$140&gt;35,CT69+CS70-DB69,IF(A70&lt;'Données projet'!$A$140,$CQ$205^A70,IF(A70='Données projet'!$A$140,'Données projet'!$B$140,CT69+CS70-DB69)))</f>
        <v>256.92307692307685</v>
      </c>
      <c r="CU70" s="18">
        <f>CT70*VLOOKUP('Données projet'!$B$13,Paramètres!$A$1:$I$89,3,0)*VLOOKUP('Données projet'!$B$13,Paramètres!$A$1:$I$89,5,0)</f>
        <v>244.48799999999991</v>
      </c>
      <c r="CV70" s="14">
        <f t="shared" si="95"/>
        <v>59.404101869221606</v>
      </c>
      <c r="CW70" s="22">
        <f t="shared" si="67"/>
        <v>529.27874408889409</v>
      </c>
      <c r="CX70" s="62">
        <f t="shared" si="68"/>
        <v>794.23281139711094</v>
      </c>
      <c r="CY70" s="62">
        <f ca="1">AVERAGE(OFFSET($CX$3,0,0,'Données projet'!$E$13+1,1))-AVERAGE(OFFSET($H$3,0,0,'Données projet'!$E$13+1,1))</f>
        <v>491.87038198656927</v>
      </c>
      <c r="CZ70" s="62">
        <f t="shared" si="96"/>
        <v>406.49261644949559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0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8.1999999999999993</v>
      </c>
      <c r="DO70" s="13">
        <f>IF('Données projet'!$A$166&gt;35,DO69+DN70-DW69,IF(A70&lt;'Données projet'!$A$166,$DL$205^A70,IF(A70='Données projet'!$A$166,'Données projet'!$B$166,DO69+DN70-DW69)))</f>
        <v>277.39999999999998</v>
      </c>
      <c r="DP70" s="18">
        <f>DO70*VLOOKUP('Données projet'!$B$14,Paramètres!$A$1:$I$89,3,0)*VLOOKUP('Données projet'!$B$14,Paramètres!$A$1:$I$89,5,0)</f>
        <v>268.30127999999996</v>
      </c>
      <c r="DQ70" s="14">
        <f t="shared" si="97"/>
        <v>64.488625713042012</v>
      </c>
      <c r="DR70" s="22">
        <f t="shared" si="70"/>
        <v>579.60908578354815</v>
      </c>
      <c r="DS70" s="62">
        <f t="shared" si="71"/>
        <v>844.56315309176512</v>
      </c>
      <c r="DT70" s="62">
        <f ca="1">AVERAGE(OFFSET($DS$3,0,0,'Données projet'!$E$14+1,1))-AVERAGE(OFFSET($H$3,0,0,'Données projet'!$E$14+1,1))</f>
        <v>603.52431522262032</v>
      </c>
      <c r="DU70" s="62">
        <f t="shared" si="98"/>
        <v>313.56299786481338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projet'!$B$14,Paramètres!$A$1:$I$89,3,0)*0.475*44/12</f>
        <v>0</v>
      </c>
      <c r="EB70" s="23">
        <f>EXP(-LN(2)/25)*EB69+(1-EXP(-LN(2)/25))/(LN(2)/25)*Calculateur!DW70*Calculateur!DY70*VLOOKUP('Données projet'!$B$14,Paramètres!$A$1:$I$89,3,0)*0.475*44/12</f>
        <v>0</v>
      </c>
      <c r="EC70" s="23">
        <f>EXP(-LN(2)/2)*EC69+(1-EXP(-LN(2)/2))/(LN(2)/2)*DW70*DZ70*VLOOKUP('Données projet'!$B$14,Paramètres!$A$1:$I$89,3,0)*0.475*44/12</f>
        <v>0</v>
      </c>
      <c r="ED70" s="24">
        <f t="shared" si="72"/>
        <v>0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-1.1368683772161603E-13</v>
      </c>
      <c r="EK70" s="18">
        <f>EJ70*VLOOKUP('Données projet'!$B$15,Paramètres!$A$1:$I$89,3,0)*VLOOKUP('Données projet'!$B$15,Paramètres!$A$1:$I$89,5,0)</f>
        <v>-9.2222762759774927E-14</v>
      </c>
      <c r="EL70" s="14" t="e">
        <f t="shared" si="99"/>
        <v>#NUM!</v>
      </c>
      <c r="EM70" s="22" t="e">
        <f t="shared" si="73"/>
        <v>#NUM!</v>
      </c>
      <c r="EN70" s="62" t="e">
        <f t="shared" si="74"/>
        <v>#NUM!</v>
      </c>
      <c r="EO70" s="62">
        <f ca="1">AVERAGE(OFFSET($EN$3,0,0,'Données projet'!$E$15+1,1))-AVERAGE(OFFSET($H$3,0,0,'Données projet'!$E$15+1,1))</f>
        <v>272.69564942740931</v>
      </c>
      <c r="EP70" s="62">
        <f t="shared" si="100"/>
        <v>316.57989180609252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>
        <f>EXP(-LN(2)/35)*EV69+(1-EXP(-LN(2)/35))/(LN(2)/35)*ER70*ES70*VLOOKUP('Données projet'!$B$15,Paramètres!$A$1:$I$89,3,0)*0.475*44/12</f>
        <v>0</v>
      </c>
      <c r="EW70" s="23">
        <f>EXP(-LN(2)/25)*EW69+(1-EXP(-LN(2)/25))/(LN(2)/25)*Calculateur!ER70*Calculateur!ET70*VLOOKUP('Données projet'!$B$15,Paramètres!$A$1:$I$89,3,0)*0.475*44/12</f>
        <v>0</v>
      </c>
      <c r="EX70" s="23">
        <f>EXP(-LN(2)/2)*EX69+(1-EXP(-LN(2)/2))/(LN(2)/2)*ER70*EU70*VLOOKUP('Données projet'!$B$15,Paramètres!$A$1:$I$89,3,0)*0.475*44/12</f>
        <v>0</v>
      </c>
      <c r="EY70" s="24">
        <f t="shared" si="75"/>
        <v>0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5.8974358974359005</v>
      </c>
      <c r="FE70" s="13">
        <f>IF('Données projet'!$A$218&gt;35,FE69+FD70-FM69,IF(A70&lt;'Données projet'!$A$218,$FB$205^A70,IF(A70='Données projet'!$A$218,'Données projet'!$B$218,FE69+FD70-FM69)))</f>
        <v>331.02564102564082</v>
      </c>
      <c r="FF70" s="18">
        <f>FE70*VLOOKUP('Données projet'!$B$16,Paramètres!$A$1:$I$89,3,0)*VLOOKUP('Données projet'!$B$16,Paramètres!$A$1:$I$89,5,0)</f>
        <v>222.05199999999985</v>
      </c>
      <c r="FG70" s="14">
        <f t="shared" si="101"/>
        <v>54.560636512710779</v>
      </c>
      <c r="FH70" s="22">
        <f t="shared" si="76"/>
        <v>481.76700859297108</v>
      </c>
      <c r="FI70" s="62">
        <f t="shared" si="77"/>
        <v>746.72107590118799</v>
      </c>
      <c r="FJ70" s="62">
        <f ca="1">AVERAGE(OFFSET($FI$3,0,0,'Données projet'!$E$16+1,1))-AVERAGE(OFFSET($H$3,0,0,'Données projet'!$E$16+1,1))</f>
        <v>440.90856392064205</v>
      </c>
      <c r="FK70" s="62">
        <f t="shared" si="102"/>
        <v>373.33139300970629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>
        <f>EXP(-LN(2)/35)*FQ69+(1-EXP(-LN(2)/35))/(LN(2)/35)*FM70*FN70*VLOOKUP('Données projet'!$B$16,Paramètres!$A$1:$I$89,3,0)*0.475*44/12</f>
        <v>0</v>
      </c>
      <c r="FR70" s="23">
        <f>EXP(-LN(2)/25)*FR69+(1-EXP(-LN(2)/25))/(LN(2)/25)*Calculateur!FM70*Calculateur!FO70*VLOOKUP('Données projet'!$B$16,Paramètres!$A$1:$I$89,3,0)*0.475*44/12</f>
        <v>0</v>
      </c>
      <c r="FS70" s="23">
        <f>EXP(-LN(2)/2)*FS69+(1-EXP(-LN(2)/2))/(LN(2)/2)*FM70*FP70*VLOOKUP('Données projet'!$B$16,Paramètres!$A$1:$I$89,3,0)*0.475*44/12</f>
        <v>0</v>
      </c>
      <c r="FT70" s="24">
        <f t="shared" si="78"/>
        <v>0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70">
        <f t="shared" si="56"/>
        <v>183.33333333333334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8.1999999999999993</v>
      </c>
      <c r="N71" s="14">
        <f>IF('Données projet'!$A$36&gt;35,N70+M71-V70,IF(A71&lt;'Données projet'!$A$36,$K$205^A71,IF(A71='Données projet'!$A$36,'Données projet'!$B$36,N70+M71-V70)))</f>
        <v>285.59999999999997</v>
      </c>
      <c r="O71" s="14">
        <f>N71*VLOOKUP('Données projet'!$B$9,Paramètres!$A$1:$I$89,3,0)*VLOOKUP('Données projet'!$B$9,Paramètres!$A$1:$I$89,5,0)</f>
        <v>258.41087999999996</v>
      </c>
      <c r="P71" s="14">
        <f t="shared" si="87"/>
        <v>62.383521020316756</v>
      </c>
      <c r="Q71" s="22">
        <f t="shared" si="54"/>
        <v>558.71691511038489</v>
      </c>
      <c r="R71" s="62">
        <f t="shared" si="55"/>
        <v>824.16329923760372</v>
      </c>
      <c r="S71" s="62">
        <f ca="1">AVERAGE(OFFSET($R$3,0,0,'Données projet'!$E$9+1,1))-AVERAGE(OFFSET($H$3,0,0,'Données projet'!$E$9+1,1))</f>
        <v>570.08763950759544</v>
      </c>
      <c r="T71" s="62">
        <f t="shared" si="88"/>
        <v>297.32483725004136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4.4000000000000004</v>
      </c>
      <c r="AI71" s="14">
        <f>IF('Données projet'!$A$62&gt;35,AI70+AH71-AQ70,IF(A71&lt;'Données projet'!$A$62,$AF$205^A71,IF(A71='Données projet'!$A$62,'Données projet'!$B$62,AI70+AH71-AQ70)))</f>
        <v>319.19999999999982</v>
      </c>
      <c r="AJ71" s="14">
        <f>AI71*VLOOKUP('Données projet'!$B$10,Paramètres!$A$1:$I$89,3,0)*VLOOKUP('Données projet'!$B$10,Paramètres!$A$1:$I$89,5,0)</f>
        <v>253.95551999999986</v>
      </c>
      <c r="AK71" s="14">
        <f t="shared" si="89"/>
        <v>61.432180511879253</v>
      </c>
      <c r="AL71" s="22">
        <f t="shared" si="58"/>
        <v>549.30024505818949</v>
      </c>
      <c r="AM71" s="62">
        <f t="shared" si="59"/>
        <v>814.74662918540832</v>
      </c>
      <c r="AN71" s="62">
        <f ca="1">AVERAGE(OFFSET($AM$3,0,0,'Données projet'!$E$10+1,1))-AVERAGE(OFFSET($H$3,0,0,'Données projet'!$E$10+1,1))</f>
        <v>394.70330963327166</v>
      </c>
      <c r="AO71" s="62">
        <f t="shared" si="90"/>
        <v>424.06445894109982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4.4000000000000004</v>
      </c>
      <c r="BD71" s="13">
        <f>IF('Données projet'!$A$88&gt;35,BD70+BC71-BL70,IF(A71&lt;'Données projet'!$A$88,$BA$205^A71,IF(A71='Données projet'!$A$88,'Données projet'!$B$88,BD70+BC71-BL70)))</f>
        <v>319.19999999999982</v>
      </c>
      <c r="BE71" s="14">
        <f>BD71*VLOOKUP('Données projet'!$B$11,Paramètres!$A$1:$I$89,3,0)*VLOOKUP('Données projet'!$B$11,Paramètres!$A$1:$I$89,5,0)</f>
        <v>234.03743999999989</v>
      </c>
      <c r="BF71" s="14">
        <f t="shared" si="91"/>
        <v>57.154784339928689</v>
      </c>
      <c r="BG71" s="22">
        <f t="shared" si="61"/>
        <v>507.15979072537567</v>
      </c>
      <c r="BH71" s="62">
        <f t="shared" si="62"/>
        <v>772.60617485259445</v>
      </c>
      <c r="BI71" s="62">
        <f ca="1">AVERAGE(OFFSET($BH$3,0,0,'Données projet'!$E$11+1,1))-AVERAGE(OFFSET($H$3,0,0,'Données projet'!$E$11+1,1))</f>
        <v>368.54671978064204</v>
      </c>
      <c r="BJ71" s="62">
        <f t="shared" si="92"/>
        <v>395.83504504492237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8.6666666666666661</v>
      </c>
      <c r="BY71" s="13">
        <f>IF('Données projet'!$A$114&gt;35,BY70+BX71-CG70,IF(A71&lt;'Données projet'!$A$114,$BV$205^A71,IF(A71='Données projet'!$A$114,'Données projet'!$B$114,BY70+BX71-CG70)))</f>
        <v>319.33333333333337</v>
      </c>
      <c r="BZ71" s="14">
        <f>BY71*VLOOKUP('Données projet'!$B$12,Paramètres!$A$1:$I$89,3,0)*VLOOKUP('Données projet'!$B$12,Paramètres!$A$1:$I$89,5,0)</f>
        <v>249.08000000000004</v>
      </c>
      <c r="CA71" s="14">
        <f t="shared" si="93"/>
        <v>60.388894447487807</v>
      </c>
      <c r="CB71" s="22">
        <f t="shared" si="64"/>
        <v>538.99165782937473</v>
      </c>
      <c r="CC71" s="62">
        <f t="shared" si="65"/>
        <v>804.43804195659357</v>
      </c>
      <c r="CD71" s="62">
        <f ca="1">AVERAGE(OFFSET($CC$3,0,0,'Données projet'!$E$12+1,1))-AVERAGE(OFFSET($H$3,0,0,'Données projet'!$E$12+1,1))</f>
        <v>309.21625451786218</v>
      </c>
      <c r="CE71" s="62">
        <f t="shared" si="94"/>
        <v>302.59481222418219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5.3846153846153921</v>
      </c>
      <c r="CT71" s="13">
        <f>IF('Données projet'!$A$140&gt;35,CT70+CS71-DB70,IF(A71&lt;'Données projet'!$A$140,$CQ$205^A71,IF(A71='Données projet'!$A$140,'Données projet'!$B$140,CT70+CS71-DB70)))</f>
        <v>262.30769230769226</v>
      </c>
      <c r="CU71" s="18">
        <f>CT71*VLOOKUP('Données projet'!$B$13,Paramètres!$A$1:$I$89,3,0)*VLOOKUP('Données projet'!$B$13,Paramètres!$A$1:$I$89,5,0)</f>
        <v>249.61199999999997</v>
      </c>
      <c r="CV71" s="14">
        <f t="shared" si="95"/>
        <v>60.502848982948457</v>
      </c>
      <c r="CW71" s="22">
        <f t="shared" si="67"/>
        <v>540.11669531196856</v>
      </c>
      <c r="CX71" s="62">
        <f t="shared" si="68"/>
        <v>805.56307943918739</v>
      </c>
      <c r="CY71" s="62">
        <f ca="1">AVERAGE(OFFSET($CX$3,0,0,'Données projet'!$E$13+1,1))-AVERAGE(OFFSET($H$3,0,0,'Données projet'!$E$13+1,1))</f>
        <v>491.87038198656927</v>
      </c>
      <c r="CZ71" s="62">
        <f t="shared" si="96"/>
        <v>406.49261644949559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0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8.1999999999999993</v>
      </c>
      <c r="DO71" s="13">
        <f>IF('Données projet'!$A$166&gt;35,DO70+DN71-DW70,IF(A71&lt;'Données projet'!$A$166,$DL$205^A71,IF(A71='Données projet'!$A$166,'Données projet'!$B$166,DO70+DN71-DW70)))</f>
        <v>285.59999999999997</v>
      </c>
      <c r="DP71" s="18">
        <f>DO71*VLOOKUP('Données projet'!$B$14,Paramètres!$A$1:$I$89,3,0)*VLOOKUP('Données projet'!$B$14,Paramètres!$A$1:$I$89,5,0)</f>
        <v>276.23231999999996</v>
      </c>
      <c r="DQ71" s="14">
        <f t="shared" si="97"/>
        <v>66.170163093943458</v>
      </c>
      <c r="DR71" s="22">
        <f t="shared" si="70"/>
        <v>596.35099138861813</v>
      </c>
      <c r="DS71" s="62">
        <f t="shared" si="71"/>
        <v>861.79737551583696</v>
      </c>
      <c r="DT71" s="62">
        <f ca="1">AVERAGE(OFFSET($DS$3,0,0,'Données projet'!$E$14+1,1))-AVERAGE(OFFSET($H$3,0,0,'Données projet'!$E$14+1,1))</f>
        <v>603.52431522262032</v>
      </c>
      <c r="DU71" s="62">
        <f t="shared" si="98"/>
        <v>313.56299786481338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projet'!$B$14,Paramètres!$A$1:$I$89,3,0)*0.475*44/12</f>
        <v>0</v>
      </c>
      <c r="EB71" s="23">
        <f>EXP(-LN(2)/25)*EB70+(1-EXP(-LN(2)/25))/(LN(2)/25)*Calculateur!DW71*Calculateur!DY71*VLOOKUP('Données projet'!$B$14,Paramètres!$A$1:$I$89,3,0)*0.475*44/12</f>
        <v>0</v>
      </c>
      <c r="EC71" s="23">
        <f>EXP(-LN(2)/2)*EC70+(1-EXP(-LN(2)/2))/(LN(2)/2)*DW71*DZ71*VLOOKUP('Données projet'!$B$14,Paramètres!$A$1:$I$89,3,0)*0.475*44/12</f>
        <v>0</v>
      </c>
      <c r="ED71" s="24">
        <f t="shared" si="72"/>
        <v>0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-1.1368683772161603E-13</v>
      </c>
      <c r="EK71" s="18">
        <f>EJ71*VLOOKUP('Données projet'!$B$15,Paramètres!$A$1:$I$89,3,0)*VLOOKUP('Données projet'!$B$15,Paramètres!$A$1:$I$89,5,0)</f>
        <v>-9.2222762759774927E-14</v>
      </c>
      <c r="EL71" s="14" t="e">
        <f t="shared" si="99"/>
        <v>#NUM!</v>
      </c>
      <c r="EM71" s="22" t="e">
        <f t="shared" si="73"/>
        <v>#NUM!</v>
      </c>
      <c r="EN71" s="62" t="e">
        <f t="shared" si="74"/>
        <v>#NUM!</v>
      </c>
      <c r="EO71" s="62">
        <f ca="1">AVERAGE(OFFSET($EN$3,0,0,'Données projet'!$E$15+1,1))-AVERAGE(OFFSET($H$3,0,0,'Données projet'!$E$15+1,1))</f>
        <v>272.69564942740931</v>
      </c>
      <c r="EP71" s="62">
        <f t="shared" si="100"/>
        <v>316.57989180609252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>
        <f>EXP(-LN(2)/35)*EV70+(1-EXP(-LN(2)/35))/(LN(2)/35)*ER71*ES71*VLOOKUP('Données projet'!$B$15,Paramètres!$A$1:$I$89,3,0)*0.475*44/12</f>
        <v>0</v>
      </c>
      <c r="EW71" s="23">
        <f>EXP(-LN(2)/25)*EW70+(1-EXP(-LN(2)/25))/(LN(2)/25)*Calculateur!ER71*Calculateur!ET71*VLOOKUP('Données projet'!$B$15,Paramètres!$A$1:$I$89,3,0)*0.475*44/12</f>
        <v>0</v>
      </c>
      <c r="EX71" s="23">
        <f>EXP(-LN(2)/2)*EX70+(1-EXP(-LN(2)/2))/(LN(2)/2)*ER71*EU71*VLOOKUP('Données projet'!$B$15,Paramètres!$A$1:$I$89,3,0)*0.475*44/12</f>
        <v>0</v>
      </c>
      <c r="EY71" s="24">
        <f t="shared" si="75"/>
        <v>0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5.8974358974359005</v>
      </c>
      <c r="FE71" s="13">
        <f>IF('Données projet'!$A$218&gt;35,FE70+FD71-FM70,IF(A71&lt;'Données projet'!$A$218,$FB$205^A71,IF(A71='Données projet'!$A$218,'Données projet'!$B$218,FE70+FD71-FM70)))</f>
        <v>336.92307692307674</v>
      </c>
      <c r="FF71" s="18">
        <f>FE71*VLOOKUP('Données projet'!$B$16,Paramètres!$A$1:$I$89,3,0)*VLOOKUP('Données projet'!$B$16,Paramètres!$A$1:$I$89,5,0)</f>
        <v>226.00799999999987</v>
      </c>
      <c r="FG71" s="14">
        <f t="shared" si="101"/>
        <v>55.418640189703332</v>
      </c>
      <c r="FH71" s="22">
        <f t="shared" si="76"/>
        <v>490.15139833039979</v>
      </c>
      <c r="FI71" s="62">
        <f t="shared" si="77"/>
        <v>755.59778245761868</v>
      </c>
      <c r="FJ71" s="62">
        <f ca="1">AVERAGE(OFFSET($FI$3,0,0,'Données projet'!$E$16+1,1))-AVERAGE(OFFSET($H$3,0,0,'Données projet'!$E$16+1,1))</f>
        <v>440.90856392064205</v>
      </c>
      <c r="FK71" s="62">
        <f t="shared" si="102"/>
        <v>373.33139300970629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>
        <f>EXP(-LN(2)/35)*FQ70+(1-EXP(-LN(2)/35))/(LN(2)/35)*FM71*FN71*VLOOKUP('Données projet'!$B$16,Paramètres!$A$1:$I$89,3,0)*0.475*44/12</f>
        <v>0</v>
      </c>
      <c r="FR71" s="23">
        <f>EXP(-LN(2)/25)*FR70+(1-EXP(-LN(2)/25))/(LN(2)/25)*Calculateur!FM71*Calculateur!FO71*VLOOKUP('Données projet'!$B$16,Paramètres!$A$1:$I$89,3,0)*0.475*44/12</f>
        <v>0</v>
      </c>
      <c r="FS71" s="23">
        <f>EXP(-LN(2)/2)*FS70+(1-EXP(-LN(2)/2))/(LN(2)/2)*FM71*FP71*VLOOKUP('Données projet'!$B$16,Paramètres!$A$1:$I$89,3,0)*0.475*44/12</f>
        <v>0</v>
      </c>
      <c r="FT71" s="24">
        <f t="shared" si="78"/>
        <v>0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70">
        <f t="shared" si="56"/>
        <v>183.33333333333334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8.1999999999999993</v>
      </c>
      <c r="N72" s="14">
        <f>IF('Données projet'!$A$36&gt;35,N71+M72-V71,IF(A72&lt;'Données projet'!$A$36,$K$205^A72,IF(A72='Données projet'!$A$36,'Données projet'!$B$36,N71+M72-V71)))</f>
        <v>293.79999999999995</v>
      </c>
      <c r="O72" s="14">
        <f>N72*VLOOKUP('Données projet'!$B$9,Paramètres!$A$1:$I$89,3,0)*VLOOKUP('Données projet'!$B$9,Paramètres!$A$1:$I$89,5,0)</f>
        <v>265.83023999999995</v>
      </c>
      <c r="P72" s="14">
        <f t="shared" si="87"/>
        <v>63.963540982526439</v>
      </c>
      <c r="Q72" s="22">
        <f t="shared" si="54"/>
        <v>574.39083521123348</v>
      </c>
      <c r="R72" s="62">
        <f t="shared" si="55"/>
        <v>840.32099556130004</v>
      </c>
      <c r="S72" s="62">
        <f ca="1">AVERAGE(OFFSET($R$3,0,0,'Données projet'!$E$9+1,1))-AVERAGE(OFFSET($H$3,0,0,'Données projet'!$E$9+1,1))</f>
        <v>570.08763950759544</v>
      </c>
      <c r="T72" s="62">
        <f t="shared" si="88"/>
        <v>297.32483725004136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4.4000000000000004</v>
      </c>
      <c r="AI72" s="14">
        <f>IF('Données projet'!$A$62&gt;35,AI71+AH72-AQ71,IF(A72&lt;'Données projet'!$A$62,$AF$205^A72,IF(A72='Données projet'!$A$62,'Données projet'!$B$62,AI71+AH72-AQ71)))</f>
        <v>323.5999999999998</v>
      </c>
      <c r="AJ72" s="14">
        <f>AI72*VLOOKUP('Données projet'!$B$10,Paramètres!$A$1:$I$89,3,0)*VLOOKUP('Données projet'!$B$10,Paramètres!$A$1:$I$89,5,0)</f>
        <v>257.45615999999984</v>
      </c>
      <c r="AK72" s="14">
        <f t="shared" si="89"/>
        <v>62.179824167708126</v>
      </c>
      <c r="AL72" s="22">
        <f t="shared" si="58"/>
        <v>556.69933909209135</v>
      </c>
      <c r="AM72" s="62">
        <f t="shared" si="59"/>
        <v>822.62949944215791</v>
      </c>
      <c r="AN72" s="62">
        <f ca="1">AVERAGE(OFFSET($AM$3,0,0,'Données projet'!$E$10+1,1))-AVERAGE(OFFSET($H$3,0,0,'Données projet'!$E$10+1,1))</f>
        <v>394.70330963327166</v>
      </c>
      <c r="AO72" s="62">
        <f t="shared" si="90"/>
        <v>424.06445894109982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4.4000000000000004</v>
      </c>
      <c r="BD72" s="13">
        <f>IF('Données projet'!$A$88&gt;35,BD71+BC72-BL71,IF(A72&lt;'Données projet'!$A$88,$BA$205^A72,IF(A72='Données projet'!$A$88,'Données projet'!$B$88,BD71+BC72-BL71)))</f>
        <v>323.5999999999998</v>
      </c>
      <c r="BE72" s="14">
        <f>BD72*VLOOKUP('Données projet'!$B$11,Paramètres!$A$1:$I$89,3,0)*VLOOKUP('Données projet'!$B$11,Paramètres!$A$1:$I$89,5,0)</f>
        <v>237.26351999999986</v>
      </c>
      <c r="BF72" s="14">
        <f t="shared" si="91"/>
        <v>57.850371108230938</v>
      </c>
      <c r="BG72" s="22">
        <f t="shared" si="61"/>
        <v>513.99002701350196</v>
      </c>
      <c r="BH72" s="62">
        <f t="shared" si="62"/>
        <v>779.92018736356852</v>
      </c>
      <c r="BI72" s="62">
        <f ca="1">AVERAGE(OFFSET($BH$3,0,0,'Données projet'!$E$11+1,1))-AVERAGE(OFFSET($H$3,0,0,'Données projet'!$E$11+1,1))</f>
        <v>368.54671978064204</v>
      </c>
      <c r="BJ72" s="62">
        <f t="shared" si="92"/>
        <v>395.83504504492237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>
        <f>VLOOKUP(A72,'Données projet'!$A$113:$I$133,2,0)</f>
        <v>328</v>
      </c>
      <c r="BW72" s="13">
        <f>VLOOKUP(A72,'Données projet'!$A$113:$I$133,9,0)</f>
        <v>8.6666666666666661</v>
      </c>
      <c r="BX72" s="13">
        <f t="array" ref="BX72">INDEX(BW:BW,MIN(IF(ISNUMBER(BW72:BW268),ROW(BW72:BW268),"")))</f>
        <v>8.6666666666666661</v>
      </c>
      <c r="BY72" s="13">
        <f>IF('Données projet'!$A$114&gt;35,BY71+BX72-CG71,IF(A72&lt;'Données projet'!$A$114,$BV$205^A72,IF(A72='Données projet'!$A$114,'Données projet'!$B$114,BY71+BX72-CG71)))</f>
        <v>328.00000000000006</v>
      </c>
      <c r="BZ72" s="14">
        <f>BY72*VLOOKUP('Données projet'!$B$12,Paramètres!$A$1:$I$89,3,0)*VLOOKUP('Données projet'!$B$12,Paramètres!$A$1:$I$89,5,0)</f>
        <v>255.84000000000006</v>
      </c>
      <c r="CA72" s="14">
        <f t="shared" si="93"/>
        <v>61.834803371075836</v>
      </c>
      <c r="CB72" s="22">
        <f t="shared" si="64"/>
        <v>553.28361587129041</v>
      </c>
      <c r="CC72" s="62">
        <f t="shared" si="65"/>
        <v>819.21377622135697</v>
      </c>
      <c r="CD72" s="62">
        <f ca="1">AVERAGE(OFFSET($CC$3,0,0,'Données projet'!$E$12+1,1))-AVERAGE(OFFSET($H$3,0,0,'Données projet'!$E$12+1,1))</f>
        <v>309.21625451786218</v>
      </c>
      <c r="CE72" s="62">
        <f t="shared" si="94"/>
        <v>302.59481222418219</v>
      </c>
      <c r="CF72" s="16">
        <f>IF(ISNA(VLOOKUP(A72,'Données projet'!$A$113:$I$133,3,0)),0,VLOOKUP(A72,'Données projet'!$A$113:$I$133,3,0))</f>
        <v>8</v>
      </c>
      <c r="CG72" s="16">
        <f>IF(ISNA(VLOOKUP(A72,'Données projet'!$A$113:$I$133,4,0)),0,VLOOKUP(A72,'Données projet'!$A$113:$I$133,4,0))</f>
        <v>328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5.3846153846153921</v>
      </c>
      <c r="CT72" s="13">
        <f>IF('Données projet'!$A$140&gt;35,CT71+CS72-DB71,IF(A72&lt;'Données projet'!$A$140,$CQ$205^A72,IF(A72='Données projet'!$A$140,'Données projet'!$B$140,CT71+CS72-DB71)))</f>
        <v>267.69230769230768</v>
      </c>
      <c r="CU72" s="18">
        <f>CT72*VLOOKUP('Données projet'!$B$13,Paramètres!$A$1:$I$89,3,0)*VLOOKUP('Données projet'!$B$13,Paramètres!$A$1:$I$89,5,0)</f>
        <v>254.73599999999999</v>
      </c>
      <c r="CV72" s="14">
        <f t="shared" si="95"/>
        <v>61.598973642708444</v>
      </c>
      <c r="CW72" s="22">
        <f t="shared" si="67"/>
        <v>550.9500790943838</v>
      </c>
      <c r="CX72" s="62">
        <f t="shared" si="68"/>
        <v>816.88023944445035</v>
      </c>
      <c r="CY72" s="62">
        <f ca="1">AVERAGE(OFFSET($CX$3,0,0,'Données projet'!$E$13+1,1))-AVERAGE(OFFSET($H$3,0,0,'Données projet'!$E$13+1,1))</f>
        <v>491.87038198656927</v>
      </c>
      <c r="CZ72" s="62">
        <f t="shared" si="96"/>
        <v>406.49261644949559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0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8.1999999999999993</v>
      </c>
      <c r="DO72" s="13">
        <f>IF('Données projet'!$A$166&gt;35,DO71+DN72-DW71,IF(A72&lt;'Données projet'!$A$166,$DL$205^A72,IF(A72='Données projet'!$A$166,'Données projet'!$B$166,DO71+DN72-DW71)))</f>
        <v>293.79999999999995</v>
      </c>
      <c r="DP72" s="18">
        <f>DO72*VLOOKUP('Données projet'!$B$14,Paramètres!$A$1:$I$89,3,0)*VLOOKUP('Données projet'!$B$14,Paramètres!$A$1:$I$89,5,0)</f>
        <v>284.16335999999995</v>
      </c>
      <c r="DQ72" s="14">
        <f t="shared" si="97"/>
        <v>67.846089314219739</v>
      </c>
      <c r="DR72" s="22">
        <f t="shared" si="70"/>
        <v>613.08312422226595</v>
      </c>
      <c r="DS72" s="62">
        <f t="shared" si="71"/>
        <v>879.01328457233251</v>
      </c>
      <c r="DT72" s="62">
        <f ca="1">AVERAGE(OFFSET($DS$3,0,0,'Données projet'!$E$14+1,1))-AVERAGE(OFFSET($H$3,0,0,'Données projet'!$E$14+1,1))</f>
        <v>603.52431522262032</v>
      </c>
      <c r="DU72" s="62">
        <f t="shared" si="98"/>
        <v>313.56299786481338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projet'!$B$14,Paramètres!$A$1:$I$89,3,0)*0.475*44/12</f>
        <v>0</v>
      </c>
      <c r="EB72" s="23">
        <f>EXP(-LN(2)/25)*EB71+(1-EXP(-LN(2)/25))/(LN(2)/25)*Calculateur!DW72*Calculateur!DY72*VLOOKUP('Données projet'!$B$14,Paramètres!$A$1:$I$89,3,0)*0.475*44/12</f>
        <v>0</v>
      </c>
      <c r="EC72" s="23">
        <f>EXP(-LN(2)/2)*EC71+(1-EXP(-LN(2)/2))/(LN(2)/2)*DW72*DZ72*VLOOKUP('Données projet'!$B$14,Paramètres!$A$1:$I$89,3,0)*0.475*44/12</f>
        <v>0</v>
      </c>
      <c r="ED72" s="24">
        <f t="shared" si="72"/>
        <v>0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-1.1368683772161603E-13</v>
      </c>
      <c r="EK72" s="18">
        <f>EJ72*VLOOKUP('Données projet'!$B$15,Paramètres!$A$1:$I$89,3,0)*VLOOKUP('Données projet'!$B$15,Paramètres!$A$1:$I$89,5,0)</f>
        <v>-9.2222762759774927E-14</v>
      </c>
      <c r="EL72" s="14" t="e">
        <f t="shared" si="99"/>
        <v>#NUM!</v>
      </c>
      <c r="EM72" s="22" t="e">
        <f t="shared" si="73"/>
        <v>#NUM!</v>
      </c>
      <c r="EN72" s="62" t="e">
        <f t="shared" si="74"/>
        <v>#NUM!</v>
      </c>
      <c r="EO72" s="62">
        <f ca="1">AVERAGE(OFFSET($EN$3,0,0,'Données projet'!$E$15+1,1))-AVERAGE(OFFSET($H$3,0,0,'Données projet'!$E$15+1,1))</f>
        <v>272.69564942740931</v>
      </c>
      <c r="EP72" s="62">
        <f t="shared" si="100"/>
        <v>316.57989180609252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>
        <f>EXP(-LN(2)/35)*EV71+(1-EXP(-LN(2)/35))/(LN(2)/35)*ER72*ES72*VLOOKUP('Données projet'!$B$15,Paramètres!$A$1:$I$89,3,0)*0.475*44/12</f>
        <v>0</v>
      </c>
      <c r="EW72" s="23">
        <f>EXP(-LN(2)/25)*EW71+(1-EXP(-LN(2)/25))/(LN(2)/25)*Calculateur!ER72*Calculateur!ET72*VLOOKUP('Données projet'!$B$15,Paramètres!$A$1:$I$89,3,0)*0.475*44/12</f>
        <v>0</v>
      </c>
      <c r="EX72" s="23">
        <f>EXP(-LN(2)/2)*EX71+(1-EXP(-LN(2)/2))/(LN(2)/2)*ER72*EU72*VLOOKUP('Données projet'!$B$15,Paramètres!$A$1:$I$89,3,0)*0.475*44/12</f>
        <v>0</v>
      </c>
      <c r="EY72" s="24">
        <f t="shared" si="75"/>
        <v>0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5.8974358974359005</v>
      </c>
      <c r="FE72" s="13">
        <f>IF('Données projet'!$A$218&gt;35,FE71+FD72-FM71,IF(A72&lt;'Données projet'!$A$218,$FB$205^A72,IF(A72='Données projet'!$A$218,'Données projet'!$B$218,FE71+FD72-FM71)))</f>
        <v>342.82051282051265</v>
      </c>
      <c r="FF72" s="18">
        <f>FE72*VLOOKUP('Données projet'!$B$16,Paramètres!$A$1:$I$89,3,0)*VLOOKUP('Données projet'!$B$16,Paramètres!$A$1:$I$89,5,0)</f>
        <v>229.96399999999991</v>
      </c>
      <c r="FG72" s="14">
        <f t="shared" si="101"/>
        <v>56.274897418547475</v>
      </c>
      <c r="FH72" s="22">
        <f t="shared" si="76"/>
        <v>498.53274633730325</v>
      </c>
      <c r="FI72" s="62">
        <f t="shared" si="77"/>
        <v>764.46290668736981</v>
      </c>
      <c r="FJ72" s="62">
        <f ca="1">AVERAGE(OFFSET($FI$3,0,0,'Données projet'!$E$16+1,1))-AVERAGE(OFFSET($H$3,0,0,'Données projet'!$E$16+1,1))</f>
        <v>440.90856392064205</v>
      </c>
      <c r="FK72" s="62">
        <f t="shared" si="102"/>
        <v>373.33139300970629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>
        <f>EXP(-LN(2)/35)*FQ71+(1-EXP(-LN(2)/35))/(LN(2)/35)*FM72*FN72*VLOOKUP('Données projet'!$B$16,Paramètres!$A$1:$I$89,3,0)*0.475*44/12</f>
        <v>0</v>
      </c>
      <c r="FR72" s="23">
        <f>EXP(-LN(2)/25)*FR71+(1-EXP(-LN(2)/25))/(LN(2)/25)*Calculateur!FM72*Calculateur!FO72*VLOOKUP('Données projet'!$B$16,Paramètres!$A$1:$I$89,3,0)*0.475*44/12</f>
        <v>0</v>
      </c>
      <c r="FS72" s="23">
        <f>EXP(-LN(2)/2)*FS71+(1-EXP(-LN(2)/2))/(LN(2)/2)*FM72*FP72*VLOOKUP('Données projet'!$B$16,Paramètres!$A$1:$I$89,3,0)*0.475*44/12</f>
        <v>0</v>
      </c>
      <c r="FT72" s="24">
        <f t="shared" si="78"/>
        <v>0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70">
        <f t="shared" si="56"/>
        <v>183.33333333333334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302</v>
      </c>
      <c r="L73" s="13">
        <f>VLOOKUP(A73,'Données projet'!$A$35:$I$55,9,0)</f>
        <v>8.1999999999999993</v>
      </c>
      <c r="M73" s="13">
        <f t="array" ref="M73">INDEX(L:L,MIN(IF(ISNUMBER(L73:L269),ROW(L73:L269),"")))</f>
        <v>8.1999999999999993</v>
      </c>
      <c r="N73" s="14">
        <f>IF('Données projet'!$A$36&gt;35,N72+M73-V72,IF(A73&lt;'Données projet'!$A$36,$K$205^A73,IF(A73='Données projet'!$A$36,'Données projet'!$B$36,N72+M73-V72)))</f>
        <v>301.99999999999994</v>
      </c>
      <c r="O73" s="14">
        <f>N73*VLOOKUP('Données projet'!$B$9,Paramètres!$A$1:$I$89,3,0)*VLOOKUP('Données projet'!$B$9,Paramètres!$A$1:$I$89,5,0)</f>
        <v>273.24959999999999</v>
      </c>
      <c r="P73" s="14">
        <f t="shared" si="87"/>
        <v>65.538435495514321</v>
      </c>
      <c r="Q73" s="22">
        <f t="shared" si="54"/>
        <v>590.05582848802067</v>
      </c>
      <c r="R73" s="62">
        <f t="shared" si="55"/>
        <v>856.46137262503021</v>
      </c>
      <c r="S73" s="62">
        <f ca="1">AVERAGE(OFFSET($R$3,0,0,'Données projet'!$E$9+1,1))-AVERAGE(OFFSET($H$3,0,0,'Données projet'!$E$9+1,1))</f>
        <v>570.08763950759544</v>
      </c>
      <c r="T73" s="62">
        <f t="shared" si="88"/>
        <v>297.32483725004136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328</v>
      </c>
      <c r="AG73" s="13">
        <f>VLOOKUP(A73,'Données projet'!$A$61:$I$81,9,0)</f>
        <v>4.4000000000000004</v>
      </c>
      <c r="AH73" s="13">
        <f t="array" ref="AH73">INDEX(AG:AG,MIN(IF(ISNUMBER(AG73:AG269),ROW(AG73:AG269),"")))</f>
        <v>4.4000000000000004</v>
      </c>
      <c r="AI73" s="14">
        <f>IF('Données projet'!$A$62&gt;35,AI72+AH73-AQ72,IF(A73&lt;'Données projet'!$A$62,$AF$205^A73,IF(A73='Données projet'!$A$62,'Données projet'!$B$62,AI72+AH73-AQ72)))</f>
        <v>327.99999999999977</v>
      </c>
      <c r="AJ73" s="14">
        <f>AI73*VLOOKUP('Données projet'!$B$10,Paramètres!$A$1:$I$89,3,0)*VLOOKUP('Données projet'!$B$10,Paramètres!$A$1:$I$89,5,0)</f>
        <v>260.95679999999982</v>
      </c>
      <c r="AK73" s="14">
        <f t="shared" si="89"/>
        <v>62.926285429272689</v>
      </c>
      <c r="AL73" s="22">
        <f t="shared" si="58"/>
        <v>564.09637378931632</v>
      </c>
      <c r="AM73" s="62">
        <f t="shared" si="59"/>
        <v>830.50191792632586</v>
      </c>
      <c r="AN73" s="62">
        <f ca="1">AVERAGE(OFFSET($AM$3,0,0,'Données projet'!$E$10+1,1))-AVERAGE(OFFSET($H$3,0,0,'Données projet'!$E$10+1,1))</f>
        <v>394.70330963327166</v>
      </c>
      <c r="AO73" s="62">
        <f t="shared" si="90"/>
        <v>424.06445894109982</v>
      </c>
      <c r="AP73" s="16">
        <f>IF(ISNA(VLOOKUP(A73,'Données projet'!$A$61:$I$81,3,0)),0,VLOOKUP(A73,'Données projet'!$A$61:$I$81,3,0))</f>
        <v>6</v>
      </c>
      <c r="AQ73" s="16">
        <f>IF(ISNA(VLOOKUP(A73,'Données projet'!$A$61:$I$81,4,0)),0,VLOOKUP(A73,'Données projet'!$A$61:$I$81,4,0))</f>
        <v>26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328</v>
      </c>
      <c r="BB73" s="13">
        <f>VLOOKUP(A73,'Données projet'!$A$87:$I$107,9,0)</f>
        <v>4.4000000000000004</v>
      </c>
      <c r="BC73" s="13">
        <f t="array" ref="BC73">INDEX(BB:BB,MIN(IF(ISNUMBER(BB73:BB269),ROW(BB73:BB269),"")))</f>
        <v>4.4000000000000004</v>
      </c>
      <c r="BD73" s="13">
        <f>IF('Données projet'!$A$88&gt;35,BD72+BC73-BL72,IF(A73&lt;'Données projet'!$A$88,$BA$205^A73,IF(A73='Données projet'!$A$88,'Données projet'!$B$88,BD72+BC73-BL72)))</f>
        <v>327.99999999999977</v>
      </c>
      <c r="BE73" s="14">
        <f>BD73*VLOOKUP('Données projet'!$B$11,Paramètres!$A$1:$I$89,3,0)*VLOOKUP('Données projet'!$B$11,Paramètres!$A$1:$I$89,5,0)</f>
        <v>240.48959999999983</v>
      </c>
      <c r="BF73" s="14">
        <f t="shared" si="91"/>
        <v>58.544857809945583</v>
      </c>
      <c r="BG73" s="22">
        <f t="shared" si="61"/>
        <v>520.81834735232155</v>
      </c>
      <c r="BH73" s="62">
        <f t="shared" si="62"/>
        <v>787.22389148933098</v>
      </c>
      <c r="BI73" s="62">
        <f ca="1">AVERAGE(OFFSET($BH$3,0,0,'Données projet'!$E$11+1,1))-AVERAGE(OFFSET($H$3,0,0,'Données projet'!$E$11+1,1))</f>
        <v>368.54671978064204</v>
      </c>
      <c r="BJ73" s="62">
        <f t="shared" si="92"/>
        <v>395.83504504492237</v>
      </c>
      <c r="BK73" s="16">
        <f>IF(ISNA(VLOOKUP(A73,'Données projet'!$A$87:$I$107,3,0)),0,VLOOKUP(A73,'Données projet'!$A$87:$I$107,3,0))</f>
        <v>6</v>
      </c>
      <c r="BL73" s="16">
        <f>IF(ISNA(VLOOKUP(A73,'Données projet'!$A$87:$I$107,4,0)),0,VLOOKUP(A73,'Données projet'!$A$87:$I$107,4,0))</f>
        <v>26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5.6843418860808015E-14</v>
      </c>
      <c r="BZ73" s="14">
        <f>BY73*VLOOKUP('Données projet'!$B$12,Paramètres!$A$1:$I$89,3,0)*VLOOKUP('Données projet'!$B$12,Paramètres!$A$1:$I$89,5,0)</f>
        <v>4.4337866711430253E-14</v>
      </c>
      <c r="CA73" s="14">
        <f t="shared" si="93"/>
        <v>7.3222115536967035E-13</v>
      </c>
      <c r="CB73" s="22">
        <f t="shared" si="64"/>
        <v>1.3525069634579169E-12</v>
      </c>
      <c r="CC73" s="62">
        <f t="shared" si="65"/>
        <v>266.40554413701085</v>
      </c>
      <c r="CD73" s="62">
        <f ca="1">AVERAGE(OFFSET($CC$3,0,0,'Données projet'!$E$12+1,1))-AVERAGE(OFFSET($H$3,0,0,'Données projet'!$E$12+1,1))</f>
        <v>309.21625451786218</v>
      </c>
      <c r="CE73" s="62">
        <f t="shared" si="94"/>
        <v>302.59481222418219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>
        <f>VLOOKUP(A73,'Données projet'!$A$139:$I$159,2,0)</f>
        <v>273.07692307692309</v>
      </c>
      <c r="CR73" s="13">
        <f>VLOOKUP(A73,'Données projet'!$A$139:$I$159,9,0)</f>
        <v>5.3846153846153921</v>
      </c>
      <c r="CS73" s="13">
        <f t="array" ref="CS73">INDEX(CR:CR,MIN(IF(ISNUMBER(CR73:CR269),ROW(CR73:CR269),"")))</f>
        <v>5.3846153846153921</v>
      </c>
      <c r="CT73" s="13">
        <f>IF('Données projet'!$A$140&gt;35,CT72+CS73-DB72,IF(A73&lt;'Données projet'!$A$140,$CQ$205^A73,IF(A73='Données projet'!$A$140,'Données projet'!$B$140,CT72+CS73-DB72)))</f>
        <v>273.07692307692309</v>
      </c>
      <c r="CU73" s="18">
        <f>CT73*VLOOKUP('Données projet'!$B$13,Paramètres!$A$1:$I$89,3,0)*VLOOKUP('Données projet'!$B$13,Paramètres!$A$1:$I$89,5,0)</f>
        <v>259.86</v>
      </c>
      <c r="CV73" s="14">
        <f t="shared" si="95"/>
        <v>62.692534678290258</v>
      </c>
      <c r="CW73" s="22">
        <f t="shared" si="67"/>
        <v>561.77899789802211</v>
      </c>
      <c r="CX73" s="62">
        <f t="shared" si="68"/>
        <v>828.18454203503165</v>
      </c>
      <c r="CY73" s="62">
        <f ca="1">AVERAGE(OFFSET($CX$3,0,0,'Données projet'!$E$13+1,1))-AVERAGE(OFFSET($H$3,0,0,'Données projet'!$E$13+1,1))</f>
        <v>491.87038198656927</v>
      </c>
      <c r="CZ73" s="62">
        <f t="shared" si="96"/>
        <v>406.49261644949559</v>
      </c>
      <c r="DA73" s="16">
        <f>IF(ISNA(VLOOKUP(A73,'Données projet'!$A$139:$I$159,3,0)),0,VLOOKUP(A73,'Données projet'!$A$139:$I$159,3,0))</f>
        <v>6</v>
      </c>
      <c r="DB73" s="16">
        <f>IF(ISNA(VLOOKUP(A73,'Données projet'!$A$139:$I$159,4,0)),0,VLOOKUP(A73,'Données projet'!$A$139:$I$159,4,0))</f>
        <v>36.53846153846154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0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>
        <f>VLOOKUP(A73,'Données projet'!$A$165:$I$185,2,0)</f>
        <v>302</v>
      </c>
      <c r="DM73" s="13">
        <f>VLOOKUP(A73,'Données projet'!$A$165:$I$185,9,0)</f>
        <v>8.1999999999999993</v>
      </c>
      <c r="DN73" s="13">
        <f t="array" ref="DN73">INDEX(DM:DM,MIN(IF(ISNUMBER(DM73:DM269),ROW(DM73:DM269),"")))</f>
        <v>8.1999999999999993</v>
      </c>
      <c r="DO73" s="13">
        <f>IF('Données projet'!$A$166&gt;35,DO72+DN73-DW72,IF(A73&lt;'Données projet'!$A$166,$DL$205^A73,IF(A73='Données projet'!$A$166,'Données projet'!$B$166,DO72+DN73-DW72)))</f>
        <v>301.99999999999994</v>
      </c>
      <c r="DP73" s="18">
        <f>DO73*VLOOKUP('Données projet'!$B$14,Paramètres!$A$1:$I$89,3,0)*VLOOKUP('Données projet'!$B$14,Paramètres!$A$1:$I$89,5,0)</f>
        <v>292.09439999999995</v>
      </c>
      <c r="DQ73" s="14">
        <f t="shared" si="97"/>
        <v>69.516578973599849</v>
      </c>
      <c r="DR73" s="22">
        <f t="shared" si="70"/>
        <v>629.80578837901965</v>
      </c>
      <c r="DS73" s="62">
        <f t="shared" si="71"/>
        <v>896.21133251602919</v>
      </c>
      <c r="DT73" s="62">
        <f ca="1">AVERAGE(OFFSET($DS$3,0,0,'Données projet'!$E$14+1,1))-AVERAGE(OFFSET($H$3,0,0,'Données projet'!$E$14+1,1))</f>
        <v>603.52431522262032</v>
      </c>
      <c r="DU73" s="62">
        <f t="shared" si="98"/>
        <v>313.56299786481338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projet'!$B$14,Paramètres!$A$1:$I$89,3,0)*0.475*44/12</f>
        <v>0</v>
      </c>
      <c r="EB73" s="23">
        <f>EXP(-LN(2)/25)*EB72+(1-EXP(-LN(2)/25))/(LN(2)/25)*Calculateur!DW73*Calculateur!DY73*VLOOKUP('Données projet'!$B$14,Paramètres!$A$1:$I$89,3,0)*0.475*44/12</f>
        <v>0</v>
      </c>
      <c r="EC73" s="23">
        <f>EXP(-LN(2)/2)*EC72+(1-EXP(-LN(2)/2))/(LN(2)/2)*DW73*DZ73*VLOOKUP('Données projet'!$B$14,Paramètres!$A$1:$I$89,3,0)*0.475*44/12</f>
        <v>0</v>
      </c>
      <c r="ED73" s="24">
        <f t="shared" si="72"/>
        <v>0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-1.1368683772161603E-13</v>
      </c>
      <c r="EK73" s="18">
        <f>EJ73*VLOOKUP('Données projet'!$B$15,Paramètres!$A$1:$I$89,3,0)*VLOOKUP('Données projet'!$B$15,Paramètres!$A$1:$I$89,5,0)</f>
        <v>-9.2222762759774927E-14</v>
      </c>
      <c r="EL73" s="14" t="e">
        <f t="shared" si="99"/>
        <v>#NUM!</v>
      </c>
      <c r="EM73" s="22" t="e">
        <f t="shared" si="73"/>
        <v>#NUM!</v>
      </c>
      <c r="EN73" s="62" t="e">
        <f t="shared" si="74"/>
        <v>#NUM!</v>
      </c>
      <c r="EO73" s="62">
        <f ca="1">AVERAGE(OFFSET($EN$3,0,0,'Données projet'!$E$15+1,1))-AVERAGE(OFFSET($H$3,0,0,'Données projet'!$E$15+1,1))</f>
        <v>272.69564942740931</v>
      </c>
      <c r="EP73" s="62">
        <f t="shared" si="100"/>
        <v>316.57989180609252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>
        <f>EXP(-LN(2)/35)*EV72+(1-EXP(-LN(2)/35))/(LN(2)/35)*ER73*ES73*VLOOKUP('Données projet'!$B$15,Paramètres!$A$1:$I$89,3,0)*0.475*44/12</f>
        <v>0</v>
      </c>
      <c r="EW73" s="23">
        <f>EXP(-LN(2)/25)*EW72+(1-EXP(-LN(2)/25))/(LN(2)/25)*Calculateur!ER73*Calculateur!ET73*VLOOKUP('Données projet'!$B$15,Paramètres!$A$1:$I$89,3,0)*0.475*44/12</f>
        <v>0</v>
      </c>
      <c r="EX73" s="23">
        <f>EXP(-LN(2)/2)*EX72+(1-EXP(-LN(2)/2))/(LN(2)/2)*ER73*EU73*VLOOKUP('Données projet'!$B$15,Paramètres!$A$1:$I$89,3,0)*0.475*44/12</f>
        <v>0</v>
      </c>
      <c r="EY73" s="24">
        <f t="shared" si="75"/>
        <v>0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>
        <f>VLOOKUP(A73,'Données projet'!$A$217:$I$237,2,0)</f>
        <v>348.71794871794873</v>
      </c>
      <c r="FC73" s="13">
        <f>VLOOKUP(A73,'Données projet'!$A$217:$I$237,9,0)</f>
        <v>5.8974358974359005</v>
      </c>
      <c r="FD73" s="13">
        <f t="array" ref="FD73">INDEX(FC:FC,MIN(IF(ISNUMBER(FC73:FC269),ROW(FC73:FC269),"")))</f>
        <v>5.8974358974359005</v>
      </c>
      <c r="FE73" s="13">
        <f>IF('Données projet'!$A$218&gt;35,FE72+FD73-FM72,IF(A73&lt;'Données projet'!$A$218,$FB$205^A73,IF(A73='Données projet'!$A$218,'Données projet'!$B$218,FE72+FD73-FM72)))</f>
        <v>348.71794871794856</v>
      </c>
      <c r="FF73" s="18">
        <f>FE73*VLOOKUP('Données projet'!$B$16,Paramètres!$A$1:$I$89,3,0)*VLOOKUP('Données projet'!$B$16,Paramètres!$A$1:$I$89,5,0)</f>
        <v>233.91999999999987</v>
      </c>
      <c r="FG73" s="14">
        <f t="shared" si="101"/>
        <v>57.129441709703194</v>
      </c>
      <c r="FH73" s="22">
        <f t="shared" si="76"/>
        <v>506.91111097773273</v>
      </c>
      <c r="FI73" s="62">
        <f t="shared" si="77"/>
        <v>773.31665511474216</v>
      </c>
      <c r="FJ73" s="62">
        <f ca="1">AVERAGE(OFFSET($FI$3,0,0,'Données projet'!$E$16+1,1))-AVERAGE(OFFSET($H$3,0,0,'Données projet'!$E$16+1,1))</f>
        <v>440.90856392064205</v>
      </c>
      <c r="FK73" s="62">
        <f t="shared" si="102"/>
        <v>373.33139300970629</v>
      </c>
      <c r="FL73" s="16">
        <f>IF(ISNA(VLOOKUP(A73,'Données projet'!$A$217:$I$237,3,0)),0,VLOOKUP(A73,'Données projet'!$A$217:$I$237,3,0))</f>
        <v>6</v>
      </c>
      <c r="FM73" s="16">
        <f>IF(ISNA(VLOOKUP(A73,'Données projet'!$A$217:$I$237,4,0)),0,VLOOKUP(A73,'Données projet'!$A$217:$I$237,4,0))</f>
        <v>35.256410256410255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>
        <f>EXP(-LN(2)/35)*FQ72+(1-EXP(-LN(2)/35))/(LN(2)/35)*FM73*FN73*VLOOKUP('Données projet'!$B$16,Paramètres!$A$1:$I$89,3,0)*0.475*44/12</f>
        <v>0</v>
      </c>
      <c r="FR73" s="23">
        <f>EXP(-LN(2)/25)*FR72+(1-EXP(-LN(2)/25))/(LN(2)/25)*Calculateur!FM73*Calculateur!FO73*VLOOKUP('Données projet'!$B$16,Paramètres!$A$1:$I$89,3,0)*0.475*44/12</f>
        <v>0</v>
      </c>
      <c r="FS73" s="23">
        <f>EXP(-LN(2)/2)*FS72+(1-EXP(-LN(2)/2))/(LN(2)/2)*FM73*FP73*VLOOKUP('Données projet'!$B$16,Paramètres!$A$1:$I$89,3,0)*0.475*44/12</f>
        <v>0</v>
      </c>
      <c r="FT73" s="24">
        <f t="shared" si="78"/>
        <v>0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70">
        <f t="shared" si="56"/>
        <v>183.33333333333334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7.6</v>
      </c>
      <c r="N74" s="14">
        <f>IF('Données projet'!$A$36&gt;35,N73+M74-V73,IF(A74&lt;'Données projet'!$A$36,$K$205^A74,IF(A74='Données projet'!$A$36,'Données projet'!$B$36,N73+M74-V73)))</f>
        <v>309.59999999999997</v>
      </c>
      <c r="O74" s="14">
        <f>N74*VLOOKUP('Données projet'!$B$9,Paramètres!$A$1:$I$89,3,0)*VLOOKUP('Données projet'!$B$9,Paramètres!$A$1:$I$89,5,0)</f>
        <v>280.12607999999994</v>
      </c>
      <c r="P74" s="14">
        <f t="shared" si="87"/>
        <v>66.993652511337999</v>
      </c>
      <c r="Q74" s="22">
        <f t="shared" si="54"/>
        <v>604.56686745724687</v>
      </c>
      <c r="R74" s="62">
        <f t="shared" si="55"/>
        <v>871.43954853529476</v>
      </c>
      <c r="S74" s="62">
        <f ca="1">AVERAGE(OFFSET($R$3,0,0,'Données projet'!$E$9+1,1))-AVERAGE(OFFSET($H$3,0,0,'Données projet'!$E$9+1,1))</f>
        <v>570.08763950759544</v>
      </c>
      <c r="T74" s="62">
        <f t="shared" si="88"/>
        <v>297.32483725004136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4.4000000000000004</v>
      </c>
      <c r="AI74" s="14">
        <f>IF('Données projet'!$A$62&gt;35,AI73+AH74-AQ73,IF(A74&lt;'Données projet'!$A$62,$AF$205^A74,IF(A74='Données projet'!$A$62,'Données projet'!$B$62,AI73+AH74-AQ73)))</f>
        <v>306.39999999999975</v>
      </c>
      <c r="AJ74" s="14">
        <f>AI74*VLOOKUP('Données projet'!$B$10,Paramètres!$A$1:$I$89,3,0)*VLOOKUP('Données projet'!$B$10,Paramètres!$A$1:$I$89,5,0)</f>
        <v>243.7718399999998</v>
      </c>
      <c r="AK74" s="14">
        <f t="shared" si="89"/>
        <v>59.250322254889134</v>
      </c>
      <c r="AL74" s="22">
        <f t="shared" si="58"/>
        <v>527.7635992605982</v>
      </c>
      <c r="AM74" s="62">
        <f t="shared" si="59"/>
        <v>794.6362803386462</v>
      </c>
      <c r="AN74" s="62">
        <f ca="1">AVERAGE(OFFSET($AM$3,0,0,'Données projet'!$E$10+1,1))-AVERAGE(OFFSET($H$3,0,0,'Données projet'!$E$10+1,1))</f>
        <v>394.70330963327166</v>
      </c>
      <c r="AO74" s="62">
        <f t="shared" si="90"/>
        <v>424.06445894109982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4.4000000000000004</v>
      </c>
      <c r="BD74" s="13">
        <f>IF('Données projet'!$A$88&gt;35,BD73+BC74-BL73,IF(A74&lt;'Données projet'!$A$88,$BA$205^A74,IF(A74='Données projet'!$A$88,'Données projet'!$B$88,BD73+BC74-BL73)))</f>
        <v>306.39999999999975</v>
      </c>
      <c r="BE74" s="14">
        <f>BD74*VLOOKUP('Données projet'!$B$11,Paramètres!$A$1:$I$89,3,0)*VLOOKUP('Données projet'!$B$11,Paramètres!$A$1:$I$89,5,0)</f>
        <v>224.6524799999998</v>
      </c>
      <c r="BF74" s="14">
        <f t="shared" si="91"/>
        <v>55.124844378503333</v>
      </c>
      <c r="BG74" s="22">
        <f t="shared" si="61"/>
        <v>487.27883995922622</v>
      </c>
      <c r="BH74" s="62">
        <f t="shared" si="62"/>
        <v>754.15152103727416</v>
      </c>
      <c r="BI74" s="62">
        <f ca="1">AVERAGE(OFFSET($BH$3,0,0,'Données projet'!$E$11+1,1))-AVERAGE(OFFSET($H$3,0,0,'Données projet'!$E$11+1,1))</f>
        <v>368.54671978064204</v>
      </c>
      <c r="BJ74" s="62">
        <f t="shared" si="92"/>
        <v>395.83504504492237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5.6843418860808015E-14</v>
      </c>
      <c r="BZ74" s="14">
        <f>BY74*VLOOKUP('Données projet'!$B$12,Paramètres!$A$1:$I$89,3,0)*VLOOKUP('Données projet'!$B$12,Paramètres!$A$1:$I$89,5,0)</f>
        <v>4.4337866711430253E-14</v>
      </c>
      <c r="CA74" s="14">
        <f t="shared" si="93"/>
        <v>7.3222115536967035E-13</v>
      </c>
      <c r="CB74" s="22">
        <f t="shared" si="64"/>
        <v>1.3525069634579169E-12</v>
      </c>
      <c r="CC74" s="62">
        <f t="shared" si="65"/>
        <v>266.87268107804931</v>
      </c>
      <c r="CD74" s="62">
        <f ca="1">AVERAGE(OFFSET($CC$3,0,0,'Données projet'!$E$12+1,1))-AVERAGE(OFFSET($H$3,0,0,'Données projet'!$E$12+1,1))</f>
        <v>309.21625451786218</v>
      </c>
      <c r="CE74" s="62">
        <f t="shared" si="94"/>
        <v>302.59481222418219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5.1282051282051269</v>
      </c>
      <c r="CT74" s="13">
        <f>IF('Données projet'!$A$140&gt;35,CT73+CS74-DB73,IF(A74&lt;'Données projet'!$A$140,$CQ$205^A74,IF(A74='Données projet'!$A$140,'Données projet'!$B$140,CT73+CS74-DB73)))</f>
        <v>241.66666666666669</v>
      </c>
      <c r="CU74" s="18">
        <f>CT74*VLOOKUP('Données projet'!$B$13,Paramètres!$A$1:$I$89,3,0)*VLOOKUP('Données projet'!$B$13,Paramètres!$A$1:$I$89,5,0)</f>
        <v>229.97000000000003</v>
      </c>
      <c r="CV74" s="14">
        <f t="shared" si="95"/>
        <v>56.276194780495985</v>
      </c>
      <c r="CW74" s="22">
        <f t="shared" si="67"/>
        <v>498.54545590936385</v>
      </c>
      <c r="CX74" s="62">
        <f t="shared" si="68"/>
        <v>765.4181369874118</v>
      </c>
      <c r="CY74" s="62">
        <f ca="1">AVERAGE(OFFSET($CX$3,0,0,'Données projet'!$E$13+1,1))-AVERAGE(OFFSET($H$3,0,0,'Données projet'!$E$13+1,1))</f>
        <v>491.87038198656927</v>
      </c>
      <c r="CZ74" s="62">
        <f t="shared" si="96"/>
        <v>406.49261644949559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0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7.6</v>
      </c>
      <c r="DO74" s="13">
        <f>IF('Données projet'!$A$166&gt;35,DO73+DN74-DW73,IF(A74&lt;'Données projet'!$A$166,$DL$205^A74,IF(A74='Données projet'!$A$166,'Données projet'!$B$166,DO73+DN74-DW73)))</f>
        <v>309.59999999999997</v>
      </c>
      <c r="DP74" s="18">
        <f>DO74*VLOOKUP('Données projet'!$B$14,Paramètres!$A$1:$I$89,3,0)*VLOOKUP('Données projet'!$B$14,Paramètres!$A$1:$I$89,5,0)</f>
        <v>299.44511999999997</v>
      </c>
      <c r="DQ74" s="14">
        <f t="shared" si="97"/>
        <v>71.060126783970659</v>
      </c>
      <c r="DR74" s="22">
        <f t="shared" si="70"/>
        <v>645.2966381487488</v>
      </c>
      <c r="DS74" s="62">
        <f t="shared" si="71"/>
        <v>912.16931922679669</v>
      </c>
      <c r="DT74" s="62">
        <f ca="1">AVERAGE(OFFSET($DS$3,0,0,'Données projet'!$E$14+1,1))-AVERAGE(OFFSET($H$3,0,0,'Données projet'!$E$14+1,1))</f>
        <v>603.52431522262032</v>
      </c>
      <c r="DU74" s="62">
        <f t="shared" si="98"/>
        <v>313.56299786481338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projet'!$B$14,Paramètres!$A$1:$I$89,3,0)*0.475*44/12</f>
        <v>0</v>
      </c>
      <c r="EB74" s="23">
        <f>EXP(-LN(2)/25)*EB73+(1-EXP(-LN(2)/25))/(LN(2)/25)*Calculateur!DW74*Calculateur!DY74*VLOOKUP('Données projet'!$B$14,Paramètres!$A$1:$I$89,3,0)*0.475*44/12</f>
        <v>0</v>
      </c>
      <c r="EC74" s="23">
        <f>EXP(-LN(2)/2)*EC73+(1-EXP(-LN(2)/2))/(LN(2)/2)*DW74*DZ74*VLOOKUP('Données projet'!$B$14,Paramètres!$A$1:$I$89,3,0)*0.475*44/12</f>
        <v>0</v>
      </c>
      <c r="ED74" s="24">
        <f t="shared" si="72"/>
        <v>0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-1.1368683772161603E-13</v>
      </c>
      <c r="EK74" s="18">
        <f>EJ74*VLOOKUP('Données projet'!$B$15,Paramètres!$A$1:$I$89,3,0)*VLOOKUP('Données projet'!$B$15,Paramètres!$A$1:$I$89,5,0)</f>
        <v>-9.2222762759774927E-14</v>
      </c>
      <c r="EL74" s="14" t="e">
        <f t="shared" si="99"/>
        <v>#NUM!</v>
      </c>
      <c r="EM74" s="22" t="e">
        <f t="shared" si="73"/>
        <v>#NUM!</v>
      </c>
      <c r="EN74" s="62" t="e">
        <f t="shared" si="74"/>
        <v>#NUM!</v>
      </c>
      <c r="EO74" s="62">
        <f ca="1">AVERAGE(OFFSET($EN$3,0,0,'Données projet'!$E$15+1,1))-AVERAGE(OFFSET($H$3,0,0,'Données projet'!$E$15+1,1))</f>
        <v>272.69564942740931</v>
      </c>
      <c r="EP74" s="62">
        <f t="shared" si="100"/>
        <v>316.57989180609252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>
        <f>EXP(-LN(2)/35)*EV73+(1-EXP(-LN(2)/35))/(LN(2)/35)*ER74*ES74*VLOOKUP('Données projet'!$B$15,Paramètres!$A$1:$I$89,3,0)*0.475*44/12</f>
        <v>0</v>
      </c>
      <c r="EW74" s="23">
        <f>EXP(-LN(2)/25)*EW73+(1-EXP(-LN(2)/25))/(LN(2)/25)*Calculateur!ER74*Calculateur!ET74*VLOOKUP('Données projet'!$B$15,Paramètres!$A$1:$I$89,3,0)*0.475*44/12</f>
        <v>0</v>
      </c>
      <c r="EX74" s="23">
        <f>EXP(-LN(2)/2)*EX73+(1-EXP(-LN(2)/2))/(LN(2)/2)*ER74*EU74*VLOOKUP('Données projet'!$B$15,Paramètres!$A$1:$I$89,3,0)*0.475*44/12</f>
        <v>0</v>
      </c>
      <c r="EY74" s="24">
        <f t="shared" si="75"/>
        <v>0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5.5128205128205083</v>
      </c>
      <c r="FE74" s="13">
        <f>IF('Données projet'!$A$218&gt;35,FE73+FD74-FM73,IF(A74&lt;'Données projet'!$A$218,$FB$205^A74,IF(A74='Données projet'!$A$218,'Données projet'!$B$218,FE73+FD74-FM73)))</f>
        <v>318.97435897435878</v>
      </c>
      <c r="FF74" s="18">
        <f>FE74*VLOOKUP('Données projet'!$B$16,Paramètres!$A$1:$I$89,3,0)*VLOOKUP('Données projet'!$B$16,Paramètres!$A$1:$I$89,5,0)</f>
        <v>213.96799999999985</v>
      </c>
      <c r="FG74" s="14">
        <f t="shared" si="101"/>
        <v>52.801746609520308</v>
      </c>
      <c r="FH74" s="22">
        <f t="shared" si="76"/>
        <v>464.62397534491424</v>
      </c>
      <c r="FI74" s="62">
        <f t="shared" si="77"/>
        <v>731.49665642296213</v>
      </c>
      <c r="FJ74" s="62">
        <f ca="1">AVERAGE(OFFSET($FI$3,0,0,'Données projet'!$E$16+1,1))-AVERAGE(OFFSET($H$3,0,0,'Données projet'!$E$16+1,1))</f>
        <v>440.90856392064205</v>
      </c>
      <c r="FK74" s="62">
        <f t="shared" si="102"/>
        <v>373.33139300970629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>
        <f>EXP(-LN(2)/35)*FQ73+(1-EXP(-LN(2)/35))/(LN(2)/35)*FM74*FN74*VLOOKUP('Données projet'!$B$16,Paramètres!$A$1:$I$89,3,0)*0.475*44/12</f>
        <v>0</v>
      </c>
      <c r="FR74" s="23">
        <f>EXP(-LN(2)/25)*FR73+(1-EXP(-LN(2)/25))/(LN(2)/25)*Calculateur!FM74*Calculateur!FO74*VLOOKUP('Données projet'!$B$16,Paramètres!$A$1:$I$89,3,0)*0.475*44/12</f>
        <v>0</v>
      </c>
      <c r="FS74" s="23">
        <f>EXP(-LN(2)/2)*FS73+(1-EXP(-LN(2)/2))/(LN(2)/2)*FM74*FP74*VLOOKUP('Données projet'!$B$16,Paramètres!$A$1:$I$89,3,0)*0.475*44/12</f>
        <v>0</v>
      </c>
      <c r="FT74" s="24">
        <f t="shared" si="78"/>
        <v>0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70">
        <f t="shared" si="56"/>
        <v>183.33333333333334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7.6</v>
      </c>
      <c r="N75" s="14">
        <f>IF('Données projet'!$A$36&gt;35,N74+M75-V74,IF(A75&lt;'Données projet'!$A$36,$K$205^A75,IF(A75='Données projet'!$A$36,'Données projet'!$B$36,N74+M75-V74)))</f>
        <v>317.2</v>
      </c>
      <c r="O75" s="14">
        <f>N75*VLOOKUP('Données projet'!$B$9,Paramètres!$A$1:$I$89,3,0)*VLOOKUP('Données projet'!$B$9,Paramètres!$A$1:$I$89,5,0)</f>
        <v>287.00255999999996</v>
      </c>
      <c r="P75" s="14">
        <f t="shared" si="87"/>
        <v>68.444716936118553</v>
      </c>
      <c r="Q75" s="22">
        <f t="shared" si="54"/>
        <v>619.07067399707296</v>
      </c>
      <c r="R75" s="62">
        <f t="shared" si="55"/>
        <v>886.40238823459413</v>
      </c>
      <c r="S75" s="62">
        <f ca="1">AVERAGE(OFFSET($R$3,0,0,'Données projet'!$E$9+1,1))-AVERAGE(OFFSET($H$3,0,0,'Données projet'!$E$9+1,1))</f>
        <v>570.08763950759544</v>
      </c>
      <c r="T75" s="62">
        <f t="shared" si="88"/>
        <v>297.32483725004136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4.4000000000000004</v>
      </c>
      <c r="AI75" s="14">
        <f>IF('Données projet'!$A$62&gt;35,AI74+AH75-AQ74,IF(A75&lt;'Données projet'!$A$62,$AF$205^A75,IF(A75='Données projet'!$A$62,'Données projet'!$B$62,AI74+AH75-AQ74)))</f>
        <v>310.79999999999973</v>
      </c>
      <c r="AJ75" s="14">
        <f>AI75*VLOOKUP('Données projet'!$B$10,Paramètres!$A$1:$I$89,3,0)*VLOOKUP('Données projet'!$B$10,Paramètres!$A$1:$I$89,5,0)</f>
        <v>247.2724799999998</v>
      </c>
      <c r="AK75" s="14">
        <f t="shared" si="89"/>
        <v>60.00151112391876</v>
      </c>
      <c r="AL75" s="22">
        <f t="shared" si="58"/>
        <v>535.16886787415808</v>
      </c>
      <c r="AM75" s="62">
        <f t="shared" si="59"/>
        <v>802.50058211167925</v>
      </c>
      <c r="AN75" s="62">
        <f ca="1">AVERAGE(OFFSET($AM$3,0,0,'Données projet'!$E$10+1,1))-AVERAGE(OFFSET($H$3,0,0,'Données projet'!$E$10+1,1))</f>
        <v>394.70330963327166</v>
      </c>
      <c r="AO75" s="62">
        <f t="shared" si="90"/>
        <v>424.06445894109982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4.4000000000000004</v>
      </c>
      <c r="BD75" s="13">
        <f>IF('Données projet'!$A$88&gt;35,BD74+BC75-BL74,IF(A75&lt;'Données projet'!$A$88,$BA$205^A75,IF(A75='Données projet'!$A$88,'Données projet'!$B$88,BD74+BC75-BL74)))</f>
        <v>310.79999999999973</v>
      </c>
      <c r="BE75" s="14">
        <f>BD75*VLOOKUP('Données projet'!$B$11,Paramètres!$A$1:$I$89,3,0)*VLOOKUP('Données projet'!$B$11,Paramètres!$A$1:$I$89,5,0)</f>
        <v>227.87855999999977</v>
      </c>
      <c r="BF75" s="14">
        <f t="shared" si="91"/>
        <v>55.823729514114589</v>
      </c>
      <c r="BG75" s="22">
        <f t="shared" si="61"/>
        <v>494.11482090374903</v>
      </c>
      <c r="BH75" s="62">
        <f t="shared" si="62"/>
        <v>761.44653514127015</v>
      </c>
      <c r="BI75" s="62">
        <f ca="1">AVERAGE(OFFSET($BH$3,0,0,'Données projet'!$E$11+1,1))-AVERAGE(OFFSET($H$3,0,0,'Données projet'!$E$11+1,1))</f>
        <v>368.54671978064204</v>
      </c>
      <c r="BJ75" s="62">
        <f t="shared" si="92"/>
        <v>395.83504504492237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5.6843418860808015E-14</v>
      </c>
      <c r="BZ75" s="14">
        <f>BY75*VLOOKUP('Données projet'!$B$12,Paramètres!$A$1:$I$89,3,0)*VLOOKUP('Données projet'!$B$12,Paramètres!$A$1:$I$89,5,0)</f>
        <v>4.4337866711430253E-14</v>
      </c>
      <c r="CA75" s="14">
        <f t="shared" si="93"/>
        <v>7.3222115536967035E-13</v>
      </c>
      <c r="CB75" s="22">
        <f t="shared" si="64"/>
        <v>1.3525069634579169E-12</v>
      </c>
      <c r="CC75" s="62">
        <f t="shared" si="65"/>
        <v>267.33171423752248</v>
      </c>
      <c r="CD75" s="62">
        <f ca="1">AVERAGE(OFFSET($CC$3,0,0,'Données projet'!$E$12+1,1))-AVERAGE(OFFSET($H$3,0,0,'Données projet'!$E$12+1,1))</f>
        <v>309.21625451786218</v>
      </c>
      <c r="CE75" s="62">
        <f t="shared" si="94"/>
        <v>302.59481222418219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5.1282051282051269</v>
      </c>
      <c r="CT75" s="13">
        <f>IF('Données projet'!$A$140&gt;35,CT74+CS75-DB74,IF(A75&lt;'Données projet'!$A$140,$CQ$205^A75,IF(A75='Données projet'!$A$140,'Données projet'!$B$140,CT74+CS75-DB74)))</f>
        <v>246.79487179487182</v>
      </c>
      <c r="CU75" s="18">
        <f>CT75*VLOOKUP('Données projet'!$B$13,Paramètres!$A$1:$I$89,3,0)*VLOOKUP('Données projet'!$B$13,Paramètres!$A$1:$I$89,5,0)</f>
        <v>234.85000000000002</v>
      </c>
      <c r="CV75" s="14">
        <f t="shared" si="95"/>
        <v>57.330087904205421</v>
      </c>
      <c r="CW75" s="22">
        <f t="shared" si="67"/>
        <v>508.88031976649114</v>
      </c>
      <c r="CX75" s="62">
        <f t="shared" si="68"/>
        <v>776.21203400401225</v>
      </c>
      <c r="CY75" s="62">
        <f ca="1">AVERAGE(OFFSET($CX$3,0,0,'Données projet'!$E$13+1,1))-AVERAGE(OFFSET($H$3,0,0,'Données projet'!$E$13+1,1))</f>
        <v>491.87038198656927</v>
      </c>
      <c r="CZ75" s="62">
        <f t="shared" si="96"/>
        <v>406.49261644949559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0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7.6</v>
      </c>
      <c r="DO75" s="13">
        <f>IF('Données projet'!$A$166&gt;35,DO74+DN75-DW74,IF(A75&lt;'Données projet'!$A$166,$DL$205^A75,IF(A75='Données projet'!$A$166,'Données projet'!$B$166,DO74+DN75-DW74)))</f>
        <v>317.2</v>
      </c>
      <c r="DP75" s="18">
        <f>DO75*VLOOKUP('Données projet'!$B$14,Paramètres!$A$1:$I$89,3,0)*VLOOKUP('Données projet'!$B$14,Paramètres!$A$1:$I$89,5,0)</f>
        <v>306.79584</v>
      </c>
      <c r="DQ75" s="14">
        <f t="shared" si="97"/>
        <v>72.599269943528554</v>
      </c>
      <c r="DR75" s="22">
        <f t="shared" si="70"/>
        <v>660.77981648497882</v>
      </c>
      <c r="DS75" s="62">
        <f t="shared" si="71"/>
        <v>928.11153072249999</v>
      </c>
      <c r="DT75" s="62">
        <f ca="1">AVERAGE(OFFSET($DS$3,0,0,'Données projet'!$E$14+1,1))-AVERAGE(OFFSET($H$3,0,0,'Données projet'!$E$14+1,1))</f>
        <v>603.52431522262032</v>
      </c>
      <c r="DU75" s="62">
        <f t="shared" si="98"/>
        <v>313.56299786481338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projet'!$B$14,Paramètres!$A$1:$I$89,3,0)*0.475*44/12</f>
        <v>0</v>
      </c>
      <c r="EB75" s="23">
        <f>EXP(-LN(2)/25)*EB74+(1-EXP(-LN(2)/25))/(LN(2)/25)*Calculateur!DW75*Calculateur!DY75*VLOOKUP('Données projet'!$B$14,Paramètres!$A$1:$I$89,3,0)*0.475*44/12</f>
        <v>0</v>
      </c>
      <c r="EC75" s="23">
        <f>EXP(-LN(2)/2)*EC74+(1-EXP(-LN(2)/2))/(LN(2)/2)*DW75*DZ75*VLOOKUP('Données projet'!$B$14,Paramètres!$A$1:$I$89,3,0)*0.475*44/12</f>
        <v>0</v>
      </c>
      <c r="ED75" s="24">
        <f t="shared" si="72"/>
        <v>0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-1.1368683772161603E-13</v>
      </c>
      <c r="EK75" s="18">
        <f>EJ75*VLOOKUP('Données projet'!$B$15,Paramètres!$A$1:$I$89,3,0)*VLOOKUP('Données projet'!$B$15,Paramètres!$A$1:$I$89,5,0)</f>
        <v>-9.2222762759774927E-14</v>
      </c>
      <c r="EL75" s="14" t="e">
        <f t="shared" si="99"/>
        <v>#NUM!</v>
      </c>
      <c r="EM75" s="22" t="e">
        <f t="shared" si="73"/>
        <v>#NUM!</v>
      </c>
      <c r="EN75" s="62" t="e">
        <f t="shared" si="74"/>
        <v>#NUM!</v>
      </c>
      <c r="EO75" s="62">
        <f ca="1">AVERAGE(OFFSET($EN$3,0,0,'Données projet'!$E$15+1,1))-AVERAGE(OFFSET($H$3,0,0,'Données projet'!$E$15+1,1))</f>
        <v>272.69564942740931</v>
      </c>
      <c r="EP75" s="62">
        <f t="shared" si="100"/>
        <v>316.57989180609252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>
        <f>EXP(-LN(2)/35)*EV74+(1-EXP(-LN(2)/35))/(LN(2)/35)*ER75*ES75*VLOOKUP('Données projet'!$B$15,Paramètres!$A$1:$I$89,3,0)*0.475*44/12</f>
        <v>0</v>
      </c>
      <c r="EW75" s="23">
        <f>EXP(-LN(2)/25)*EW74+(1-EXP(-LN(2)/25))/(LN(2)/25)*Calculateur!ER75*Calculateur!ET75*VLOOKUP('Données projet'!$B$15,Paramètres!$A$1:$I$89,3,0)*0.475*44/12</f>
        <v>0</v>
      </c>
      <c r="EX75" s="23">
        <f>EXP(-LN(2)/2)*EX74+(1-EXP(-LN(2)/2))/(LN(2)/2)*ER75*EU75*VLOOKUP('Données projet'!$B$15,Paramètres!$A$1:$I$89,3,0)*0.475*44/12</f>
        <v>0</v>
      </c>
      <c r="EY75" s="24">
        <f t="shared" si="75"/>
        <v>0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5.5128205128205083</v>
      </c>
      <c r="FE75" s="13">
        <f>IF('Données projet'!$A$218&gt;35,FE74+FD75-FM74,IF(A75&lt;'Données projet'!$A$218,$FB$205^A75,IF(A75='Données projet'!$A$218,'Données projet'!$B$218,FE74+FD75-FM74)))</f>
        <v>324.48717948717928</v>
      </c>
      <c r="FF75" s="18">
        <f>FE75*VLOOKUP('Données projet'!$B$16,Paramètres!$A$1:$I$89,3,0)*VLOOKUP('Données projet'!$B$16,Paramètres!$A$1:$I$89,5,0)</f>
        <v>217.66599999999988</v>
      </c>
      <c r="FG75" s="14">
        <f t="shared" si="101"/>
        <v>53.607287887196676</v>
      </c>
      <c r="FH75" s="22">
        <f t="shared" si="76"/>
        <v>472.46764307020067</v>
      </c>
      <c r="FI75" s="62">
        <f t="shared" si="77"/>
        <v>739.79935730772172</v>
      </c>
      <c r="FJ75" s="62">
        <f ca="1">AVERAGE(OFFSET($FI$3,0,0,'Données projet'!$E$16+1,1))-AVERAGE(OFFSET($H$3,0,0,'Données projet'!$E$16+1,1))</f>
        <v>440.90856392064205</v>
      </c>
      <c r="FK75" s="62">
        <f t="shared" si="102"/>
        <v>373.33139300970629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>
        <f>EXP(-LN(2)/35)*FQ74+(1-EXP(-LN(2)/35))/(LN(2)/35)*FM75*FN75*VLOOKUP('Données projet'!$B$16,Paramètres!$A$1:$I$89,3,0)*0.475*44/12</f>
        <v>0</v>
      </c>
      <c r="FR75" s="23">
        <f>EXP(-LN(2)/25)*FR74+(1-EXP(-LN(2)/25))/(LN(2)/25)*Calculateur!FM75*Calculateur!FO75*VLOOKUP('Données projet'!$B$16,Paramètres!$A$1:$I$89,3,0)*0.475*44/12</f>
        <v>0</v>
      </c>
      <c r="FS75" s="23">
        <f>EXP(-LN(2)/2)*FS74+(1-EXP(-LN(2)/2))/(LN(2)/2)*FM75*FP75*VLOOKUP('Données projet'!$B$16,Paramètres!$A$1:$I$89,3,0)*0.475*44/12</f>
        <v>0</v>
      </c>
      <c r="FT75" s="24">
        <f t="shared" si="78"/>
        <v>0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70">
        <f t="shared" si="56"/>
        <v>183.33333333333334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7.6</v>
      </c>
      <c r="N76" s="14">
        <f>IF('Données projet'!$A$36&gt;35,N75+M76-V75,IF(A76&lt;'Données projet'!$A$36,$K$205^A76,IF(A76='Données projet'!$A$36,'Données projet'!$B$36,N75+M76-V75)))</f>
        <v>324.8</v>
      </c>
      <c r="O76" s="14">
        <f>N76*VLOOKUP('Données projet'!$B$9,Paramètres!$A$1:$I$89,3,0)*VLOOKUP('Données projet'!$B$9,Paramètres!$A$1:$I$89,5,0)</f>
        <v>293.87903999999997</v>
      </c>
      <c r="P76" s="14">
        <f t="shared" si="87"/>
        <v>69.891739712361669</v>
      </c>
      <c r="Q76" s="22">
        <f t="shared" si="54"/>
        <v>633.56744133236327</v>
      </c>
      <c r="R76" s="62">
        <f t="shared" si="55"/>
        <v>901.35022553028512</v>
      </c>
      <c r="S76" s="62">
        <f ca="1">AVERAGE(OFFSET($R$3,0,0,'Données projet'!$E$9+1,1))-AVERAGE(OFFSET($H$3,0,0,'Données projet'!$E$9+1,1))</f>
        <v>570.08763950759544</v>
      </c>
      <c r="T76" s="62">
        <f t="shared" si="88"/>
        <v>297.32483725004136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4.4000000000000004</v>
      </c>
      <c r="AI76" s="14">
        <f>IF('Données projet'!$A$62&gt;35,AI75+AH76-AQ75,IF(A76&lt;'Données projet'!$A$62,$AF$205^A76,IF(A76='Données projet'!$A$62,'Données projet'!$B$62,AI75+AH76-AQ75)))</f>
        <v>315.1999999999997</v>
      </c>
      <c r="AJ76" s="14">
        <f>AI76*VLOOKUP('Données projet'!$B$10,Paramètres!$A$1:$I$89,3,0)*VLOOKUP('Données projet'!$B$10,Paramètres!$A$1:$I$89,5,0)</f>
        <v>250.77311999999975</v>
      </c>
      <c r="AK76" s="14">
        <f t="shared" si="89"/>
        <v>60.75146310218134</v>
      </c>
      <c r="AL76" s="22">
        <f t="shared" si="58"/>
        <v>542.57198223629882</v>
      </c>
      <c r="AM76" s="62">
        <f t="shared" si="59"/>
        <v>810.35476643422066</v>
      </c>
      <c r="AN76" s="62">
        <f ca="1">AVERAGE(OFFSET($AM$3,0,0,'Données projet'!$E$10+1,1))-AVERAGE(OFFSET($H$3,0,0,'Données projet'!$E$10+1,1))</f>
        <v>394.70330963327166</v>
      </c>
      <c r="AO76" s="62">
        <f t="shared" si="90"/>
        <v>424.06445894109982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4.4000000000000004</v>
      </c>
      <c r="BD76" s="13">
        <f>IF('Données projet'!$A$88&gt;35,BD75+BC76-BL75,IF(A76&lt;'Données projet'!$A$88,$BA$205^A76,IF(A76='Données projet'!$A$88,'Données projet'!$B$88,BD75+BC76-BL75)))</f>
        <v>315.1999999999997</v>
      </c>
      <c r="BE76" s="14">
        <f>BD76*VLOOKUP('Données projet'!$B$11,Paramètres!$A$1:$I$89,3,0)*VLOOKUP('Données projet'!$B$11,Paramètres!$A$1:$I$89,5,0)</f>
        <v>231.10463999999979</v>
      </c>
      <c r="BF76" s="14">
        <f t="shared" si="91"/>
        <v>56.521463881114883</v>
      </c>
      <c r="BG76" s="22">
        <f t="shared" si="61"/>
        <v>500.94879759294128</v>
      </c>
      <c r="BH76" s="62">
        <f t="shared" si="62"/>
        <v>768.73158179086306</v>
      </c>
      <c r="BI76" s="62">
        <f ca="1">AVERAGE(OFFSET($BH$3,0,0,'Données projet'!$E$11+1,1))-AVERAGE(OFFSET($H$3,0,0,'Données projet'!$E$11+1,1))</f>
        <v>368.54671978064204</v>
      </c>
      <c r="BJ76" s="62">
        <f t="shared" si="92"/>
        <v>395.83504504492237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5.6843418860808015E-14</v>
      </c>
      <c r="BZ76" s="14">
        <f>BY76*VLOOKUP('Données projet'!$B$12,Paramètres!$A$1:$I$89,3,0)*VLOOKUP('Données projet'!$B$12,Paramètres!$A$1:$I$89,5,0)</f>
        <v>4.4337866711430253E-14</v>
      </c>
      <c r="CA76" s="14">
        <f t="shared" si="93"/>
        <v>7.3222115536967035E-13</v>
      </c>
      <c r="CB76" s="22">
        <f t="shared" si="64"/>
        <v>1.3525069634579169E-12</v>
      </c>
      <c r="CC76" s="62">
        <f t="shared" si="65"/>
        <v>267.78278419792315</v>
      </c>
      <c r="CD76" s="62">
        <f ca="1">AVERAGE(OFFSET($CC$3,0,0,'Données projet'!$E$12+1,1))-AVERAGE(OFFSET($H$3,0,0,'Données projet'!$E$12+1,1))</f>
        <v>309.21625451786218</v>
      </c>
      <c r="CE76" s="62">
        <f t="shared" si="94"/>
        <v>302.59481222418219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5.1282051282051269</v>
      </c>
      <c r="CT76" s="13">
        <f>IF('Données projet'!$A$140&gt;35,CT75+CS76-DB75,IF(A76&lt;'Données projet'!$A$140,$CQ$205^A76,IF(A76='Données projet'!$A$140,'Données projet'!$B$140,CT75+CS76-DB75)))</f>
        <v>251.92307692307696</v>
      </c>
      <c r="CU76" s="18">
        <f>CT76*VLOOKUP('Données projet'!$B$13,Paramètres!$A$1:$I$89,3,0)*VLOOKUP('Données projet'!$B$13,Paramètres!$A$1:$I$89,5,0)</f>
        <v>239.73000000000002</v>
      </c>
      <c r="CV76" s="14">
        <f t="shared" si="95"/>
        <v>58.381434861783795</v>
      </c>
      <c r="CW76" s="22">
        <f t="shared" si="67"/>
        <v>519.21074905094019</v>
      </c>
      <c r="CX76" s="62">
        <f t="shared" si="68"/>
        <v>786.99353324886192</v>
      </c>
      <c r="CY76" s="62">
        <f ca="1">AVERAGE(OFFSET($CX$3,0,0,'Données projet'!$E$13+1,1))-AVERAGE(OFFSET($H$3,0,0,'Données projet'!$E$13+1,1))</f>
        <v>491.87038198656927</v>
      </c>
      <c r="CZ76" s="62">
        <f t="shared" si="96"/>
        <v>406.49261644949559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0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7.6</v>
      </c>
      <c r="DO76" s="13">
        <f>IF('Données projet'!$A$166&gt;35,DO75+DN76-DW75,IF(A76&lt;'Données projet'!$A$166,$DL$205^A76,IF(A76='Données projet'!$A$166,'Données projet'!$B$166,DO75+DN76-DW75)))</f>
        <v>324.8</v>
      </c>
      <c r="DP76" s="18">
        <f>DO76*VLOOKUP('Données projet'!$B$14,Paramètres!$A$1:$I$89,3,0)*VLOOKUP('Données projet'!$B$14,Paramètres!$A$1:$I$89,5,0)</f>
        <v>314.14656000000002</v>
      </c>
      <c r="DQ76" s="14">
        <f t="shared" si="97"/>
        <v>74.134126128922034</v>
      </c>
      <c r="DR76" s="22">
        <f t="shared" si="70"/>
        <v>676.25552834120583</v>
      </c>
      <c r="DS76" s="62">
        <f t="shared" si="71"/>
        <v>944.03831253912767</v>
      </c>
      <c r="DT76" s="62">
        <f ca="1">AVERAGE(OFFSET($DS$3,0,0,'Données projet'!$E$14+1,1))-AVERAGE(OFFSET($H$3,0,0,'Données projet'!$E$14+1,1))</f>
        <v>603.52431522262032</v>
      </c>
      <c r="DU76" s="62">
        <f t="shared" si="98"/>
        <v>313.56299786481338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projet'!$B$14,Paramètres!$A$1:$I$89,3,0)*0.475*44/12</f>
        <v>0</v>
      </c>
      <c r="EB76" s="23">
        <f>EXP(-LN(2)/25)*EB75+(1-EXP(-LN(2)/25))/(LN(2)/25)*Calculateur!DW76*Calculateur!DY76*VLOOKUP('Données projet'!$B$14,Paramètres!$A$1:$I$89,3,0)*0.475*44/12</f>
        <v>0</v>
      </c>
      <c r="EC76" s="23">
        <f>EXP(-LN(2)/2)*EC75+(1-EXP(-LN(2)/2))/(LN(2)/2)*DW76*DZ76*VLOOKUP('Données projet'!$B$14,Paramètres!$A$1:$I$89,3,0)*0.475*44/12</f>
        <v>0</v>
      </c>
      <c r="ED76" s="24">
        <f t="shared" si="72"/>
        <v>0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-1.1368683772161603E-13</v>
      </c>
      <c r="EK76" s="18">
        <f>EJ76*VLOOKUP('Données projet'!$B$15,Paramètres!$A$1:$I$89,3,0)*VLOOKUP('Données projet'!$B$15,Paramètres!$A$1:$I$89,5,0)</f>
        <v>-9.2222762759774927E-14</v>
      </c>
      <c r="EL76" s="14" t="e">
        <f t="shared" si="99"/>
        <v>#NUM!</v>
      </c>
      <c r="EM76" s="22" t="e">
        <f t="shared" si="73"/>
        <v>#NUM!</v>
      </c>
      <c r="EN76" s="62" t="e">
        <f t="shared" si="74"/>
        <v>#NUM!</v>
      </c>
      <c r="EO76" s="62">
        <f ca="1">AVERAGE(OFFSET($EN$3,0,0,'Données projet'!$E$15+1,1))-AVERAGE(OFFSET($H$3,0,0,'Données projet'!$E$15+1,1))</f>
        <v>272.69564942740931</v>
      </c>
      <c r="EP76" s="62">
        <f t="shared" si="100"/>
        <v>316.57989180609252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>
        <f>EXP(-LN(2)/35)*EV75+(1-EXP(-LN(2)/35))/(LN(2)/35)*ER76*ES76*VLOOKUP('Données projet'!$B$15,Paramètres!$A$1:$I$89,3,0)*0.475*44/12</f>
        <v>0</v>
      </c>
      <c r="EW76" s="23">
        <f>EXP(-LN(2)/25)*EW75+(1-EXP(-LN(2)/25))/(LN(2)/25)*Calculateur!ER76*Calculateur!ET76*VLOOKUP('Données projet'!$B$15,Paramètres!$A$1:$I$89,3,0)*0.475*44/12</f>
        <v>0</v>
      </c>
      <c r="EX76" s="23">
        <f>EXP(-LN(2)/2)*EX75+(1-EXP(-LN(2)/2))/(LN(2)/2)*ER76*EU76*VLOOKUP('Données projet'!$B$15,Paramètres!$A$1:$I$89,3,0)*0.475*44/12</f>
        <v>0</v>
      </c>
      <c r="EY76" s="24">
        <f t="shared" si="75"/>
        <v>0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5.5128205128205083</v>
      </c>
      <c r="FE76" s="13">
        <f>IF('Données projet'!$A$218&gt;35,FE75+FD76-FM75,IF(A76&lt;'Données projet'!$A$218,$FB$205^A76,IF(A76='Données projet'!$A$218,'Données projet'!$B$218,FE75+FD76-FM75)))</f>
        <v>329.99999999999977</v>
      </c>
      <c r="FF76" s="18">
        <f>FE76*VLOOKUP('Données projet'!$B$16,Paramètres!$A$1:$I$89,3,0)*VLOOKUP('Données projet'!$B$16,Paramètres!$A$1:$I$89,5,0)</f>
        <v>221.36399999999983</v>
      </c>
      <c r="FG76" s="14">
        <f t="shared" si="101"/>
        <v>54.411237653200743</v>
      </c>
      <c r="FH76" s="22">
        <f t="shared" si="76"/>
        <v>480.3085389126577</v>
      </c>
      <c r="FI76" s="62">
        <f t="shared" si="77"/>
        <v>748.09132311057942</v>
      </c>
      <c r="FJ76" s="62">
        <f ca="1">AVERAGE(OFFSET($FI$3,0,0,'Données projet'!$E$16+1,1))-AVERAGE(OFFSET($H$3,0,0,'Données projet'!$E$16+1,1))</f>
        <v>440.90856392064205</v>
      </c>
      <c r="FK76" s="62">
        <f t="shared" si="102"/>
        <v>373.33139300970629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>
        <f>EXP(-LN(2)/35)*FQ75+(1-EXP(-LN(2)/35))/(LN(2)/35)*FM76*FN76*VLOOKUP('Données projet'!$B$16,Paramètres!$A$1:$I$89,3,0)*0.475*44/12</f>
        <v>0</v>
      </c>
      <c r="FR76" s="23">
        <f>EXP(-LN(2)/25)*FR75+(1-EXP(-LN(2)/25))/(LN(2)/25)*Calculateur!FM76*Calculateur!FO76*VLOOKUP('Données projet'!$B$16,Paramètres!$A$1:$I$89,3,0)*0.475*44/12</f>
        <v>0</v>
      </c>
      <c r="FS76" s="23">
        <f>EXP(-LN(2)/2)*FS75+(1-EXP(-LN(2)/2))/(LN(2)/2)*FM76*FP76*VLOOKUP('Données projet'!$B$16,Paramètres!$A$1:$I$89,3,0)*0.475*44/12</f>
        <v>0</v>
      </c>
      <c r="FT76" s="24">
        <f t="shared" si="78"/>
        <v>0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70">
        <f t="shared" si="56"/>
        <v>183.33333333333334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7.6</v>
      </c>
      <c r="N77" s="14">
        <f>IF('Données projet'!$A$36&gt;35,N76+M77-V76,IF(A77&lt;'Données projet'!$A$36,$K$205^A77,IF(A77='Données projet'!$A$36,'Données projet'!$B$36,N76+M77-V76)))</f>
        <v>332.40000000000003</v>
      </c>
      <c r="O77" s="14">
        <f>N77*VLOOKUP('Données projet'!$B$9,Paramètres!$A$1:$I$89,3,0)*VLOOKUP('Données projet'!$B$9,Paramètres!$A$1:$I$89,5,0)</f>
        <v>300.75551999999999</v>
      </c>
      <c r="P77" s="14">
        <f t="shared" si="87"/>
        <v>71.334826294482014</v>
      </c>
      <c r="Q77" s="22">
        <f t="shared" si="54"/>
        <v>648.05735312955619</v>
      </c>
      <c r="R77" s="62">
        <f t="shared" si="55"/>
        <v>916.28338223250705</v>
      </c>
      <c r="S77" s="62">
        <f ca="1">AVERAGE(OFFSET($R$3,0,0,'Données projet'!$E$9+1,1))-AVERAGE(OFFSET($H$3,0,0,'Données projet'!$E$9+1,1))</f>
        <v>570.08763950759544</v>
      </c>
      <c r="T77" s="62">
        <f t="shared" si="88"/>
        <v>297.32483725004136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4.4000000000000004</v>
      </c>
      <c r="AI77" s="14">
        <f>IF('Données projet'!$A$62&gt;35,AI76+AH77-AQ76,IF(A77&lt;'Données projet'!$A$62,$AF$205^A77,IF(A77='Données projet'!$A$62,'Données projet'!$B$62,AI76+AH77-AQ76)))</f>
        <v>319.59999999999968</v>
      </c>
      <c r="AJ77" s="14">
        <f>AI77*VLOOKUP('Données projet'!$B$10,Paramètres!$A$1:$I$89,3,0)*VLOOKUP('Données projet'!$B$10,Paramètres!$A$1:$I$89,5,0)</f>
        <v>254.27375999999975</v>
      </c>
      <c r="AK77" s="14">
        <f t="shared" si="89"/>
        <v>61.500197451316261</v>
      </c>
      <c r="AL77" s="22">
        <f t="shared" si="58"/>
        <v>549.97297589437528</v>
      </c>
      <c r="AM77" s="62">
        <f t="shared" si="59"/>
        <v>818.19900499732614</v>
      </c>
      <c r="AN77" s="62">
        <f ca="1">AVERAGE(OFFSET($AM$3,0,0,'Données projet'!$E$10+1,1))-AVERAGE(OFFSET($H$3,0,0,'Données projet'!$E$10+1,1))</f>
        <v>394.70330963327166</v>
      </c>
      <c r="AO77" s="62">
        <f t="shared" si="90"/>
        <v>424.06445894109982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4.4000000000000004</v>
      </c>
      <c r="BD77" s="13">
        <f>IF('Données projet'!$A$88&gt;35,BD76+BC77-BL76,IF(A77&lt;'Données projet'!$A$88,$BA$205^A77,IF(A77='Données projet'!$A$88,'Données projet'!$B$88,BD76+BC77-BL76)))</f>
        <v>319.59999999999968</v>
      </c>
      <c r="BE77" s="14">
        <f>BD77*VLOOKUP('Données projet'!$B$11,Paramètres!$A$1:$I$89,3,0)*VLOOKUP('Données projet'!$B$11,Paramètres!$A$1:$I$89,5,0)</f>
        <v>234.33071999999976</v>
      </c>
      <c r="BF77" s="14">
        <f t="shared" si="91"/>
        <v>57.218065399995126</v>
      </c>
      <c r="BG77" s="22">
        <f t="shared" si="61"/>
        <v>507.78080123832439</v>
      </c>
      <c r="BH77" s="62">
        <f t="shared" si="62"/>
        <v>776.00683034127519</v>
      </c>
      <c r="BI77" s="62">
        <f ca="1">AVERAGE(OFFSET($BH$3,0,0,'Données projet'!$E$11+1,1))-AVERAGE(OFFSET($H$3,0,0,'Données projet'!$E$11+1,1))</f>
        <v>368.54671978064204</v>
      </c>
      <c r="BJ77" s="62">
        <f t="shared" si="92"/>
        <v>395.83504504492237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5.6843418860808015E-14</v>
      </c>
      <c r="BZ77" s="14">
        <f>BY77*VLOOKUP('Données projet'!$B$12,Paramètres!$A$1:$I$89,3,0)*VLOOKUP('Données projet'!$B$12,Paramètres!$A$1:$I$89,5,0)</f>
        <v>4.4337866711430253E-14</v>
      </c>
      <c r="CA77" s="14">
        <f t="shared" si="93"/>
        <v>7.3222115536967035E-13</v>
      </c>
      <c r="CB77" s="22">
        <f t="shared" si="64"/>
        <v>1.3525069634579169E-12</v>
      </c>
      <c r="CC77" s="62">
        <f t="shared" si="65"/>
        <v>268.22602910295223</v>
      </c>
      <c r="CD77" s="62">
        <f ca="1">AVERAGE(OFFSET($CC$3,0,0,'Données projet'!$E$12+1,1))-AVERAGE(OFFSET($H$3,0,0,'Données projet'!$E$12+1,1))</f>
        <v>309.21625451786218</v>
      </c>
      <c r="CE77" s="62">
        <f t="shared" si="94"/>
        <v>302.59481222418219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5.1282051282051269</v>
      </c>
      <c r="CT77" s="13">
        <f>IF('Données projet'!$A$140&gt;35,CT76+CS77-DB76,IF(A77&lt;'Données projet'!$A$140,$CQ$205^A77,IF(A77='Données projet'!$A$140,'Données projet'!$B$140,CT76+CS77-DB76)))</f>
        <v>257.0512820512821</v>
      </c>
      <c r="CU77" s="18">
        <f>CT77*VLOOKUP('Données projet'!$B$13,Paramètres!$A$1:$I$89,3,0)*VLOOKUP('Données projet'!$B$13,Paramètres!$A$1:$I$89,5,0)</f>
        <v>244.61000000000004</v>
      </c>
      <c r="CV77" s="14">
        <f t="shared" si="95"/>
        <v>59.430293456197688</v>
      </c>
      <c r="CW77" s="22">
        <f t="shared" si="67"/>
        <v>529.53684443621103</v>
      </c>
      <c r="CX77" s="62">
        <f t="shared" si="68"/>
        <v>797.76287353916189</v>
      </c>
      <c r="CY77" s="62">
        <f ca="1">AVERAGE(OFFSET($CX$3,0,0,'Données projet'!$E$13+1,1))-AVERAGE(OFFSET($H$3,0,0,'Données projet'!$E$13+1,1))</f>
        <v>491.87038198656927</v>
      </c>
      <c r="CZ77" s="62">
        <f t="shared" si="96"/>
        <v>406.49261644949559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0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7.6</v>
      </c>
      <c r="DO77" s="13">
        <f>IF('Données projet'!$A$166&gt;35,DO76+DN77-DW76,IF(A77&lt;'Données projet'!$A$166,$DL$205^A77,IF(A77='Données projet'!$A$166,'Données projet'!$B$166,DO76+DN77-DW76)))</f>
        <v>332.40000000000003</v>
      </c>
      <c r="DP77" s="18">
        <f>DO77*VLOOKUP('Données projet'!$B$14,Paramètres!$A$1:$I$89,3,0)*VLOOKUP('Données projet'!$B$14,Paramètres!$A$1:$I$89,5,0)</f>
        <v>321.49728000000005</v>
      </c>
      <c r="DQ77" s="14">
        <f t="shared" si="97"/>
        <v>75.664807195585155</v>
      </c>
      <c r="DR77" s="22">
        <f t="shared" si="70"/>
        <v>691.72396853231078</v>
      </c>
      <c r="DS77" s="62">
        <f t="shared" si="71"/>
        <v>959.94999763526164</v>
      </c>
      <c r="DT77" s="62">
        <f ca="1">AVERAGE(OFFSET($DS$3,0,0,'Données projet'!$E$14+1,1))-AVERAGE(OFFSET($H$3,0,0,'Données projet'!$E$14+1,1))</f>
        <v>603.52431522262032</v>
      </c>
      <c r="DU77" s="62">
        <f t="shared" si="98"/>
        <v>313.56299786481338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projet'!$B$14,Paramètres!$A$1:$I$89,3,0)*0.475*44/12</f>
        <v>0</v>
      </c>
      <c r="EB77" s="23">
        <f>EXP(-LN(2)/25)*EB76+(1-EXP(-LN(2)/25))/(LN(2)/25)*Calculateur!DW77*Calculateur!DY77*VLOOKUP('Données projet'!$B$14,Paramètres!$A$1:$I$89,3,0)*0.475*44/12</f>
        <v>0</v>
      </c>
      <c r="EC77" s="23">
        <f>EXP(-LN(2)/2)*EC76+(1-EXP(-LN(2)/2))/(LN(2)/2)*DW77*DZ77*VLOOKUP('Données projet'!$B$14,Paramètres!$A$1:$I$89,3,0)*0.475*44/12</f>
        <v>0</v>
      </c>
      <c r="ED77" s="24">
        <f t="shared" si="72"/>
        <v>0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-1.1368683772161603E-13</v>
      </c>
      <c r="EK77" s="18">
        <f>EJ77*VLOOKUP('Données projet'!$B$15,Paramètres!$A$1:$I$89,3,0)*VLOOKUP('Données projet'!$B$15,Paramètres!$A$1:$I$89,5,0)</f>
        <v>-9.2222762759774927E-14</v>
      </c>
      <c r="EL77" s="14" t="e">
        <f t="shared" si="99"/>
        <v>#NUM!</v>
      </c>
      <c r="EM77" s="22" t="e">
        <f t="shared" si="73"/>
        <v>#NUM!</v>
      </c>
      <c r="EN77" s="62" t="e">
        <f t="shared" si="74"/>
        <v>#NUM!</v>
      </c>
      <c r="EO77" s="62">
        <f ca="1">AVERAGE(OFFSET($EN$3,0,0,'Données projet'!$E$15+1,1))-AVERAGE(OFFSET($H$3,0,0,'Données projet'!$E$15+1,1))</f>
        <v>272.69564942740931</v>
      </c>
      <c r="EP77" s="62">
        <f t="shared" si="100"/>
        <v>316.57989180609252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>
        <f>EXP(-LN(2)/35)*EV76+(1-EXP(-LN(2)/35))/(LN(2)/35)*ER77*ES77*VLOOKUP('Données projet'!$B$15,Paramètres!$A$1:$I$89,3,0)*0.475*44/12</f>
        <v>0</v>
      </c>
      <c r="EW77" s="23">
        <f>EXP(-LN(2)/25)*EW76+(1-EXP(-LN(2)/25))/(LN(2)/25)*Calculateur!ER77*Calculateur!ET77*VLOOKUP('Données projet'!$B$15,Paramètres!$A$1:$I$89,3,0)*0.475*44/12</f>
        <v>0</v>
      </c>
      <c r="EX77" s="23">
        <f>EXP(-LN(2)/2)*EX76+(1-EXP(-LN(2)/2))/(LN(2)/2)*ER77*EU77*VLOOKUP('Données projet'!$B$15,Paramètres!$A$1:$I$89,3,0)*0.475*44/12</f>
        <v>0</v>
      </c>
      <c r="EY77" s="24">
        <f t="shared" si="75"/>
        <v>0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5.5128205128205083</v>
      </c>
      <c r="FE77" s="13">
        <f>IF('Données projet'!$A$218&gt;35,FE76+FD77-FM76,IF(A77&lt;'Données projet'!$A$218,$FB$205^A77,IF(A77='Données projet'!$A$218,'Données projet'!$B$218,FE76+FD77-FM76)))</f>
        <v>335.51282051282027</v>
      </c>
      <c r="FF77" s="18">
        <f>FE77*VLOOKUP('Données projet'!$B$16,Paramètres!$A$1:$I$89,3,0)*VLOOKUP('Données projet'!$B$16,Paramètres!$A$1:$I$89,5,0)</f>
        <v>225.06199999999984</v>
      </c>
      <c r="FG77" s="14">
        <f t="shared" si="101"/>
        <v>55.213625563226806</v>
      </c>
      <c r="FH77" s="22">
        <f t="shared" si="76"/>
        <v>488.14671452261973</v>
      </c>
      <c r="FI77" s="62">
        <f t="shared" si="77"/>
        <v>756.37274362557059</v>
      </c>
      <c r="FJ77" s="62">
        <f ca="1">AVERAGE(OFFSET($FI$3,0,0,'Données projet'!$E$16+1,1))-AVERAGE(OFFSET($H$3,0,0,'Données projet'!$E$16+1,1))</f>
        <v>440.90856392064205</v>
      </c>
      <c r="FK77" s="62">
        <f t="shared" si="102"/>
        <v>373.33139300970629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>
        <f>EXP(-LN(2)/35)*FQ76+(1-EXP(-LN(2)/35))/(LN(2)/35)*FM77*FN77*VLOOKUP('Données projet'!$B$16,Paramètres!$A$1:$I$89,3,0)*0.475*44/12</f>
        <v>0</v>
      </c>
      <c r="FR77" s="23">
        <f>EXP(-LN(2)/25)*FR76+(1-EXP(-LN(2)/25))/(LN(2)/25)*Calculateur!FM77*Calculateur!FO77*VLOOKUP('Données projet'!$B$16,Paramètres!$A$1:$I$89,3,0)*0.475*44/12</f>
        <v>0</v>
      </c>
      <c r="FS77" s="23">
        <f>EXP(-LN(2)/2)*FS76+(1-EXP(-LN(2)/2))/(LN(2)/2)*FM77*FP77*VLOOKUP('Données projet'!$B$16,Paramètres!$A$1:$I$89,3,0)*0.475*44/12</f>
        <v>0</v>
      </c>
      <c r="FT77" s="24">
        <f t="shared" si="78"/>
        <v>0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70">
        <f t="shared" si="56"/>
        <v>183.33333333333334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340</v>
      </c>
      <c r="L78" s="13">
        <f>VLOOKUP(A78,'Données projet'!$A$35:$I$55,9,0)</f>
        <v>7.6</v>
      </c>
      <c r="M78" s="13">
        <f t="array" ref="M78">INDEX(L:L,MIN(IF(ISNUMBER(L78:L274),ROW(L78:L274),"")))</f>
        <v>7.6</v>
      </c>
      <c r="N78" s="14">
        <f>IF('Données projet'!$A$36&gt;35,N77+M78-V77,IF(A78&lt;'Données projet'!$A$36,$K$205^A78,IF(A78='Données projet'!$A$36,'Données projet'!$B$36,N77+M78-V77)))</f>
        <v>340.00000000000006</v>
      </c>
      <c r="O78" s="14">
        <f>N78*VLOOKUP('Données projet'!$B$9,Paramètres!$A$1:$I$89,3,0)*VLOOKUP('Données projet'!$B$9,Paramètres!$A$1:$I$89,5,0)</f>
        <v>307.63200000000006</v>
      </c>
      <c r="P78" s="14">
        <f t="shared" si="87"/>
        <v>72.774077039465567</v>
      </c>
      <c r="Q78" s="22">
        <f t="shared" si="54"/>
        <v>662.54058417706926</v>
      </c>
      <c r="R78" s="62">
        <f t="shared" si="55"/>
        <v>931.20216887689412</v>
      </c>
      <c r="S78" s="62">
        <f ca="1">AVERAGE(OFFSET($R$3,0,0,'Données projet'!$E$9+1,1))-AVERAGE(OFFSET($H$3,0,0,'Données projet'!$E$9+1,1))</f>
        <v>570.08763950759544</v>
      </c>
      <c r="T78" s="62">
        <f t="shared" si="88"/>
        <v>297.32483725004136</v>
      </c>
      <c r="U78" s="16">
        <f>IF(ISNA(VLOOKUP(A78,'Données projet'!$A$35:$I$55,3,0)),0,VLOOKUP(A78,'Données projet'!$A$35:$I$55,3,0))</f>
        <v>6</v>
      </c>
      <c r="V78" s="16">
        <f>IF(ISNA(VLOOKUP(A78,'Données projet'!$A$35:$I$55,4,0)),0,VLOOKUP(A78,'Données projet'!$A$35:$I$55,4,0))</f>
        <v>56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324</v>
      </c>
      <c r="AG78" s="13">
        <f>VLOOKUP(A78,'Données projet'!$A$61:$I$81,9,0)</f>
        <v>4.4000000000000004</v>
      </c>
      <c r="AH78" s="13">
        <f t="array" ref="AH78">INDEX(AG:AG,MIN(IF(ISNUMBER(AG78:AG274),ROW(AG78:AG274),"")))</f>
        <v>4.4000000000000004</v>
      </c>
      <c r="AI78" s="14">
        <f>IF('Données projet'!$A$62&gt;35,AI77+AH78-AQ77,IF(A78&lt;'Données projet'!$A$62,$AF$205^A78,IF(A78='Données projet'!$A$62,'Données projet'!$B$62,AI77+AH78-AQ77)))</f>
        <v>323.99999999999966</v>
      </c>
      <c r="AJ78" s="14">
        <f>AI78*VLOOKUP('Données projet'!$B$10,Paramètres!$A$1:$I$89,3,0)*VLOOKUP('Données projet'!$B$10,Paramètres!$A$1:$I$89,5,0)</f>
        <v>257.77439999999973</v>
      </c>
      <c r="AK78" s="14">
        <f t="shared" si="89"/>
        <v>62.247732872134243</v>
      </c>
      <c r="AL78" s="22">
        <f t="shared" si="58"/>
        <v>557.37188141896661</v>
      </c>
      <c r="AM78" s="62">
        <f t="shared" si="59"/>
        <v>826.03346611879147</v>
      </c>
      <c r="AN78" s="62">
        <f ca="1">AVERAGE(OFFSET($AM$3,0,0,'Données projet'!$E$10+1,1))-AVERAGE(OFFSET($H$3,0,0,'Données projet'!$E$10+1,1))</f>
        <v>394.70330963327166</v>
      </c>
      <c r="AO78" s="62">
        <f t="shared" si="90"/>
        <v>424.06445894109982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324</v>
      </c>
      <c r="BB78" s="13">
        <f>VLOOKUP(A78,'Données projet'!$A$87:$I$107,9,0)</f>
        <v>4.4000000000000004</v>
      </c>
      <c r="BC78" s="13">
        <f t="array" ref="BC78">INDEX(BB:BB,MIN(IF(ISNUMBER(BB78:BB274),ROW(BB78:BB274),"")))</f>
        <v>4.4000000000000004</v>
      </c>
      <c r="BD78" s="13">
        <f>IF('Données projet'!$A$88&gt;35,BD77+BC78-BL77,IF(A78&lt;'Données projet'!$A$88,$BA$205^A78,IF(A78='Données projet'!$A$88,'Données projet'!$B$88,BD77+BC78-BL77)))</f>
        <v>323.99999999999966</v>
      </c>
      <c r="BE78" s="14">
        <f>BD78*VLOOKUP('Données projet'!$B$11,Paramètres!$A$1:$I$89,3,0)*VLOOKUP('Données projet'!$B$11,Paramètres!$A$1:$I$89,5,0)</f>
        <v>237.55679999999975</v>
      </c>
      <c r="BF78" s="14">
        <f t="shared" si="91"/>
        <v>57.913551469467258</v>
      </c>
      <c r="BG78" s="22">
        <f t="shared" si="61"/>
        <v>514.61086214265504</v>
      </c>
      <c r="BH78" s="62">
        <f t="shared" si="62"/>
        <v>783.27244684247989</v>
      </c>
      <c r="BI78" s="62">
        <f ca="1">AVERAGE(OFFSET($BH$3,0,0,'Données projet'!$E$11+1,1))-AVERAGE(OFFSET($H$3,0,0,'Données projet'!$E$11+1,1))</f>
        <v>368.54671978064204</v>
      </c>
      <c r="BJ78" s="62">
        <f t="shared" si="92"/>
        <v>395.83504504492237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5.6843418860808015E-14</v>
      </c>
      <c r="BZ78" s="14">
        <f>BY78*VLOOKUP('Données projet'!$B$12,Paramètres!$A$1:$I$89,3,0)*VLOOKUP('Données projet'!$B$12,Paramètres!$A$1:$I$89,5,0)</f>
        <v>4.4337866711430253E-14</v>
      </c>
      <c r="CA78" s="14">
        <f t="shared" si="93"/>
        <v>7.3222115536967035E-13</v>
      </c>
      <c r="CB78" s="22">
        <f t="shared" si="64"/>
        <v>1.3525069634579169E-12</v>
      </c>
      <c r="CC78" s="62">
        <f t="shared" si="65"/>
        <v>268.66158469982616</v>
      </c>
      <c r="CD78" s="62">
        <f ca="1">AVERAGE(OFFSET($CC$3,0,0,'Données projet'!$E$12+1,1))-AVERAGE(OFFSET($H$3,0,0,'Données projet'!$E$12+1,1))</f>
        <v>309.21625451786218</v>
      </c>
      <c r="CE78" s="62">
        <f t="shared" si="94"/>
        <v>302.59481222418219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>
        <f>VLOOKUP(A78,'Données projet'!$A$139:$I$159,2,0)</f>
        <v>262.17948717948718</v>
      </c>
      <c r="CR78" s="13">
        <f>VLOOKUP(A78,'Données projet'!$A$139:$I$159,9,0)</f>
        <v>5.1282051282051269</v>
      </c>
      <c r="CS78" s="13">
        <f t="array" ref="CS78">INDEX(CR:CR,MIN(IF(ISNUMBER(CR78:CR274),ROW(CR78:CR274),"")))</f>
        <v>5.1282051282051269</v>
      </c>
      <c r="CT78" s="13">
        <f>IF('Données projet'!$A$140&gt;35,CT77+CS78-DB77,IF(A78&lt;'Données projet'!$A$140,$CQ$205^A78,IF(A78='Données projet'!$A$140,'Données projet'!$B$140,CT77+CS78-DB77)))</f>
        <v>262.17948717948724</v>
      </c>
      <c r="CU78" s="18">
        <f>CT78*VLOOKUP('Données projet'!$B$13,Paramètres!$A$1:$I$89,3,0)*VLOOKUP('Données projet'!$B$13,Paramètres!$A$1:$I$89,5,0)</f>
        <v>249.49000000000007</v>
      </c>
      <c r="CV78" s="14">
        <f t="shared" si="95"/>
        <v>60.476719052177842</v>
      </c>
      <c r="CW78" s="22">
        <f t="shared" si="67"/>
        <v>539.85870234920981</v>
      </c>
      <c r="CX78" s="62">
        <f t="shared" si="68"/>
        <v>808.52028704903455</v>
      </c>
      <c r="CY78" s="62">
        <f ca="1">AVERAGE(OFFSET($CX$3,0,0,'Données projet'!$E$13+1,1))-AVERAGE(OFFSET($H$3,0,0,'Données projet'!$E$13+1,1))</f>
        <v>491.87038198656927</v>
      </c>
      <c r="CZ78" s="62">
        <f t="shared" si="96"/>
        <v>406.49261644949559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0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>
        <f>VLOOKUP(A78,'Données projet'!$A$165:$I$185,2,0)</f>
        <v>340</v>
      </c>
      <c r="DM78" s="13">
        <f>VLOOKUP(A78,'Données projet'!$A$165:$I$185,9,0)</f>
        <v>7.6</v>
      </c>
      <c r="DN78" s="13">
        <f t="array" ref="DN78">INDEX(DM:DM,MIN(IF(ISNUMBER(DM78:DM274),ROW(DM78:DM274),"")))</f>
        <v>7.6</v>
      </c>
      <c r="DO78" s="13">
        <f>IF('Données projet'!$A$166&gt;35,DO77+DN78-DW77,IF(A78&lt;'Données projet'!$A$166,$DL$205^A78,IF(A78='Données projet'!$A$166,'Données projet'!$B$166,DO77+DN78-DW77)))</f>
        <v>340.00000000000006</v>
      </c>
      <c r="DP78" s="18">
        <f>DO78*VLOOKUP('Données projet'!$B$14,Paramètres!$A$1:$I$89,3,0)*VLOOKUP('Données projet'!$B$14,Paramètres!$A$1:$I$89,5,0)</f>
        <v>328.84800000000007</v>
      </c>
      <c r="DQ78" s="14">
        <f t="shared" si="97"/>
        <v>77.191419592112595</v>
      </c>
      <c r="DR78" s="22">
        <f t="shared" si="70"/>
        <v>707.18532245626284</v>
      </c>
      <c r="DS78" s="62">
        <f t="shared" si="71"/>
        <v>975.84690715608758</v>
      </c>
      <c r="DT78" s="62">
        <f ca="1">AVERAGE(OFFSET($DS$3,0,0,'Données projet'!$E$14+1,1))-AVERAGE(OFFSET($H$3,0,0,'Données projet'!$E$14+1,1))</f>
        <v>603.52431522262032</v>
      </c>
      <c r="DU78" s="62">
        <f t="shared" si="98"/>
        <v>313.56299786481338</v>
      </c>
      <c r="DV78" s="16">
        <f>IF(ISNA(VLOOKUP(A78,'Données projet'!$A$165:$I$185,3,0)),0,VLOOKUP(A78,'Données projet'!$A$165:$I$185,3,0))</f>
        <v>6</v>
      </c>
      <c r="DW78" s="16">
        <f>IF(ISNA(VLOOKUP(A78,'Données projet'!$A$165:$I$185,4,0)),0,VLOOKUP(A78,'Données projet'!$A$165:$I$185,4,0))</f>
        <v>56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projet'!$B$14,Paramètres!$A$1:$I$89,3,0)*0.475*44/12</f>
        <v>0</v>
      </c>
      <c r="EB78" s="23">
        <f>EXP(-LN(2)/25)*EB77+(1-EXP(-LN(2)/25))/(LN(2)/25)*Calculateur!DW78*Calculateur!DY78*VLOOKUP('Données projet'!$B$14,Paramètres!$A$1:$I$89,3,0)*0.475*44/12</f>
        <v>0</v>
      </c>
      <c r="EC78" s="23">
        <f>EXP(-LN(2)/2)*EC77+(1-EXP(-LN(2)/2))/(LN(2)/2)*DW78*DZ78*VLOOKUP('Données projet'!$B$14,Paramètres!$A$1:$I$89,3,0)*0.475*44/12</f>
        <v>0</v>
      </c>
      <c r="ED78" s="24">
        <f t="shared" si="72"/>
        <v>0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-1.1368683772161603E-13</v>
      </c>
      <c r="EK78" s="18">
        <f>EJ78*VLOOKUP('Données projet'!$B$15,Paramètres!$A$1:$I$89,3,0)*VLOOKUP('Données projet'!$B$15,Paramètres!$A$1:$I$89,5,0)</f>
        <v>-9.2222762759774927E-14</v>
      </c>
      <c r="EL78" s="14" t="e">
        <f t="shared" si="99"/>
        <v>#NUM!</v>
      </c>
      <c r="EM78" s="22" t="e">
        <f t="shared" si="73"/>
        <v>#NUM!</v>
      </c>
      <c r="EN78" s="62" t="e">
        <f t="shared" si="74"/>
        <v>#NUM!</v>
      </c>
      <c r="EO78" s="62">
        <f ca="1">AVERAGE(OFFSET($EN$3,0,0,'Données projet'!$E$15+1,1))-AVERAGE(OFFSET($H$3,0,0,'Données projet'!$E$15+1,1))</f>
        <v>272.69564942740931</v>
      </c>
      <c r="EP78" s="62">
        <f t="shared" si="100"/>
        <v>316.57989180609252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>
        <f>EXP(-LN(2)/35)*EV77+(1-EXP(-LN(2)/35))/(LN(2)/35)*ER78*ES78*VLOOKUP('Données projet'!$B$15,Paramètres!$A$1:$I$89,3,0)*0.475*44/12</f>
        <v>0</v>
      </c>
      <c r="EW78" s="23">
        <f>EXP(-LN(2)/25)*EW77+(1-EXP(-LN(2)/25))/(LN(2)/25)*Calculateur!ER78*Calculateur!ET78*VLOOKUP('Données projet'!$B$15,Paramètres!$A$1:$I$89,3,0)*0.475*44/12</f>
        <v>0</v>
      </c>
      <c r="EX78" s="23">
        <f>EXP(-LN(2)/2)*EX77+(1-EXP(-LN(2)/2))/(LN(2)/2)*ER78*EU78*VLOOKUP('Données projet'!$B$15,Paramètres!$A$1:$I$89,3,0)*0.475*44/12</f>
        <v>0</v>
      </c>
      <c r="EY78" s="24">
        <f t="shared" si="75"/>
        <v>0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>
        <f>VLOOKUP(A78,'Données projet'!$A$217:$I$237,2,0)</f>
        <v>341.02564102564099</v>
      </c>
      <c r="FC78" s="13">
        <f>VLOOKUP(A78,'Données projet'!$A$217:$I$237,9,0)</f>
        <v>5.5128205128205083</v>
      </c>
      <c r="FD78" s="13">
        <f t="array" ref="FD78">INDEX(FC:FC,MIN(IF(ISNUMBER(FC78:FC274),ROW(FC78:FC274),"")))</f>
        <v>5.5128205128205083</v>
      </c>
      <c r="FE78" s="13">
        <f>IF('Données projet'!$A$218&gt;35,FE77+FD78-FM77,IF(A78&lt;'Données projet'!$A$218,$FB$205^A78,IF(A78='Données projet'!$A$218,'Données projet'!$B$218,FE77+FD78-FM77)))</f>
        <v>341.02564102564077</v>
      </c>
      <c r="FF78" s="18">
        <f>FE78*VLOOKUP('Données projet'!$B$16,Paramètres!$A$1:$I$89,3,0)*VLOOKUP('Données projet'!$B$16,Paramètres!$A$1:$I$89,5,0)</f>
        <v>228.75999999999982</v>
      </c>
      <c r="FG78" s="14">
        <f t="shared" si="101"/>
        <v>56.01448024255054</v>
      </c>
      <c r="FH78" s="22">
        <f t="shared" si="76"/>
        <v>495.98221975577513</v>
      </c>
      <c r="FI78" s="62">
        <f t="shared" si="77"/>
        <v>764.64380445559993</v>
      </c>
      <c r="FJ78" s="62">
        <f ca="1">AVERAGE(OFFSET($FI$3,0,0,'Données projet'!$E$16+1,1))-AVERAGE(OFFSET($H$3,0,0,'Données projet'!$E$16+1,1))</f>
        <v>440.90856392064205</v>
      </c>
      <c r="FK78" s="62">
        <f t="shared" si="102"/>
        <v>373.33139300970629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>
        <f>EXP(-LN(2)/35)*FQ77+(1-EXP(-LN(2)/35))/(LN(2)/35)*FM78*FN78*VLOOKUP('Données projet'!$B$16,Paramètres!$A$1:$I$89,3,0)*0.475*44/12</f>
        <v>0</v>
      </c>
      <c r="FR78" s="23">
        <f>EXP(-LN(2)/25)*FR77+(1-EXP(-LN(2)/25))/(LN(2)/25)*Calculateur!FM78*Calculateur!FO78*VLOOKUP('Données projet'!$B$16,Paramètres!$A$1:$I$89,3,0)*0.475*44/12</f>
        <v>0</v>
      </c>
      <c r="FS78" s="23">
        <f>EXP(-LN(2)/2)*FS77+(1-EXP(-LN(2)/2))/(LN(2)/2)*FM78*FP78*VLOOKUP('Données projet'!$B$16,Paramètres!$A$1:$I$89,3,0)*0.475*44/12</f>
        <v>0</v>
      </c>
      <c r="FT78" s="24">
        <f t="shared" si="78"/>
        <v>0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70">
        <f t="shared" si="56"/>
        <v>183.33333333333334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7.2</v>
      </c>
      <c r="N79" s="14">
        <f>IF('Données projet'!$A$36&gt;35,N78+M79-V78,IF(A79&lt;'Données projet'!$A$36,$K$205^A79,IF(A79='Données projet'!$A$36,'Données projet'!$B$36,N78+M79-V78)))</f>
        <v>291.20000000000005</v>
      </c>
      <c r="O79" s="14">
        <f>N79*VLOOKUP('Données projet'!$B$9,Paramètres!$A$1:$I$89,3,0)*VLOOKUP('Données projet'!$B$9,Paramètres!$A$1:$I$89,5,0)</f>
        <v>263.47776000000005</v>
      </c>
      <c r="P79" s="14">
        <f t="shared" si="87"/>
        <v>63.46312159763346</v>
      </c>
      <c r="Q79" s="22">
        <f t="shared" si="54"/>
        <v>569.42203544921165</v>
      </c>
      <c r="R79" s="62">
        <f t="shared" si="55"/>
        <v>838.51161983006114</v>
      </c>
      <c r="S79" s="62">
        <f ca="1">AVERAGE(OFFSET($R$3,0,0,'Données projet'!$E$9+1,1))-AVERAGE(OFFSET($H$3,0,0,'Données projet'!$E$9+1,1))</f>
        <v>570.08763950759544</v>
      </c>
      <c r="T79" s="62">
        <f t="shared" si="88"/>
        <v>297.32483725004136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3.6</v>
      </c>
      <c r="AI79" s="14">
        <f>IF('Données projet'!$A$62&gt;35,AI78+AH79-AQ78,IF(A79&lt;'Données projet'!$A$62,$AF$205^A79,IF(A79='Données projet'!$A$62,'Données projet'!$B$62,AI78+AH79-AQ78)))</f>
        <v>327.59999999999968</v>
      </c>
      <c r="AJ79" s="14">
        <f>AI79*VLOOKUP('Données projet'!$B$10,Paramètres!$A$1:$I$89,3,0)*VLOOKUP('Données projet'!$B$10,Paramètres!$A$1:$I$89,5,0)</f>
        <v>260.63855999999976</v>
      </c>
      <c r="AK79" s="14">
        <f t="shared" si="89"/>
        <v>62.858473704931782</v>
      </c>
      <c r="AL79" s="22">
        <f t="shared" si="58"/>
        <v>563.4240003694224</v>
      </c>
      <c r="AM79" s="62">
        <f t="shared" si="59"/>
        <v>832.51358475027178</v>
      </c>
      <c r="AN79" s="62">
        <f ca="1">AVERAGE(OFFSET($AM$3,0,0,'Données projet'!$E$10+1,1))-AVERAGE(OFFSET($H$3,0,0,'Données projet'!$E$10+1,1))</f>
        <v>394.70330963327166</v>
      </c>
      <c r="AO79" s="62">
        <f t="shared" si="90"/>
        <v>424.06445894109982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3.6</v>
      </c>
      <c r="BD79" s="13">
        <f>IF('Données projet'!$A$88&gt;35,BD78+BC79-BL78,IF(A79&lt;'Données projet'!$A$88,$BA$205^A79,IF(A79='Données projet'!$A$88,'Données projet'!$B$88,BD78+BC79-BL78)))</f>
        <v>327.59999999999968</v>
      </c>
      <c r="BE79" s="14">
        <f>BD79*VLOOKUP('Données projet'!$B$11,Paramètres!$A$1:$I$89,3,0)*VLOOKUP('Données projet'!$B$11,Paramètres!$A$1:$I$89,5,0)</f>
        <v>240.19631999999976</v>
      </c>
      <c r="BF79" s="14">
        <f t="shared" si="91"/>
        <v>58.481767676270877</v>
      </c>
      <c r="BG79" s="22">
        <f t="shared" si="61"/>
        <v>520.19766936950464</v>
      </c>
      <c r="BH79" s="62">
        <f t="shared" si="62"/>
        <v>789.28725375035401</v>
      </c>
      <c r="BI79" s="62">
        <f ca="1">AVERAGE(OFFSET($BH$3,0,0,'Données projet'!$E$11+1,1))-AVERAGE(OFFSET($H$3,0,0,'Données projet'!$E$11+1,1))</f>
        <v>368.54671978064204</v>
      </c>
      <c r="BJ79" s="62">
        <f t="shared" si="92"/>
        <v>395.83504504492237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5.6843418860808015E-14</v>
      </c>
      <c r="BZ79" s="14">
        <f>BY79*VLOOKUP('Données projet'!$B$12,Paramètres!$A$1:$I$89,3,0)*VLOOKUP('Données projet'!$B$12,Paramètres!$A$1:$I$89,5,0)</f>
        <v>4.4337866711430253E-14</v>
      </c>
      <c r="CA79" s="14">
        <f t="shared" si="93"/>
        <v>7.3222115536967035E-13</v>
      </c>
      <c r="CB79" s="22">
        <f t="shared" si="64"/>
        <v>1.3525069634579169E-12</v>
      </c>
      <c r="CC79" s="62">
        <f t="shared" si="65"/>
        <v>269.08958438085079</v>
      </c>
      <c r="CD79" s="62">
        <f ca="1">AVERAGE(OFFSET($CC$3,0,0,'Données projet'!$E$12+1,1))-AVERAGE(OFFSET($H$3,0,0,'Données projet'!$E$12+1,1))</f>
        <v>309.21625451786218</v>
      </c>
      <c r="CE79" s="62">
        <f t="shared" si="94"/>
        <v>302.59481222418219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4.7435897435897463</v>
      </c>
      <c r="CT79" s="13">
        <f>IF('Données projet'!$A$140&gt;35,CT78+CS79-DB78,IF(A79&lt;'Données projet'!$A$140,$CQ$205^A79,IF(A79='Données projet'!$A$140,'Données projet'!$B$140,CT78+CS79-DB78)))</f>
        <v>266.92307692307696</v>
      </c>
      <c r="CU79" s="18">
        <f>CT79*VLOOKUP('Données projet'!$B$13,Paramètres!$A$1:$I$89,3,0)*VLOOKUP('Données projet'!$B$13,Paramètres!$A$1:$I$89,5,0)</f>
        <v>254.00400000000005</v>
      </c>
      <c r="CV79" s="14">
        <f t="shared" si="95"/>
        <v>61.442542707030256</v>
      </c>
      <c r="CW79" s="22">
        <f t="shared" si="67"/>
        <v>549.40272854807779</v>
      </c>
      <c r="CX79" s="62">
        <f t="shared" si="68"/>
        <v>818.49231292892728</v>
      </c>
      <c r="CY79" s="62">
        <f ca="1">AVERAGE(OFFSET($CX$3,0,0,'Données projet'!$E$13+1,1))-AVERAGE(OFFSET($H$3,0,0,'Données projet'!$E$13+1,1))</f>
        <v>491.87038198656927</v>
      </c>
      <c r="CZ79" s="62">
        <f t="shared" si="96"/>
        <v>406.49261644949559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0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7.2</v>
      </c>
      <c r="DO79" s="13">
        <f>IF('Données projet'!$A$166&gt;35,DO78+DN79-DW78,IF(A79&lt;'Données projet'!$A$166,$DL$205^A79,IF(A79='Données projet'!$A$166,'Données projet'!$B$166,DO78+DN79-DW78)))</f>
        <v>291.20000000000005</v>
      </c>
      <c r="DP79" s="18">
        <f>DO79*VLOOKUP('Données projet'!$B$14,Paramètres!$A$1:$I$89,3,0)*VLOOKUP('Données projet'!$B$14,Paramètres!$A$1:$I$89,5,0)</f>
        <v>281.64864000000006</v>
      </c>
      <c r="DQ79" s="14">
        <f t="shared" si="97"/>
        <v>67.315294774697747</v>
      </c>
      <c r="DR79" s="22">
        <f t="shared" si="70"/>
        <v>607.77885306593191</v>
      </c>
      <c r="DS79" s="62">
        <f t="shared" si="71"/>
        <v>876.8684374467814</v>
      </c>
      <c r="DT79" s="62">
        <f ca="1">AVERAGE(OFFSET($DS$3,0,0,'Données projet'!$E$14+1,1))-AVERAGE(OFFSET($H$3,0,0,'Données projet'!$E$14+1,1))</f>
        <v>603.52431522262032</v>
      </c>
      <c r="DU79" s="62">
        <f t="shared" si="98"/>
        <v>313.56299786481338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projet'!$B$14,Paramètres!$A$1:$I$89,3,0)*0.475*44/12</f>
        <v>0</v>
      </c>
      <c r="EB79" s="23">
        <f>EXP(-LN(2)/25)*EB78+(1-EXP(-LN(2)/25))/(LN(2)/25)*Calculateur!DW79*Calculateur!DY79*VLOOKUP('Données projet'!$B$14,Paramètres!$A$1:$I$89,3,0)*0.475*44/12</f>
        <v>0</v>
      </c>
      <c r="EC79" s="23">
        <f>EXP(-LN(2)/2)*EC78+(1-EXP(-LN(2)/2))/(LN(2)/2)*DW79*DZ79*VLOOKUP('Données projet'!$B$14,Paramètres!$A$1:$I$89,3,0)*0.475*44/12</f>
        <v>0</v>
      </c>
      <c r="ED79" s="24">
        <f t="shared" si="72"/>
        <v>0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-1.1368683772161603E-13</v>
      </c>
      <c r="EK79" s="18">
        <f>EJ79*VLOOKUP('Données projet'!$B$15,Paramètres!$A$1:$I$89,3,0)*VLOOKUP('Données projet'!$B$15,Paramètres!$A$1:$I$89,5,0)</f>
        <v>-9.2222762759774927E-14</v>
      </c>
      <c r="EL79" s="14" t="e">
        <f t="shared" si="99"/>
        <v>#NUM!</v>
      </c>
      <c r="EM79" s="22" t="e">
        <f t="shared" si="73"/>
        <v>#NUM!</v>
      </c>
      <c r="EN79" s="62" t="e">
        <f t="shared" si="74"/>
        <v>#NUM!</v>
      </c>
      <c r="EO79" s="62">
        <f ca="1">AVERAGE(OFFSET($EN$3,0,0,'Données projet'!$E$15+1,1))-AVERAGE(OFFSET($H$3,0,0,'Données projet'!$E$15+1,1))</f>
        <v>272.69564942740931</v>
      </c>
      <c r="EP79" s="62">
        <f t="shared" si="100"/>
        <v>316.57989180609252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>
        <f>EXP(-LN(2)/35)*EV78+(1-EXP(-LN(2)/35))/(LN(2)/35)*ER79*ES79*VLOOKUP('Données projet'!$B$15,Paramètres!$A$1:$I$89,3,0)*0.475*44/12</f>
        <v>0</v>
      </c>
      <c r="EW79" s="23">
        <f>EXP(-LN(2)/25)*EW78+(1-EXP(-LN(2)/25))/(LN(2)/25)*Calculateur!ER79*Calculateur!ET79*VLOOKUP('Données projet'!$B$15,Paramètres!$A$1:$I$89,3,0)*0.475*44/12</f>
        <v>0</v>
      </c>
      <c r="EX79" s="23">
        <f>EXP(-LN(2)/2)*EX78+(1-EXP(-LN(2)/2))/(LN(2)/2)*ER79*EU79*VLOOKUP('Données projet'!$B$15,Paramètres!$A$1:$I$89,3,0)*0.475*44/12</f>
        <v>0</v>
      </c>
      <c r="EY79" s="24">
        <f t="shared" si="75"/>
        <v>0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5.3846153846153921</v>
      </c>
      <c r="FE79" s="13">
        <f>IF('Données projet'!$A$218&gt;35,FE78+FD79-FM78,IF(A79&lt;'Données projet'!$A$218,$FB$205^A79,IF(A79='Données projet'!$A$218,'Données projet'!$B$218,FE78+FD79-FM78)))</f>
        <v>346.41025641025618</v>
      </c>
      <c r="FF79" s="18">
        <f>FE79*VLOOKUP('Données projet'!$B$16,Paramètres!$A$1:$I$89,3,0)*VLOOKUP('Données projet'!$B$16,Paramètres!$A$1:$I$89,5,0)</f>
        <v>232.37199999999984</v>
      </c>
      <c r="FG79" s="14">
        <f t="shared" si="101"/>
        <v>56.795256722044932</v>
      </c>
      <c r="FH79" s="22">
        <f t="shared" si="76"/>
        <v>503.63297212422799</v>
      </c>
      <c r="FI79" s="62">
        <f t="shared" si="77"/>
        <v>772.72255650507736</v>
      </c>
      <c r="FJ79" s="62">
        <f ca="1">AVERAGE(OFFSET($FI$3,0,0,'Données projet'!$E$16+1,1))-AVERAGE(OFFSET($H$3,0,0,'Données projet'!$E$16+1,1))</f>
        <v>440.90856392064205</v>
      </c>
      <c r="FK79" s="62">
        <f t="shared" si="102"/>
        <v>373.33139300970629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>
        <f>EXP(-LN(2)/35)*FQ78+(1-EXP(-LN(2)/35))/(LN(2)/35)*FM79*FN79*VLOOKUP('Données projet'!$B$16,Paramètres!$A$1:$I$89,3,0)*0.475*44/12</f>
        <v>0</v>
      </c>
      <c r="FR79" s="23">
        <f>EXP(-LN(2)/25)*FR78+(1-EXP(-LN(2)/25))/(LN(2)/25)*Calculateur!FM79*Calculateur!FO79*VLOOKUP('Données projet'!$B$16,Paramètres!$A$1:$I$89,3,0)*0.475*44/12</f>
        <v>0</v>
      </c>
      <c r="FS79" s="23">
        <f>EXP(-LN(2)/2)*FS78+(1-EXP(-LN(2)/2))/(LN(2)/2)*FM79*FP79*VLOOKUP('Données projet'!$B$16,Paramètres!$A$1:$I$89,3,0)*0.475*44/12</f>
        <v>0</v>
      </c>
      <c r="FT79" s="24">
        <f t="shared" si="78"/>
        <v>0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70">
        <f t="shared" si="56"/>
        <v>183.33333333333334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7.2</v>
      </c>
      <c r="N80" s="14">
        <f>IF('Données projet'!$A$36&gt;35,N79+M80-V79,IF(A80&lt;'Données projet'!$A$36,$K$205^A80,IF(A80='Données projet'!$A$36,'Données projet'!$B$36,N79+M80-V79)))</f>
        <v>298.40000000000003</v>
      </c>
      <c r="O80" s="14">
        <f>N80*VLOOKUP('Données projet'!$B$9,Paramètres!$A$1:$I$89,3,0)*VLOOKUP('Données projet'!$B$9,Paramètres!$A$1:$I$89,5,0)</f>
        <v>269.99232000000001</v>
      </c>
      <c r="P80" s="14">
        <f t="shared" si="87"/>
        <v>64.847639395310296</v>
      </c>
      <c r="Q80" s="22">
        <f t="shared" si="54"/>
        <v>583.17959594683214</v>
      </c>
      <c r="R80" s="62">
        <f t="shared" si="55"/>
        <v>852.68975517110448</v>
      </c>
      <c r="S80" s="62">
        <f ca="1">AVERAGE(OFFSET($R$3,0,0,'Données projet'!$E$9+1,1))-AVERAGE(OFFSET($H$3,0,0,'Données projet'!$E$9+1,1))</f>
        <v>570.08763950759544</v>
      </c>
      <c r="T80" s="62">
        <f t="shared" si="88"/>
        <v>297.32483725004136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3.6</v>
      </c>
      <c r="AI80" s="14">
        <f>IF('Données projet'!$A$62&gt;35,AI79+AH80-AQ79,IF(A80&lt;'Données projet'!$A$62,$AF$205^A80,IF(A80='Données projet'!$A$62,'Données projet'!$B$62,AI79+AH80-AQ79)))</f>
        <v>331.1999999999997</v>
      </c>
      <c r="AJ80" s="14">
        <f>AI80*VLOOKUP('Données projet'!$B$10,Paramètres!$A$1:$I$89,3,0)*VLOOKUP('Données projet'!$B$10,Paramètres!$A$1:$I$89,5,0)</f>
        <v>263.50271999999978</v>
      </c>
      <c r="AK80" s="14">
        <f t="shared" si="89"/>
        <v>63.468433809179686</v>
      </c>
      <c r="AL80" s="22">
        <f t="shared" si="58"/>
        <v>569.47475955098753</v>
      </c>
      <c r="AM80" s="62">
        <f t="shared" si="59"/>
        <v>838.98491877525976</v>
      </c>
      <c r="AN80" s="62">
        <f ca="1">AVERAGE(OFFSET($AM$3,0,0,'Données projet'!$E$10+1,1))-AVERAGE(OFFSET($H$3,0,0,'Données projet'!$E$10+1,1))</f>
        <v>394.70330963327166</v>
      </c>
      <c r="AO80" s="62">
        <f t="shared" si="90"/>
        <v>424.06445894109982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3.6</v>
      </c>
      <c r="BD80" s="13">
        <f>IF('Données projet'!$A$88&gt;35,BD79+BC80-BL79,IF(A80&lt;'Données projet'!$A$88,$BA$205^A80,IF(A80='Données projet'!$A$88,'Données projet'!$B$88,BD79+BC80-BL79)))</f>
        <v>331.1999999999997</v>
      </c>
      <c r="BE80" s="14">
        <f>BD80*VLOOKUP('Données projet'!$B$11,Paramètres!$A$1:$I$89,3,0)*VLOOKUP('Données projet'!$B$11,Paramètres!$A$1:$I$89,5,0)</f>
        <v>242.83583999999976</v>
      </c>
      <c r="BF80" s="14">
        <f t="shared" si="91"/>
        <v>59.049257515045326</v>
      </c>
      <c r="BG80" s="22">
        <f t="shared" si="61"/>
        <v>525.78321150537022</v>
      </c>
      <c r="BH80" s="62">
        <f t="shared" si="62"/>
        <v>795.29337072964245</v>
      </c>
      <c r="BI80" s="62">
        <f ca="1">AVERAGE(OFFSET($BH$3,0,0,'Données projet'!$E$11+1,1))-AVERAGE(OFFSET($H$3,0,0,'Données projet'!$E$11+1,1))</f>
        <v>368.54671978064204</v>
      </c>
      <c r="BJ80" s="62">
        <f t="shared" si="92"/>
        <v>395.83504504492237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5.6843418860808015E-14</v>
      </c>
      <c r="BZ80" s="14">
        <f>BY80*VLOOKUP('Données projet'!$B$12,Paramètres!$A$1:$I$89,3,0)*VLOOKUP('Données projet'!$B$12,Paramètres!$A$1:$I$89,5,0)</f>
        <v>4.4337866711430253E-14</v>
      </c>
      <c r="CA80" s="14">
        <f t="shared" si="93"/>
        <v>7.3222115536967035E-13</v>
      </c>
      <c r="CB80" s="22">
        <f t="shared" si="64"/>
        <v>1.3525069634579169E-12</v>
      </c>
      <c r="CC80" s="62">
        <f t="shared" si="65"/>
        <v>269.51015922427365</v>
      </c>
      <c r="CD80" s="62">
        <f ca="1">AVERAGE(OFFSET($CC$3,0,0,'Données projet'!$E$12+1,1))-AVERAGE(OFFSET($H$3,0,0,'Données projet'!$E$12+1,1))</f>
        <v>309.21625451786218</v>
      </c>
      <c r="CE80" s="62">
        <f t="shared" si="94"/>
        <v>302.59481222418219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4.7435897435897463</v>
      </c>
      <c r="CT80" s="13">
        <f>IF('Données projet'!$A$140&gt;35,CT79+CS80-DB79,IF(A80&lt;'Données projet'!$A$140,$CQ$205^A80,IF(A80='Données projet'!$A$140,'Données projet'!$B$140,CT79+CS80-DB79)))</f>
        <v>271.66666666666669</v>
      </c>
      <c r="CU80" s="18">
        <f>CT80*VLOOKUP('Données projet'!$B$13,Paramètres!$A$1:$I$89,3,0)*VLOOKUP('Données projet'!$B$13,Paramètres!$A$1:$I$89,5,0)</f>
        <v>258.51800000000003</v>
      </c>
      <c r="CV80" s="14">
        <f t="shared" si="95"/>
        <v>62.406370424674854</v>
      </c>
      <c r="CW80" s="22">
        <f t="shared" si="67"/>
        <v>558.94327848964201</v>
      </c>
      <c r="CX80" s="62">
        <f t="shared" si="68"/>
        <v>828.45343771391435</v>
      </c>
      <c r="CY80" s="62">
        <f ca="1">AVERAGE(OFFSET($CX$3,0,0,'Données projet'!$E$13+1,1))-AVERAGE(OFFSET($H$3,0,0,'Données projet'!$E$13+1,1))</f>
        <v>491.87038198656927</v>
      </c>
      <c r="CZ80" s="62">
        <f t="shared" si="96"/>
        <v>406.49261644949559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0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7.2</v>
      </c>
      <c r="DO80" s="13">
        <f>IF('Données projet'!$A$166&gt;35,DO79+DN80-DW79,IF(A80&lt;'Données projet'!$A$166,$DL$205^A80,IF(A80='Données projet'!$A$166,'Données projet'!$B$166,DO79+DN80-DW79)))</f>
        <v>298.40000000000003</v>
      </c>
      <c r="DP80" s="18">
        <f>DO80*VLOOKUP('Données projet'!$B$14,Paramètres!$A$1:$I$89,3,0)*VLOOKUP('Données projet'!$B$14,Paramètres!$A$1:$I$89,5,0)</f>
        <v>288.61248000000001</v>
      </c>
      <c r="DQ80" s="14">
        <f t="shared" si="97"/>
        <v>68.783851967051476</v>
      </c>
      <c r="DR80" s="22">
        <f t="shared" si="70"/>
        <v>622.4652781759479</v>
      </c>
      <c r="DS80" s="62">
        <f t="shared" si="71"/>
        <v>891.97543740022024</v>
      </c>
      <c r="DT80" s="62">
        <f ca="1">AVERAGE(OFFSET($DS$3,0,0,'Données projet'!$E$14+1,1))-AVERAGE(OFFSET($H$3,0,0,'Données projet'!$E$14+1,1))</f>
        <v>603.52431522262032</v>
      </c>
      <c r="DU80" s="62">
        <f t="shared" si="98"/>
        <v>313.56299786481338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projet'!$B$14,Paramètres!$A$1:$I$89,3,0)*0.475*44/12</f>
        <v>0</v>
      </c>
      <c r="EB80" s="23">
        <f>EXP(-LN(2)/25)*EB79+(1-EXP(-LN(2)/25))/(LN(2)/25)*Calculateur!DW80*Calculateur!DY80*VLOOKUP('Données projet'!$B$14,Paramètres!$A$1:$I$89,3,0)*0.475*44/12</f>
        <v>0</v>
      </c>
      <c r="EC80" s="23">
        <f>EXP(-LN(2)/2)*EC79+(1-EXP(-LN(2)/2))/(LN(2)/2)*DW80*DZ80*VLOOKUP('Données projet'!$B$14,Paramètres!$A$1:$I$89,3,0)*0.475*44/12</f>
        <v>0</v>
      </c>
      <c r="ED80" s="24">
        <f t="shared" si="72"/>
        <v>0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-1.1368683772161603E-13</v>
      </c>
      <c r="EK80" s="18">
        <f>EJ80*VLOOKUP('Données projet'!$B$15,Paramètres!$A$1:$I$89,3,0)*VLOOKUP('Données projet'!$B$15,Paramètres!$A$1:$I$89,5,0)</f>
        <v>-9.2222762759774927E-14</v>
      </c>
      <c r="EL80" s="14" t="e">
        <f t="shared" si="99"/>
        <v>#NUM!</v>
      </c>
      <c r="EM80" s="22" t="e">
        <f t="shared" si="73"/>
        <v>#NUM!</v>
      </c>
      <c r="EN80" s="62" t="e">
        <f t="shared" si="74"/>
        <v>#NUM!</v>
      </c>
      <c r="EO80" s="62">
        <f ca="1">AVERAGE(OFFSET($EN$3,0,0,'Données projet'!$E$15+1,1))-AVERAGE(OFFSET($H$3,0,0,'Données projet'!$E$15+1,1))</f>
        <v>272.69564942740931</v>
      </c>
      <c r="EP80" s="62">
        <f t="shared" si="100"/>
        <v>316.57989180609252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>
        <f>EXP(-LN(2)/35)*EV79+(1-EXP(-LN(2)/35))/(LN(2)/35)*ER80*ES80*VLOOKUP('Données projet'!$B$15,Paramètres!$A$1:$I$89,3,0)*0.475*44/12</f>
        <v>0</v>
      </c>
      <c r="EW80" s="23">
        <f>EXP(-LN(2)/25)*EW79+(1-EXP(-LN(2)/25))/(LN(2)/25)*Calculateur!ER80*Calculateur!ET80*VLOOKUP('Données projet'!$B$15,Paramètres!$A$1:$I$89,3,0)*0.475*44/12</f>
        <v>0</v>
      </c>
      <c r="EX80" s="23">
        <f>EXP(-LN(2)/2)*EX79+(1-EXP(-LN(2)/2))/(LN(2)/2)*ER80*EU80*VLOOKUP('Données projet'!$B$15,Paramètres!$A$1:$I$89,3,0)*0.475*44/12</f>
        <v>0</v>
      </c>
      <c r="EY80" s="24">
        <f t="shared" si="75"/>
        <v>0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5.3846153846153921</v>
      </c>
      <c r="FE80" s="13">
        <f>IF('Données projet'!$A$218&gt;35,FE79+FD80-FM79,IF(A80&lt;'Données projet'!$A$218,$FB$205^A80,IF(A80='Données projet'!$A$218,'Données projet'!$B$218,FE79+FD80-FM79)))</f>
        <v>351.7948717948716</v>
      </c>
      <c r="FF80" s="18">
        <f>FE80*VLOOKUP('Données projet'!$B$16,Paramètres!$A$1:$I$89,3,0)*VLOOKUP('Données projet'!$B$16,Paramètres!$A$1:$I$89,5,0)</f>
        <v>235.98399999999987</v>
      </c>
      <c r="FG80" s="14">
        <f t="shared" si="101"/>
        <v>57.574621739155759</v>
      </c>
      <c r="FH80" s="22">
        <f t="shared" si="76"/>
        <v>511.28126619569599</v>
      </c>
      <c r="FI80" s="62">
        <f t="shared" si="77"/>
        <v>780.79142541996828</v>
      </c>
      <c r="FJ80" s="62">
        <f ca="1">AVERAGE(OFFSET($FI$3,0,0,'Données projet'!$E$16+1,1))-AVERAGE(OFFSET($H$3,0,0,'Données projet'!$E$16+1,1))</f>
        <v>440.90856392064205</v>
      </c>
      <c r="FK80" s="62">
        <f t="shared" si="102"/>
        <v>373.33139300970629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>
        <f>EXP(-LN(2)/35)*FQ79+(1-EXP(-LN(2)/35))/(LN(2)/35)*FM80*FN80*VLOOKUP('Données projet'!$B$16,Paramètres!$A$1:$I$89,3,0)*0.475*44/12</f>
        <v>0</v>
      </c>
      <c r="FR80" s="23">
        <f>EXP(-LN(2)/25)*FR79+(1-EXP(-LN(2)/25))/(LN(2)/25)*Calculateur!FM80*Calculateur!FO80*VLOOKUP('Données projet'!$B$16,Paramètres!$A$1:$I$89,3,0)*0.475*44/12</f>
        <v>0</v>
      </c>
      <c r="FS80" s="23">
        <f>EXP(-LN(2)/2)*FS79+(1-EXP(-LN(2)/2))/(LN(2)/2)*FM80*FP80*VLOOKUP('Données projet'!$B$16,Paramètres!$A$1:$I$89,3,0)*0.475*44/12</f>
        <v>0</v>
      </c>
      <c r="FT80" s="24">
        <f t="shared" si="78"/>
        <v>0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70">
        <f t="shared" si="56"/>
        <v>183.33333333333334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7.2</v>
      </c>
      <c r="N81" s="14">
        <f>IF('Données projet'!$A$36&gt;35,N80+M81-V80,IF(A81&lt;'Données projet'!$A$36,$K$205^A81,IF(A81='Données projet'!$A$36,'Données projet'!$B$36,N80+M81-V80)))</f>
        <v>305.60000000000002</v>
      </c>
      <c r="O81" s="14">
        <f>N81*VLOOKUP('Données projet'!$B$9,Paramètres!$A$1:$I$89,3,0)*VLOOKUP('Données projet'!$B$9,Paramètres!$A$1:$I$89,5,0)</f>
        <v>276.50687999999997</v>
      </c>
      <c r="P81" s="14">
        <f t="shared" si="87"/>
        <v>66.228273722513677</v>
      </c>
      <c r="Q81" s="22">
        <f t="shared" si="54"/>
        <v>596.93039273337797</v>
      </c>
      <c r="R81" s="62">
        <f t="shared" si="55"/>
        <v>866.8538307678042</v>
      </c>
      <c r="S81" s="62">
        <f ca="1">AVERAGE(OFFSET($R$3,0,0,'Données projet'!$E$9+1,1))-AVERAGE(OFFSET($H$3,0,0,'Données projet'!$E$9+1,1))</f>
        <v>570.08763950759544</v>
      </c>
      <c r="T81" s="62">
        <f t="shared" si="88"/>
        <v>297.32483725004136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3.6</v>
      </c>
      <c r="AI81" s="14">
        <f>IF('Données projet'!$A$62&gt;35,AI80+AH81-AQ80,IF(A81&lt;'Données projet'!$A$62,$AF$205^A81,IF(A81='Données projet'!$A$62,'Données projet'!$B$62,AI80+AH81-AQ80)))</f>
        <v>334.79999999999973</v>
      </c>
      <c r="AJ81" s="14">
        <f>AI81*VLOOKUP('Données projet'!$B$10,Paramètres!$A$1:$I$89,3,0)*VLOOKUP('Données projet'!$B$10,Paramètres!$A$1:$I$89,5,0)</f>
        <v>266.36687999999981</v>
      </c>
      <c r="AK81" s="14">
        <f t="shared" si="89"/>
        <v>64.077622653233107</v>
      </c>
      <c r="AL81" s="22">
        <f t="shared" si="58"/>
        <v>575.52417545438061</v>
      </c>
      <c r="AM81" s="62">
        <f t="shared" si="59"/>
        <v>845.44761348880684</v>
      </c>
      <c r="AN81" s="62">
        <f ca="1">AVERAGE(OFFSET($AM$3,0,0,'Données projet'!$E$10+1,1))-AVERAGE(OFFSET($H$3,0,0,'Données projet'!$E$10+1,1))</f>
        <v>394.70330963327166</v>
      </c>
      <c r="AO81" s="62">
        <f t="shared" si="90"/>
        <v>424.06445894109982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3.6</v>
      </c>
      <c r="BD81" s="13">
        <f>IF('Données projet'!$A$88&gt;35,BD80+BC81-BL80,IF(A81&lt;'Données projet'!$A$88,$BA$205^A81,IF(A81='Données projet'!$A$88,'Données projet'!$B$88,BD80+BC81-BL80)))</f>
        <v>334.79999999999973</v>
      </c>
      <c r="BE81" s="14">
        <f>BD81*VLOOKUP('Données projet'!$B$11,Paramètres!$A$1:$I$89,3,0)*VLOOKUP('Données projet'!$B$11,Paramètres!$A$1:$I$89,5,0)</f>
        <v>245.47535999999977</v>
      </c>
      <c r="BF81" s="14">
        <f t="shared" si="91"/>
        <v>59.616029794883701</v>
      </c>
      <c r="BG81" s="22">
        <f t="shared" si="61"/>
        <v>531.36750389275528</v>
      </c>
      <c r="BH81" s="62">
        <f t="shared" si="62"/>
        <v>801.29094192718151</v>
      </c>
      <c r="BI81" s="62">
        <f ca="1">AVERAGE(OFFSET($BH$3,0,0,'Données projet'!$E$11+1,1))-AVERAGE(OFFSET($H$3,0,0,'Données projet'!$E$11+1,1))</f>
        <v>368.54671978064204</v>
      </c>
      <c r="BJ81" s="62">
        <f t="shared" si="92"/>
        <v>395.83504504492237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5.6843418860808015E-14</v>
      </c>
      <c r="BZ81" s="14">
        <f>BY81*VLOOKUP('Données projet'!$B$12,Paramètres!$A$1:$I$89,3,0)*VLOOKUP('Données projet'!$B$12,Paramètres!$A$1:$I$89,5,0)</f>
        <v>4.4337866711430253E-14</v>
      </c>
      <c r="CA81" s="14">
        <f t="shared" si="93"/>
        <v>7.3222115536967035E-13</v>
      </c>
      <c r="CB81" s="22">
        <f t="shared" si="64"/>
        <v>1.3525069634579169E-12</v>
      </c>
      <c r="CC81" s="62">
        <f t="shared" si="65"/>
        <v>269.92343803442759</v>
      </c>
      <c r="CD81" s="62">
        <f ca="1">AVERAGE(OFFSET($CC$3,0,0,'Données projet'!$E$12+1,1))-AVERAGE(OFFSET($H$3,0,0,'Données projet'!$E$12+1,1))</f>
        <v>309.21625451786218</v>
      </c>
      <c r="CE81" s="62">
        <f t="shared" si="94"/>
        <v>302.59481222418219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4.7435897435897463</v>
      </c>
      <c r="CT81" s="13">
        <f>IF('Données projet'!$A$140&gt;35,CT80+CS81-DB80,IF(A81&lt;'Données projet'!$A$140,$CQ$205^A81,IF(A81='Données projet'!$A$140,'Données projet'!$B$140,CT80+CS81-DB80)))</f>
        <v>276.41025641025641</v>
      </c>
      <c r="CU81" s="18">
        <f>CT81*VLOOKUP('Données projet'!$B$13,Paramètres!$A$1:$I$89,3,0)*VLOOKUP('Données projet'!$B$13,Paramètres!$A$1:$I$89,5,0)</f>
        <v>263.03199999999998</v>
      </c>
      <c r="CV81" s="14">
        <f t="shared" si="95"/>
        <v>63.368241077451948</v>
      </c>
      <c r="CW81" s="22">
        <f t="shared" si="67"/>
        <v>568.480419876562</v>
      </c>
      <c r="CX81" s="62">
        <f t="shared" si="68"/>
        <v>838.40385791098822</v>
      </c>
      <c r="CY81" s="62">
        <f ca="1">AVERAGE(OFFSET($CX$3,0,0,'Données projet'!$E$13+1,1))-AVERAGE(OFFSET($H$3,0,0,'Données projet'!$E$13+1,1))</f>
        <v>491.87038198656927</v>
      </c>
      <c r="CZ81" s="62">
        <f t="shared" si="96"/>
        <v>406.49261644949559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0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7.2</v>
      </c>
      <c r="DO81" s="13">
        <f>IF('Données projet'!$A$166&gt;35,DO80+DN81-DW80,IF(A81&lt;'Données projet'!$A$166,$DL$205^A81,IF(A81='Données projet'!$A$166,'Données projet'!$B$166,DO80+DN81-DW80)))</f>
        <v>305.60000000000002</v>
      </c>
      <c r="DP81" s="18">
        <f>DO81*VLOOKUP('Données projet'!$B$14,Paramètres!$A$1:$I$89,3,0)*VLOOKUP('Données projet'!$B$14,Paramètres!$A$1:$I$89,5,0)</f>
        <v>295.57632000000001</v>
      </c>
      <c r="DQ81" s="14">
        <f t="shared" si="97"/>
        <v>70.24828996461811</v>
      </c>
      <c r="DR81" s="22">
        <f t="shared" si="70"/>
        <v>637.1445290217099</v>
      </c>
      <c r="DS81" s="62">
        <f t="shared" si="71"/>
        <v>907.06796705613613</v>
      </c>
      <c r="DT81" s="62">
        <f ca="1">AVERAGE(OFFSET($DS$3,0,0,'Données projet'!$E$14+1,1))-AVERAGE(OFFSET($H$3,0,0,'Données projet'!$E$14+1,1))</f>
        <v>603.52431522262032</v>
      </c>
      <c r="DU81" s="62">
        <f t="shared" si="98"/>
        <v>313.56299786481338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projet'!$B$14,Paramètres!$A$1:$I$89,3,0)*0.475*44/12</f>
        <v>0</v>
      </c>
      <c r="EB81" s="23">
        <f>EXP(-LN(2)/25)*EB80+(1-EXP(-LN(2)/25))/(LN(2)/25)*Calculateur!DW81*Calculateur!DY81*VLOOKUP('Données projet'!$B$14,Paramètres!$A$1:$I$89,3,0)*0.475*44/12</f>
        <v>0</v>
      </c>
      <c r="EC81" s="23">
        <f>EXP(-LN(2)/2)*EC80+(1-EXP(-LN(2)/2))/(LN(2)/2)*DW81*DZ81*VLOOKUP('Données projet'!$B$14,Paramètres!$A$1:$I$89,3,0)*0.475*44/12</f>
        <v>0</v>
      </c>
      <c r="ED81" s="24">
        <f t="shared" si="72"/>
        <v>0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-1.1368683772161603E-13</v>
      </c>
      <c r="EK81" s="18">
        <f>EJ81*VLOOKUP('Données projet'!$B$15,Paramètres!$A$1:$I$89,3,0)*VLOOKUP('Données projet'!$B$15,Paramètres!$A$1:$I$89,5,0)</f>
        <v>-9.2222762759774927E-14</v>
      </c>
      <c r="EL81" s="14" t="e">
        <f t="shared" si="99"/>
        <v>#NUM!</v>
      </c>
      <c r="EM81" s="22" t="e">
        <f t="shared" si="73"/>
        <v>#NUM!</v>
      </c>
      <c r="EN81" s="62" t="e">
        <f t="shared" si="74"/>
        <v>#NUM!</v>
      </c>
      <c r="EO81" s="62">
        <f ca="1">AVERAGE(OFFSET($EN$3,0,0,'Données projet'!$E$15+1,1))-AVERAGE(OFFSET($H$3,0,0,'Données projet'!$E$15+1,1))</f>
        <v>272.69564942740931</v>
      </c>
      <c r="EP81" s="62">
        <f t="shared" si="100"/>
        <v>316.57989180609252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>
        <f>EXP(-LN(2)/35)*EV80+(1-EXP(-LN(2)/35))/(LN(2)/35)*ER81*ES81*VLOOKUP('Données projet'!$B$15,Paramètres!$A$1:$I$89,3,0)*0.475*44/12</f>
        <v>0</v>
      </c>
      <c r="EW81" s="23">
        <f>EXP(-LN(2)/25)*EW80+(1-EXP(-LN(2)/25))/(LN(2)/25)*Calculateur!ER81*Calculateur!ET81*VLOOKUP('Données projet'!$B$15,Paramètres!$A$1:$I$89,3,0)*0.475*44/12</f>
        <v>0</v>
      </c>
      <c r="EX81" s="23">
        <f>EXP(-LN(2)/2)*EX80+(1-EXP(-LN(2)/2))/(LN(2)/2)*ER81*EU81*VLOOKUP('Données projet'!$B$15,Paramètres!$A$1:$I$89,3,0)*0.475*44/12</f>
        <v>0</v>
      </c>
      <c r="EY81" s="24">
        <f t="shared" si="75"/>
        <v>0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5.3846153846153921</v>
      </c>
      <c r="FE81" s="13">
        <f>IF('Données projet'!$A$218&gt;35,FE80+FD81-FM80,IF(A81&lt;'Données projet'!$A$218,$FB$205^A81,IF(A81='Données projet'!$A$218,'Données projet'!$B$218,FE80+FD81-FM80)))</f>
        <v>357.17948717948701</v>
      </c>
      <c r="FF81" s="18">
        <f>FE81*VLOOKUP('Données projet'!$B$16,Paramètres!$A$1:$I$89,3,0)*VLOOKUP('Données projet'!$B$16,Paramètres!$A$1:$I$89,5,0)</f>
        <v>239.59599999999989</v>
      </c>
      <c r="FG81" s="14">
        <f t="shared" si="101"/>
        <v>58.352599393028875</v>
      </c>
      <c r="FH81" s="22">
        <f t="shared" si="76"/>
        <v>518.92714394285838</v>
      </c>
      <c r="FI81" s="62">
        <f t="shared" si="77"/>
        <v>788.85058197728461</v>
      </c>
      <c r="FJ81" s="62">
        <f ca="1">AVERAGE(OFFSET($FI$3,0,0,'Données projet'!$E$16+1,1))-AVERAGE(OFFSET($H$3,0,0,'Données projet'!$E$16+1,1))</f>
        <v>440.90856392064205</v>
      </c>
      <c r="FK81" s="62">
        <f t="shared" si="102"/>
        <v>373.33139300970629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>
        <f>EXP(-LN(2)/35)*FQ80+(1-EXP(-LN(2)/35))/(LN(2)/35)*FM81*FN81*VLOOKUP('Données projet'!$B$16,Paramètres!$A$1:$I$89,3,0)*0.475*44/12</f>
        <v>0</v>
      </c>
      <c r="FR81" s="23">
        <f>EXP(-LN(2)/25)*FR80+(1-EXP(-LN(2)/25))/(LN(2)/25)*Calculateur!FM81*Calculateur!FO81*VLOOKUP('Données projet'!$B$16,Paramètres!$A$1:$I$89,3,0)*0.475*44/12</f>
        <v>0</v>
      </c>
      <c r="FS81" s="23">
        <f>EXP(-LN(2)/2)*FS80+(1-EXP(-LN(2)/2))/(LN(2)/2)*FM81*FP81*VLOOKUP('Données projet'!$B$16,Paramètres!$A$1:$I$89,3,0)*0.475*44/12</f>
        <v>0</v>
      </c>
      <c r="FT81" s="24">
        <f t="shared" si="78"/>
        <v>0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70">
        <f t="shared" si="56"/>
        <v>183.33333333333334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7.2</v>
      </c>
      <c r="N82" s="14">
        <f>IF('Données projet'!$A$36&gt;35,N81+M82-V81,IF(A82&lt;'Données projet'!$A$36,$K$205^A82,IF(A82='Données projet'!$A$36,'Données projet'!$B$36,N81+M82-V81)))</f>
        <v>312.8</v>
      </c>
      <c r="O82" s="14">
        <f>N82*VLOOKUP('Données projet'!$B$9,Paramètres!$A$1:$I$89,3,0)*VLOOKUP('Données projet'!$B$9,Paramètres!$A$1:$I$89,5,0)</f>
        <v>283.02144000000004</v>
      </c>
      <c r="P82" s="14">
        <f t="shared" si="87"/>
        <v>67.605126603830598</v>
      </c>
      <c r="Q82" s="22">
        <f t="shared" si="54"/>
        <v>610.67460350167164</v>
      </c>
      <c r="R82" s="62">
        <f t="shared" si="55"/>
        <v>881.00415088284853</v>
      </c>
      <c r="S82" s="62">
        <f ca="1">AVERAGE(OFFSET($R$3,0,0,'Données projet'!$E$9+1,1))-AVERAGE(OFFSET($H$3,0,0,'Données projet'!$E$9+1,1))</f>
        <v>570.08763950759544</v>
      </c>
      <c r="T82" s="62">
        <f t="shared" si="88"/>
        <v>297.32483725004136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3.6</v>
      </c>
      <c r="AI82" s="14">
        <f>IF('Données projet'!$A$62&gt;35,AI81+AH82-AQ81,IF(A82&lt;'Données projet'!$A$62,$AF$205^A82,IF(A82='Données projet'!$A$62,'Données projet'!$B$62,AI81+AH82-AQ81)))</f>
        <v>338.39999999999975</v>
      </c>
      <c r="AJ82" s="14">
        <f>AI82*VLOOKUP('Données projet'!$B$10,Paramètres!$A$1:$I$89,3,0)*VLOOKUP('Données projet'!$B$10,Paramètres!$A$1:$I$89,5,0)</f>
        <v>269.23103999999984</v>
      </c>
      <c r="AK82" s="14">
        <f t="shared" si="89"/>
        <v>64.686049490098227</v>
      </c>
      <c r="AL82" s="22">
        <f t="shared" si="58"/>
        <v>581.57226419525409</v>
      </c>
      <c r="AM82" s="62">
        <f t="shared" si="59"/>
        <v>851.9018115764311</v>
      </c>
      <c r="AN82" s="62">
        <f ca="1">AVERAGE(OFFSET($AM$3,0,0,'Données projet'!$E$10+1,1))-AVERAGE(OFFSET($H$3,0,0,'Données projet'!$E$10+1,1))</f>
        <v>394.70330963327166</v>
      </c>
      <c r="AO82" s="62">
        <f t="shared" si="90"/>
        <v>424.06445894109982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3.6</v>
      </c>
      <c r="BD82" s="13">
        <f>IF('Données projet'!$A$88&gt;35,BD81+BC82-BL81,IF(A82&lt;'Données projet'!$A$88,$BA$205^A82,IF(A82='Données projet'!$A$88,'Données projet'!$B$88,BD81+BC82-BL81)))</f>
        <v>338.39999999999975</v>
      </c>
      <c r="BE82" s="14">
        <f>BD82*VLOOKUP('Données projet'!$B$11,Paramètres!$A$1:$I$89,3,0)*VLOOKUP('Données projet'!$B$11,Paramètres!$A$1:$I$89,5,0)</f>
        <v>248.1148799999998</v>
      </c>
      <c r="BF82" s="14">
        <f t="shared" si="91"/>
        <v>60.182093124524592</v>
      </c>
      <c r="BG82" s="22">
        <f t="shared" si="61"/>
        <v>536.95056152521329</v>
      </c>
      <c r="BH82" s="62">
        <f t="shared" si="62"/>
        <v>807.2801089063903</v>
      </c>
      <c r="BI82" s="62">
        <f ca="1">AVERAGE(OFFSET($BH$3,0,0,'Données projet'!$E$11+1,1))-AVERAGE(OFFSET($H$3,0,0,'Données projet'!$E$11+1,1))</f>
        <v>368.54671978064204</v>
      </c>
      <c r="BJ82" s="62">
        <f t="shared" si="92"/>
        <v>395.83504504492237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5.6843418860808015E-14</v>
      </c>
      <c r="BZ82" s="14">
        <f>BY82*VLOOKUP('Données projet'!$B$12,Paramètres!$A$1:$I$89,3,0)*VLOOKUP('Données projet'!$B$12,Paramètres!$A$1:$I$89,5,0)</f>
        <v>4.4337866711430253E-14</v>
      </c>
      <c r="CA82" s="14">
        <f t="shared" si="93"/>
        <v>7.3222115536967035E-13</v>
      </c>
      <c r="CB82" s="22">
        <f t="shared" si="64"/>
        <v>1.3525069634579169E-12</v>
      </c>
      <c r="CC82" s="62">
        <f t="shared" si="65"/>
        <v>270.32954738117832</v>
      </c>
      <c r="CD82" s="62">
        <f ca="1">AVERAGE(OFFSET($CC$3,0,0,'Données projet'!$E$12+1,1))-AVERAGE(OFFSET($H$3,0,0,'Données projet'!$E$12+1,1))</f>
        <v>309.21625451786218</v>
      </c>
      <c r="CE82" s="62">
        <f t="shared" si="94"/>
        <v>302.59481222418219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4.7435897435897463</v>
      </c>
      <c r="CT82" s="13">
        <f>IF('Données projet'!$A$140&gt;35,CT81+CS82-DB81,IF(A82&lt;'Données projet'!$A$140,$CQ$205^A82,IF(A82='Données projet'!$A$140,'Données projet'!$B$140,CT81+CS82-DB81)))</f>
        <v>281.15384615384613</v>
      </c>
      <c r="CU82" s="18">
        <f>CT82*VLOOKUP('Données projet'!$B$13,Paramètres!$A$1:$I$89,3,0)*VLOOKUP('Données projet'!$B$13,Paramètres!$A$1:$I$89,5,0)</f>
        <v>267.54599999999999</v>
      </c>
      <c r="CV82" s="14">
        <f t="shared" si="95"/>
        <v>64.328192127044773</v>
      </c>
      <c r="CW82" s="22">
        <f t="shared" si="67"/>
        <v>578.01421795460294</v>
      </c>
      <c r="CX82" s="62">
        <f t="shared" si="68"/>
        <v>848.34376533577984</v>
      </c>
      <c r="CY82" s="62">
        <f ca="1">AVERAGE(OFFSET($CX$3,0,0,'Données projet'!$E$13+1,1))-AVERAGE(OFFSET($H$3,0,0,'Données projet'!$E$13+1,1))</f>
        <v>491.87038198656927</v>
      </c>
      <c r="CZ82" s="62">
        <f t="shared" si="96"/>
        <v>406.49261644949559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0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7.2</v>
      </c>
      <c r="DO82" s="13">
        <f>IF('Données projet'!$A$166&gt;35,DO81+DN82-DW81,IF(A82&lt;'Données projet'!$A$166,$DL$205^A82,IF(A82='Données projet'!$A$166,'Données projet'!$B$166,DO81+DN82-DW81)))</f>
        <v>312.8</v>
      </c>
      <c r="DP82" s="18">
        <f>DO82*VLOOKUP('Données projet'!$B$14,Paramètres!$A$1:$I$89,3,0)*VLOOKUP('Données projet'!$B$14,Paramètres!$A$1:$I$89,5,0)</f>
        <v>302.54016000000001</v>
      </c>
      <c r="DQ82" s="14">
        <f t="shared" si="97"/>
        <v>71.708716984815311</v>
      </c>
      <c r="DR82" s="22">
        <f t="shared" si="70"/>
        <v>651.81679408188654</v>
      </c>
      <c r="DS82" s="62">
        <f t="shared" si="71"/>
        <v>922.14634146306344</v>
      </c>
      <c r="DT82" s="62">
        <f ca="1">AVERAGE(OFFSET($DS$3,0,0,'Données projet'!$E$14+1,1))-AVERAGE(OFFSET($H$3,0,0,'Données projet'!$E$14+1,1))</f>
        <v>603.52431522262032</v>
      </c>
      <c r="DU82" s="62">
        <f t="shared" si="98"/>
        <v>313.56299786481338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projet'!$B$14,Paramètres!$A$1:$I$89,3,0)*0.475*44/12</f>
        <v>0</v>
      </c>
      <c r="EB82" s="23">
        <f>EXP(-LN(2)/25)*EB81+(1-EXP(-LN(2)/25))/(LN(2)/25)*Calculateur!DW82*Calculateur!DY82*VLOOKUP('Données projet'!$B$14,Paramètres!$A$1:$I$89,3,0)*0.475*44/12</f>
        <v>0</v>
      </c>
      <c r="EC82" s="23">
        <f>EXP(-LN(2)/2)*EC81+(1-EXP(-LN(2)/2))/(LN(2)/2)*DW82*DZ82*VLOOKUP('Données projet'!$B$14,Paramètres!$A$1:$I$89,3,0)*0.475*44/12</f>
        <v>0</v>
      </c>
      <c r="ED82" s="24">
        <f t="shared" si="72"/>
        <v>0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-1.1368683772161603E-13</v>
      </c>
      <c r="EK82" s="18">
        <f>EJ82*VLOOKUP('Données projet'!$B$15,Paramètres!$A$1:$I$89,3,0)*VLOOKUP('Données projet'!$B$15,Paramètres!$A$1:$I$89,5,0)</f>
        <v>-9.2222762759774927E-14</v>
      </c>
      <c r="EL82" s="14" t="e">
        <f t="shared" si="99"/>
        <v>#NUM!</v>
      </c>
      <c r="EM82" s="22" t="e">
        <f t="shared" si="73"/>
        <v>#NUM!</v>
      </c>
      <c r="EN82" s="62" t="e">
        <f t="shared" si="74"/>
        <v>#NUM!</v>
      </c>
      <c r="EO82" s="62">
        <f ca="1">AVERAGE(OFFSET($EN$3,0,0,'Données projet'!$E$15+1,1))-AVERAGE(OFFSET($H$3,0,0,'Données projet'!$E$15+1,1))</f>
        <v>272.69564942740931</v>
      </c>
      <c r="EP82" s="62">
        <f t="shared" si="100"/>
        <v>316.57989180609252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>
        <f>EXP(-LN(2)/35)*EV81+(1-EXP(-LN(2)/35))/(LN(2)/35)*ER82*ES82*VLOOKUP('Données projet'!$B$15,Paramètres!$A$1:$I$89,3,0)*0.475*44/12</f>
        <v>0</v>
      </c>
      <c r="EW82" s="23">
        <f>EXP(-LN(2)/25)*EW81+(1-EXP(-LN(2)/25))/(LN(2)/25)*Calculateur!ER82*Calculateur!ET82*VLOOKUP('Données projet'!$B$15,Paramètres!$A$1:$I$89,3,0)*0.475*44/12</f>
        <v>0</v>
      </c>
      <c r="EX82" s="23">
        <f>EXP(-LN(2)/2)*EX81+(1-EXP(-LN(2)/2))/(LN(2)/2)*ER82*EU82*VLOOKUP('Données projet'!$B$15,Paramètres!$A$1:$I$89,3,0)*0.475*44/12</f>
        <v>0</v>
      </c>
      <c r="EY82" s="24">
        <f t="shared" si="75"/>
        <v>0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5.3846153846153921</v>
      </c>
      <c r="FE82" s="13">
        <f>IF('Données projet'!$A$218&gt;35,FE81+FD82-FM81,IF(A82&lt;'Données projet'!$A$218,$FB$205^A82,IF(A82='Données projet'!$A$218,'Données projet'!$B$218,FE81+FD82-FM81)))</f>
        <v>362.56410256410243</v>
      </c>
      <c r="FF82" s="18">
        <f>FE82*VLOOKUP('Données projet'!$B$16,Paramètres!$A$1:$I$89,3,0)*VLOOKUP('Données projet'!$B$16,Paramètres!$A$1:$I$89,5,0)</f>
        <v>243.20799999999991</v>
      </c>
      <c r="FG82" s="14">
        <f t="shared" si="101"/>
        <v>59.129213014501673</v>
      </c>
      <c r="FH82" s="22">
        <f t="shared" si="76"/>
        <v>526.57064600025694</v>
      </c>
      <c r="FI82" s="62">
        <f t="shared" si="77"/>
        <v>796.90019338143384</v>
      </c>
      <c r="FJ82" s="62">
        <f ca="1">AVERAGE(OFFSET($FI$3,0,0,'Données projet'!$E$16+1,1))-AVERAGE(OFFSET($H$3,0,0,'Données projet'!$E$16+1,1))</f>
        <v>440.90856392064205</v>
      </c>
      <c r="FK82" s="62">
        <f t="shared" si="102"/>
        <v>373.33139300970629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>
        <f>EXP(-LN(2)/35)*FQ81+(1-EXP(-LN(2)/35))/(LN(2)/35)*FM82*FN82*VLOOKUP('Données projet'!$B$16,Paramètres!$A$1:$I$89,3,0)*0.475*44/12</f>
        <v>0</v>
      </c>
      <c r="FR82" s="23">
        <f>EXP(-LN(2)/25)*FR81+(1-EXP(-LN(2)/25))/(LN(2)/25)*Calculateur!FM82*Calculateur!FO82*VLOOKUP('Données projet'!$B$16,Paramètres!$A$1:$I$89,3,0)*0.475*44/12</f>
        <v>0</v>
      </c>
      <c r="FS82" s="23">
        <f>EXP(-LN(2)/2)*FS81+(1-EXP(-LN(2)/2))/(LN(2)/2)*FM82*FP82*VLOOKUP('Données projet'!$B$16,Paramètres!$A$1:$I$89,3,0)*0.475*44/12</f>
        <v>0</v>
      </c>
      <c r="FT82" s="24">
        <f t="shared" si="78"/>
        <v>0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70">
        <f t="shared" si="56"/>
        <v>183.33333333333334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320</v>
      </c>
      <c r="L83" s="13">
        <f>VLOOKUP(A83,'Données projet'!$A$35:$I$55,9,0)</f>
        <v>7.2</v>
      </c>
      <c r="M83" s="13">
        <f t="array" ref="M83">INDEX(L:L,MIN(IF(ISNUMBER(L83:L279),ROW(L83:L279),"")))</f>
        <v>7.2</v>
      </c>
      <c r="N83" s="14">
        <f>IF('Données projet'!$A$36&gt;35,N82+M83-V82,IF(A83&lt;'Données projet'!$A$36,$K$205^A83,IF(A83='Données projet'!$A$36,'Données projet'!$B$36,N82+M83-V82)))</f>
        <v>320</v>
      </c>
      <c r="O83" s="14">
        <f>N83*VLOOKUP('Données projet'!$B$9,Paramètres!$A$1:$I$89,3,0)*VLOOKUP('Données projet'!$B$9,Paramètres!$A$1:$I$89,5,0)</f>
        <v>289.536</v>
      </c>
      <c r="P83" s="14">
        <f t="shared" si="87"/>
        <v>68.97829509904436</v>
      </c>
      <c r="Q83" s="22">
        <f t="shared" si="54"/>
        <v>624.41239729750225</v>
      </c>
      <c r="R83" s="62">
        <f t="shared" si="55"/>
        <v>895.14100893618843</v>
      </c>
      <c r="S83" s="62">
        <f ca="1">AVERAGE(OFFSET($R$3,0,0,'Données projet'!$E$9+1,1))-AVERAGE(OFFSET($H$3,0,0,'Données projet'!$E$9+1,1))</f>
        <v>570.08763950759544</v>
      </c>
      <c r="T83" s="62">
        <f t="shared" si="88"/>
        <v>297.32483725004136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342</v>
      </c>
      <c r="AG83" s="13">
        <f>VLOOKUP(A83,'Données projet'!$A$61:$I$81,9,0)</f>
        <v>3.6</v>
      </c>
      <c r="AH83" s="13">
        <f t="array" ref="AH83">INDEX(AG:AG,MIN(IF(ISNUMBER(AG83:AG279),ROW(AG83:AG279),"")))</f>
        <v>3.6</v>
      </c>
      <c r="AI83" s="14">
        <f>IF('Données projet'!$A$62&gt;35,AI82+AH83-AQ82,IF(A83&lt;'Données projet'!$A$62,$AF$205^A83,IF(A83='Données projet'!$A$62,'Données projet'!$B$62,AI82+AH83-AQ82)))</f>
        <v>341.99999999999977</v>
      </c>
      <c r="AJ83" s="14">
        <f>AI83*VLOOKUP('Données projet'!$B$10,Paramètres!$A$1:$I$89,3,0)*VLOOKUP('Données projet'!$B$10,Paramètres!$A$1:$I$89,5,0)</f>
        <v>272.09519999999981</v>
      </c>
      <c r="AK83" s="14">
        <f t="shared" si="89"/>
        <v>65.293723364568379</v>
      </c>
      <c r="AL83" s="22">
        <f t="shared" si="58"/>
        <v>587.61904152662294</v>
      </c>
      <c r="AM83" s="62">
        <f t="shared" si="59"/>
        <v>858.34765316530911</v>
      </c>
      <c r="AN83" s="62">
        <f ca="1">AVERAGE(OFFSET($AM$3,0,0,'Données projet'!$E$10+1,1))-AVERAGE(OFFSET($H$3,0,0,'Données projet'!$E$10+1,1))</f>
        <v>394.70330963327166</v>
      </c>
      <c r="AO83" s="62">
        <f t="shared" si="90"/>
        <v>424.06445894109982</v>
      </c>
      <c r="AP83" s="16">
        <f>IF(ISNA(VLOOKUP(A83,'Données projet'!$A$61:$I$81,3,0)),0,VLOOKUP(A83,'Données projet'!$A$61:$I$81,3,0))</f>
        <v>7</v>
      </c>
      <c r="AQ83" s="16">
        <f>IF(ISNA(VLOOKUP(A83,'Données projet'!$A$61:$I$81,4,0)),0,VLOOKUP(A83,'Données projet'!$A$61:$I$81,4,0))</f>
        <v>342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342</v>
      </c>
      <c r="BB83" s="13">
        <f>VLOOKUP(A83,'Données projet'!$A$87:$I$107,9,0)</f>
        <v>3.6</v>
      </c>
      <c r="BC83" s="13">
        <f t="array" ref="BC83">INDEX(BB:BB,MIN(IF(ISNUMBER(BB83:BB279),ROW(BB83:BB279),"")))</f>
        <v>3.6</v>
      </c>
      <c r="BD83" s="13">
        <f>IF('Données projet'!$A$88&gt;35,BD82+BC83-BL82,IF(A83&lt;'Données projet'!$A$88,$BA$205^A83,IF(A83='Données projet'!$A$88,'Données projet'!$B$88,BD82+BC83-BL82)))</f>
        <v>341.99999999999977</v>
      </c>
      <c r="BE83" s="14">
        <f>BD83*VLOOKUP('Données projet'!$B$11,Paramètres!$A$1:$I$89,3,0)*VLOOKUP('Données projet'!$B$11,Paramètres!$A$1:$I$89,5,0)</f>
        <v>250.75439999999983</v>
      </c>
      <c r="BF83" s="14">
        <f t="shared" si="91"/>
        <v>60.747455918990831</v>
      </c>
      <c r="BG83" s="22">
        <f t="shared" si="61"/>
        <v>542.53239905890871</v>
      </c>
      <c r="BH83" s="62">
        <f t="shared" si="62"/>
        <v>813.26101069759488</v>
      </c>
      <c r="BI83" s="62">
        <f ca="1">AVERAGE(OFFSET($BH$3,0,0,'Données projet'!$E$11+1,1))-AVERAGE(OFFSET($H$3,0,0,'Données projet'!$E$11+1,1))</f>
        <v>368.54671978064204</v>
      </c>
      <c r="BJ83" s="62">
        <f t="shared" si="92"/>
        <v>395.83504504492237</v>
      </c>
      <c r="BK83" s="16">
        <f>IF(ISNA(VLOOKUP(A83,'Données projet'!$A$87:$I$107,3,0)),0,VLOOKUP(A83,'Données projet'!$A$87:$I$107,3,0))</f>
        <v>7</v>
      </c>
      <c r="BL83" s="23">
        <f>IF(ISNA(VLOOKUP(A83,'Données projet'!$A$87:$I$107,4,0)),0,VLOOKUP(A83,'Données projet'!$A$87:$I$107,4,0))</f>
        <v>342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5.6843418860808015E-14</v>
      </c>
      <c r="BZ83" s="14">
        <f>BY83*VLOOKUP('Données projet'!$B$12,Paramètres!$A$1:$I$89,3,0)*VLOOKUP('Données projet'!$B$12,Paramètres!$A$1:$I$89,5,0)</f>
        <v>4.4337866711430253E-14</v>
      </c>
      <c r="CA83" s="14">
        <f t="shared" si="93"/>
        <v>7.3222115536967035E-13</v>
      </c>
      <c r="CB83" s="22">
        <f t="shared" si="64"/>
        <v>1.3525069634579169E-12</v>
      </c>
      <c r="CC83" s="62">
        <f t="shared" si="65"/>
        <v>270.72861163868748</v>
      </c>
      <c r="CD83" s="62">
        <f ca="1">AVERAGE(OFFSET($CC$3,0,0,'Données projet'!$E$12+1,1))-AVERAGE(OFFSET($H$3,0,0,'Données projet'!$E$12+1,1))</f>
        <v>309.21625451786218</v>
      </c>
      <c r="CE83" s="62">
        <f t="shared" si="94"/>
        <v>302.59481222418219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>
        <f>VLOOKUP(A83,'Données projet'!$A$139:$I$159,2,0)</f>
        <v>285.89743589743591</v>
      </c>
      <c r="CR83" s="13">
        <f>VLOOKUP(A83,'Données projet'!$A$139:$I$159,9,0)</f>
        <v>4.7435897435897463</v>
      </c>
      <c r="CS83" s="13">
        <f t="array" ref="CS83">INDEX(CR:CR,MIN(IF(ISNUMBER(CR83:CR279),ROW(CR83:CR279),"")))</f>
        <v>4.7435897435897463</v>
      </c>
      <c r="CT83" s="13">
        <f>IF('Données projet'!$A$140&gt;35,CT82+CS83-DB82,IF(A83&lt;'Données projet'!$A$140,$CQ$205^A83,IF(A83='Données projet'!$A$140,'Données projet'!$B$140,CT82+CS83-DB82)))</f>
        <v>285.89743589743586</v>
      </c>
      <c r="CU83" s="18">
        <f>CT83*VLOOKUP('Données projet'!$B$13,Paramètres!$A$1:$I$89,3,0)*VLOOKUP('Données projet'!$B$13,Paramètres!$A$1:$I$89,5,0)</f>
        <v>272.05999999999995</v>
      </c>
      <c r="CV83" s="14">
        <f t="shared" si="95"/>
        <v>65.286259698592175</v>
      </c>
      <c r="CW83" s="22">
        <f t="shared" si="67"/>
        <v>587.54473564171451</v>
      </c>
      <c r="CX83" s="62">
        <f t="shared" si="68"/>
        <v>858.27334728040069</v>
      </c>
      <c r="CY83" s="62">
        <f ca="1">AVERAGE(OFFSET($CX$3,0,0,'Données projet'!$E$13+1,1))-AVERAGE(OFFSET($H$3,0,0,'Données projet'!$E$13+1,1))</f>
        <v>491.87038198656927</v>
      </c>
      <c r="CZ83" s="62">
        <f t="shared" si="96"/>
        <v>406.49261644949559</v>
      </c>
      <c r="DA83" s="16">
        <f>IF(ISNA(VLOOKUP(A83,'Données projet'!$A$139:$I$159,3,0)),0,VLOOKUP(A83,'Données projet'!$A$139:$I$159,3,0))</f>
        <v>7</v>
      </c>
      <c r="DB83" s="16">
        <f>IF(ISNA(VLOOKUP(A83,'Données projet'!$A$139:$I$159,4,0)),0,VLOOKUP(A83,'Données projet'!$A$139:$I$159,4,0))</f>
        <v>33.974358974358971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0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>
        <f>VLOOKUP(A83,'Données projet'!$A$165:$I$185,2,0)</f>
        <v>320</v>
      </c>
      <c r="DM83" s="13">
        <f>VLOOKUP(A83,'Données projet'!$A$165:$I$185,9,0)</f>
        <v>7.2</v>
      </c>
      <c r="DN83" s="13">
        <f t="array" ref="DN83">INDEX(DM:DM,MIN(IF(ISNUMBER(DM83:DM279),ROW(DM83:DM279),"")))</f>
        <v>7.2</v>
      </c>
      <c r="DO83" s="13">
        <f>IF('Données projet'!$A$166&gt;35,DO82+DN83-DW82,IF(A83&lt;'Données projet'!$A$166,$DL$205^A83,IF(A83='Données projet'!$A$166,'Données projet'!$B$166,DO82+DN83-DW82)))</f>
        <v>320</v>
      </c>
      <c r="DP83" s="18">
        <f>DO83*VLOOKUP('Données projet'!$B$14,Paramètres!$A$1:$I$89,3,0)*VLOOKUP('Données projet'!$B$14,Paramètres!$A$1:$I$89,5,0)</f>
        <v>309.50400000000002</v>
      </c>
      <c r="DQ83" s="14">
        <f t="shared" si="97"/>
        <v>73.165235978896504</v>
      </c>
      <c r="DR83" s="22">
        <f t="shared" si="70"/>
        <v>666.48225266324471</v>
      </c>
      <c r="DS83" s="62">
        <f t="shared" si="71"/>
        <v>937.21086430193077</v>
      </c>
      <c r="DT83" s="62">
        <f ca="1">AVERAGE(OFFSET($DS$3,0,0,'Données projet'!$E$14+1,1))-AVERAGE(OFFSET($H$3,0,0,'Données projet'!$E$14+1,1))</f>
        <v>603.52431522262032</v>
      </c>
      <c r="DU83" s="62">
        <f t="shared" si="98"/>
        <v>313.56299786481338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projet'!$B$14,Paramètres!$A$1:$I$89,3,0)*0.475*44/12</f>
        <v>0</v>
      </c>
      <c r="EB83" s="23">
        <f>EXP(-LN(2)/25)*EB82+(1-EXP(-LN(2)/25))/(LN(2)/25)*Calculateur!DW83*Calculateur!DY83*VLOOKUP('Données projet'!$B$14,Paramètres!$A$1:$I$89,3,0)*0.475*44/12</f>
        <v>0</v>
      </c>
      <c r="EC83" s="23">
        <f>EXP(-LN(2)/2)*EC82+(1-EXP(-LN(2)/2))/(LN(2)/2)*DW83*DZ83*VLOOKUP('Données projet'!$B$14,Paramètres!$A$1:$I$89,3,0)*0.475*44/12</f>
        <v>0</v>
      </c>
      <c r="ED83" s="24">
        <f t="shared" si="72"/>
        <v>0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-1.1368683772161603E-13</v>
      </c>
      <c r="EK83" s="18">
        <f>EJ83*VLOOKUP('Données projet'!$B$15,Paramètres!$A$1:$I$89,3,0)*VLOOKUP('Données projet'!$B$15,Paramètres!$A$1:$I$89,5,0)</f>
        <v>-9.2222762759774927E-14</v>
      </c>
      <c r="EL83" s="14" t="e">
        <f t="shared" si="99"/>
        <v>#NUM!</v>
      </c>
      <c r="EM83" s="22" t="e">
        <f t="shared" si="73"/>
        <v>#NUM!</v>
      </c>
      <c r="EN83" s="62" t="e">
        <f t="shared" si="74"/>
        <v>#NUM!</v>
      </c>
      <c r="EO83" s="62">
        <f ca="1">AVERAGE(OFFSET($EN$3,0,0,'Données projet'!$E$15+1,1))-AVERAGE(OFFSET($H$3,0,0,'Données projet'!$E$15+1,1))</f>
        <v>272.69564942740931</v>
      </c>
      <c r="EP83" s="62">
        <f t="shared" si="100"/>
        <v>316.57989180609252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>
        <f>EXP(-LN(2)/35)*EV82+(1-EXP(-LN(2)/35))/(LN(2)/35)*ER83*ES83*VLOOKUP('Données projet'!$B$15,Paramètres!$A$1:$I$89,3,0)*0.475*44/12</f>
        <v>0</v>
      </c>
      <c r="EW83" s="23">
        <f>EXP(-LN(2)/25)*EW82+(1-EXP(-LN(2)/25))/(LN(2)/25)*Calculateur!ER83*Calculateur!ET83*VLOOKUP('Données projet'!$B$15,Paramètres!$A$1:$I$89,3,0)*0.475*44/12</f>
        <v>0</v>
      </c>
      <c r="EX83" s="23">
        <f>EXP(-LN(2)/2)*EX82+(1-EXP(-LN(2)/2))/(LN(2)/2)*ER83*EU83*VLOOKUP('Données projet'!$B$15,Paramètres!$A$1:$I$89,3,0)*0.475*44/12</f>
        <v>0</v>
      </c>
      <c r="EY83" s="24">
        <f t="shared" si="75"/>
        <v>0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>
        <f>VLOOKUP(A83,'Données projet'!$A$217:$I$237,2,0)</f>
        <v>367.94871794871796</v>
      </c>
      <c r="FC83" s="13">
        <f>VLOOKUP(A83,'Données projet'!$A$217:$I$237,9,0)</f>
        <v>5.3846153846153921</v>
      </c>
      <c r="FD83" s="13">
        <f t="array" ref="FD83">INDEX(FC:FC,MIN(IF(ISNUMBER(FC83:FC279),ROW(FC83:FC279),"")))</f>
        <v>5.3846153846153921</v>
      </c>
      <c r="FE83" s="13">
        <f>IF('Données projet'!$A$218&gt;35,FE82+FD83-FM82,IF(A83&lt;'Données projet'!$A$218,$FB$205^A83,IF(A83='Données projet'!$A$218,'Données projet'!$B$218,FE82+FD83-FM82)))</f>
        <v>367.94871794871784</v>
      </c>
      <c r="FF83" s="18">
        <f>FE83*VLOOKUP('Données projet'!$B$16,Paramètres!$A$1:$I$89,3,0)*VLOOKUP('Données projet'!$B$16,Paramètres!$A$1:$I$89,5,0)</f>
        <v>246.81999999999994</v>
      </c>
      <c r="FG83" s="14">
        <f t="shared" si="101"/>
        <v>59.904485201637151</v>
      </c>
      <c r="FH83" s="22">
        <f t="shared" si="76"/>
        <v>534.21181172618469</v>
      </c>
      <c r="FI83" s="62">
        <f t="shared" si="77"/>
        <v>804.94042336487087</v>
      </c>
      <c r="FJ83" s="62">
        <f ca="1">AVERAGE(OFFSET($FI$3,0,0,'Données projet'!$E$16+1,1))-AVERAGE(OFFSET($H$3,0,0,'Données projet'!$E$16+1,1))</f>
        <v>440.90856392064205</v>
      </c>
      <c r="FK83" s="62">
        <f t="shared" si="102"/>
        <v>373.33139300970629</v>
      </c>
      <c r="FL83" s="16">
        <f>IF(ISNA(VLOOKUP(A83,'Données projet'!$A$217:$I$237,3,0)),0,VLOOKUP(A83,'Données projet'!$A$217:$I$237,3,0))</f>
        <v>7</v>
      </c>
      <c r="FM83" s="16">
        <f>IF(ISNA(VLOOKUP(A83,'Données projet'!$A$217:$I$237,4,0)),0,VLOOKUP(A83,'Données projet'!$A$217:$I$237,4,0))</f>
        <v>32.051282051282051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>
        <f>EXP(-LN(2)/35)*FQ82+(1-EXP(-LN(2)/35))/(LN(2)/35)*FM83*FN83*VLOOKUP('Données projet'!$B$16,Paramètres!$A$1:$I$89,3,0)*0.475*44/12</f>
        <v>0</v>
      </c>
      <c r="FR83" s="23">
        <f>EXP(-LN(2)/25)*FR82+(1-EXP(-LN(2)/25))/(LN(2)/25)*Calculateur!FM83*Calculateur!FO83*VLOOKUP('Données projet'!$B$16,Paramètres!$A$1:$I$89,3,0)*0.475*44/12</f>
        <v>0</v>
      </c>
      <c r="FS83" s="23">
        <f>EXP(-LN(2)/2)*FS82+(1-EXP(-LN(2)/2))/(LN(2)/2)*FM83*FP83*VLOOKUP('Données projet'!$B$16,Paramètres!$A$1:$I$89,3,0)*0.475*44/12</f>
        <v>0</v>
      </c>
      <c r="FT83" s="24">
        <f t="shared" si="78"/>
        <v>0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70">
        <f t="shared" si="56"/>
        <v>183.33333333333334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6.6</v>
      </c>
      <c r="N84" s="14">
        <f>IF('Données projet'!$A$36&gt;35,N83+M84-V83,IF(A84&lt;'Données projet'!$A$36,$K$205^A84,IF(A84='Données projet'!$A$36,'Données projet'!$B$36,N83+M84-V83)))</f>
        <v>326.60000000000002</v>
      </c>
      <c r="O84" s="14">
        <f>N84*VLOOKUP('Données projet'!$B$9,Paramètres!$A$1:$I$89,3,0)*VLOOKUP('Données projet'!$B$9,Paramètres!$A$1:$I$89,5,0)</f>
        <v>295.50767999999999</v>
      </c>
      <c r="P84" s="14">
        <f t="shared" si="87"/>
        <v>70.233875285761272</v>
      </c>
      <c r="Q84" s="22">
        <f t="shared" si="54"/>
        <v>636.99987545603415</v>
      </c>
      <c r="R84" s="62">
        <f t="shared" si="55"/>
        <v>908.12062847953553</v>
      </c>
      <c r="S84" s="62">
        <f ca="1">AVERAGE(OFFSET($R$3,0,0,'Données projet'!$E$9+1,1))-AVERAGE(OFFSET($H$3,0,0,'Données projet'!$E$9+1,1))</f>
        <v>570.08763950759544</v>
      </c>
      <c r="T84" s="62">
        <f t="shared" si="88"/>
        <v>297.32483725004136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-2.2737367544323206E-13</v>
      </c>
      <c r="AJ84" s="14">
        <f>AI84*VLOOKUP('Données projet'!$B$10,Paramètres!$A$1:$I$89,3,0)*VLOOKUP('Données projet'!$B$10,Paramètres!$A$1:$I$89,5,0)</f>
        <v>-1.8089849618263545E-13</v>
      </c>
      <c r="AK84" s="14" t="e">
        <f t="shared" si="89"/>
        <v>#NUM!</v>
      </c>
      <c r="AL84" s="22" t="e">
        <f t="shared" si="58"/>
        <v>#NUM!</v>
      </c>
      <c r="AM84" s="62" t="e">
        <f t="shared" si="59"/>
        <v>#NUM!</v>
      </c>
      <c r="AN84" s="62">
        <f ca="1">AVERAGE(OFFSET($AM$3,0,0,'Données projet'!$E$10+1,1))-AVERAGE(OFFSET($H$3,0,0,'Données projet'!$E$10+1,1))</f>
        <v>394.70330963327166</v>
      </c>
      <c r="AO84" s="62">
        <f t="shared" si="90"/>
        <v>424.06445894109982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-2.2737367544323206E-13</v>
      </c>
      <c r="BE84" s="14">
        <f>BD84*VLOOKUP('Données projet'!$B$11,Paramètres!$A$1:$I$89,3,0)*VLOOKUP('Données projet'!$B$11,Paramètres!$A$1:$I$89,5,0)</f>
        <v>-1.6671037883497774E-13</v>
      </c>
      <c r="BF84" s="14" t="e">
        <f t="shared" si="91"/>
        <v>#NUM!</v>
      </c>
      <c r="BG84" s="22" t="e">
        <f t="shared" si="61"/>
        <v>#NUM!</v>
      </c>
      <c r="BH84" s="62" t="e">
        <f t="shared" si="62"/>
        <v>#NUM!</v>
      </c>
      <c r="BI84" s="62">
        <f ca="1">AVERAGE(OFFSET($BH$3,0,0,'Données projet'!$E$11+1,1))-AVERAGE(OFFSET($H$3,0,0,'Données projet'!$E$11+1,1))</f>
        <v>368.54671978064204</v>
      </c>
      <c r="BJ84" s="62">
        <f t="shared" si="92"/>
        <v>395.83504504492237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5.6843418860808015E-14</v>
      </c>
      <c r="BZ84" s="14">
        <f>BY84*VLOOKUP('Données projet'!$B$12,Paramètres!$A$1:$I$89,3,0)*VLOOKUP('Données projet'!$B$12,Paramètres!$A$1:$I$89,5,0)</f>
        <v>4.4337866711430253E-14</v>
      </c>
      <c r="CA84" s="14">
        <f t="shared" si="93"/>
        <v>7.3222115536967035E-13</v>
      </c>
      <c r="CB84" s="22">
        <f t="shared" si="64"/>
        <v>1.3525069634579169E-12</v>
      </c>
      <c r="CC84" s="62">
        <f t="shared" si="65"/>
        <v>271.1207530235028</v>
      </c>
      <c r="CD84" s="62">
        <f ca="1">AVERAGE(OFFSET($CC$3,0,0,'Données projet'!$E$12+1,1))-AVERAGE(OFFSET($H$3,0,0,'Données projet'!$E$12+1,1))</f>
        <v>309.21625451786218</v>
      </c>
      <c r="CE84" s="62">
        <f t="shared" si="94"/>
        <v>302.59481222418219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4.6153846153846132</v>
      </c>
      <c r="CT84" s="13">
        <f>IF('Données projet'!$A$140&gt;35,CT83+CS84-DB83,IF(A84&lt;'Données projet'!$A$140,$CQ$205^A84,IF(A84='Données projet'!$A$140,'Données projet'!$B$140,CT83+CS84-DB83)))</f>
        <v>256.53846153846149</v>
      </c>
      <c r="CU84" s="18">
        <f>CT84*VLOOKUP('Données projet'!$B$13,Paramètres!$A$1:$I$89,3,0)*VLOOKUP('Données projet'!$B$13,Paramètres!$A$1:$I$89,5,0)</f>
        <v>244.12199999999996</v>
      </c>
      <c r="CV84" s="14">
        <f t="shared" si="95"/>
        <v>59.32551797678866</v>
      </c>
      <c r="CW84" s="22">
        <f t="shared" si="67"/>
        <v>528.50442714290682</v>
      </c>
      <c r="CX84" s="62">
        <f t="shared" si="68"/>
        <v>799.6251801664082</v>
      </c>
      <c r="CY84" s="62">
        <f ca="1">AVERAGE(OFFSET($CX$3,0,0,'Données projet'!$E$13+1,1))-AVERAGE(OFFSET($H$3,0,0,'Données projet'!$E$13+1,1))</f>
        <v>491.87038198656927</v>
      </c>
      <c r="CZ84" s="62">
        <f t="shared" si="96"/>
        <v>406.49261644949559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0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6.6</v>
      </c>
      <c r="DO84" s="13">
        <f>IF('Données projet'!$A$166&gt;35,DO83+DN84-DW83,IF(A84&lt;'Données projet'!$A$166,$DL$205^A84,IF(A84='Données projet'!$A$166,'Données projet'!$B$166,DO83+DN84-DW83)))</f>
        <v>326.60000000000002</v>
      </c>
      <c r="DP84" s="18">
        <f>DO84*VLOOKUP('Données projet'!$B$14,Paramètres!$A$1:$I$89,3,0)*VLOOKUP('Données projet'!$B$14,Paramètres!$A$1:$I$89,5,0)</f>
        <v>315.88752000000005</v>
      </c>
      <c r="DQ84" s="14">
        <f t="shared" si="97"/>
        <v>74.497029125126971</v>
      </c>
      <c r="DR84" s="22">
        <f t="shared" si="70"/>
        <v>679.91975639292957</v>
      </c>
      <c r="DS84" s="62">
        <f t="shared" si="71"/>
        <v>951.04050941643095</v>
      </c>
      <c r="DT84" s="62">
        <f ca="1">AVERAGE(OFFSET($DS$3,0,0,'Données projet'!$E$14+1,1))-AVERAGE(OFFSET($H$3,0,0,'Données projet'!$E$14+1,1))</f>
        <v>603.52431522262032</v>
      </c>
      <c r="DU84" s="62">
        <f t="shared" si="98"/>
        <v>313.56299786481338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projet'!$B$14,Paramètres!$A$1:$I$89,3,0)*0.475*44/12</f>
        <v>0</v>
      </c>
      <c r="EB84" s="23">
        <f>EXP(-LN(2)/25)*EB83+(1-EXP(-LN(2)/25))/(LN(2)/25)*Calculateur!DW84*Calculateur!DY84*VLOOKUP('Données projet'!$B$14,Paramètres!$A$1:$I$89,3,0)*0.475*44/12</f>
        <v>0</v>
      </c>
      <c r="EC84" s="23">
        <f>EXP(-LN(2)/2)*EC83+(1-EXP(-LN(2)/2))/(LN(2)/2)*DW84*DZ84*VLOOKUP('Données projet'!$B$14,Paramètres!$A$1:$I$89,3,0)*0.475*44/12</f>
        <v>0</v>
      </c>
      <c r="ED84" s="24">
        <f t="shared" si="72"/>
        <v>0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-1.1368683772161603E-13</v>
      </c>
      <c r="EK84" s="18">
        <f>EJ84*VLOOKUP('Données projet'!$B$15,Paramètres!$A$1:$I$89,3,0)*VLOOKUP('Données projet'!$B$15,Paramètres!$A$1:$I$89,5,0)</f>
        <v>-9.2222762759774927E-14</v>
      </c>
      <c r="EL84" s="14" t="e">
        <f t="shared" si="99"/>
        <v>#NUM!</v>
      </c>
      <c r="EM84" s="22" t="e">
        <f t="shared" si="73"/>
        <v>#NUM!</v>
      </c>
      <c r="EN84" s="62" t="e">
        <f t="shared" si="74"/>
        <v>#NUM!</v>
      </c>
      <c r="EO84" s="62">
        <f ca="1">AVERAGE(OFFSET($EN$3,0,0,'Données projet'!$E$15+1,1))-AVERAGE(OFFSET($H$3,0,0,'Données projet'!$E$15+1,1))</f>
        <v>272.69564942740931</v>
      </c>
      <c r="EP84" s="62">
        <f t="shared" si="100"/>
        <v>316.57989180609252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>
        <f>EXP(-LN(2)/35)*EV83+(1-EXP(-LN(2)/35))/(LN(2)/35)*ER84*ES84*VLOOKUP('Données projet'!$B$15,Paramètres!$A$1:$I$89,3,0)*0.475*44/12</f>
        <v>0</v>
      </c>
      <c r="EW84" s="23">
        <f>EXP(-LN(2)/25)*EW83+(1-EXP(-LN(2)/25))/(LN(2)/25)*Calculateur!ER84*Calculateur!ET84*VLOOKUP('Données projet'!$B$15,Paramètres!$A$1:$I$89,3,0)*0.475*44/12</f>
        <v>0</v>
      </c>
      <c r="EX84" s="23">
        <f>EXP(-LN(2)/2)*EX83+(1-EXP(-LN(2)/2))/(LN(2)/2)*ER84*EU84*VLOOKUP('Données projet'!$B$15,Paramètres!$A$1:$I$89,3,0)*0.475*44/12</f>
        <v>0</v>
      </c>
      <c r="EY84" s="24">
        <f t="shared" si="75"/>
        <v>0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4.8717948717948616</v>
      </c>
      <c r="FE84" s="13">
        <f>IF('Données projet'!$A$218&gt;35,FE83+FD84-FM83,IF(A84&lt;'Données projet'!$A$218,$FB$205^A84,IF(A84='Données projet'!$A$218,'Données projet'!$B$218,FE83+FD84-FM83)))</f>
        <v>340.76923076923066</v>
      </c>
      <c r="FF84" s="18">
        <f>FE84*VLOOKUP('Données projet'!$B$16,Paramètres!$A$1:$I$89,3,0)*VLOOKUP('Données projet'!$B$16,Paramètres!$A$1:$I$89,5,0)</f>
        <v>228.58799999999994</v>
      </c>
      <c r="FG84" s="14">
        <f t="shared" si="101"/>
        <v>55.977264783006554</v>
      </c>
      <c r="FH84" s="22">
        <f t="shared" si="76"/>
        <v>495.61783616373629</v>
      </c>
      <c r="FI84" s="62">
        <f t="shared" si="77"/>
        <v>766.73858918723772</v>
      </c>
      <c r="FJ84" s="62">
        <f ca="1">AVERAGE(OFFSET($FI$3,0,0,'Données projet'!$E$16+1,1))-AVERAGE(OFFSET($H$3,0,0,'Données projet'!$E$16+1,1))</f>
        <v>440.90856392064205</v>
      </c>
      <c r="FK84" s="62">
        <f t="shared" si="102"/>
        <v>373.33139300970629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>
        <f>EXP(-LN(2)/35)*FQ83+(1-EXP(-LN(2)/35))/(LN(2)/35)*FM84*FN84*VLOOKUP('Données projet'!$B$16,Paramètres!$A$1:$I$89,3,0)*0.475*44/12</f>
        <v>0</v>
      </c>
      <c r="FR84" s="23">
        <f>EXP(-LN(2)/25)*FR83+(1-EXP(-LN(2)/25))/(LN(2)/25)*Calculateur!FM84*Calculateur!FO84*VLOOKUP('Données projet'!$B$16,Paramètres!$A$1:$I$89,3,0)*0.475*44/12</f>
        <v>0</v>
      </c>
      <c r="FS84" s="23">
        <f>EXP(-LN(2)/2)*FS83+(1-EXP(-LN(2)/2))/(LN(2)/2)*FM84*FP84*VLOOKUP('Données projet'!$B$16,Paramètres!$A$1:$I$89,3,0)*0.475*44/12</f>
        <v>0</v>
      </c>
      <c r="FT84" s="24">
        <f t="shared" si="78"/>
        <v>0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70">
        <f t="shared" si="56"/>
        <v>183.33333333333334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6.6</v>
      </c>
      <c r="N85" s="14">
        <f>IF('Données projet'!$A$36&gt;35,N84+M85-V84,IF(A85&lt;'Données projet'!$A$36,$K$205^A85,IF(A85='Données projet'!$A$36,'Données projet'!$B$36,N84+M85-V84)))</f>
        <v>333.20000000000005</v>
      </c>
      <c r="O85" s="14">
        <f>N85*VLOOKUP('Données projet'!$B$9,Paramètres!$A$1:$I$89,3,0)*VLOOKUP('Données projet'!$B$9,Paramètres!$A$1:$I$89,5,0)</f>
        <v>301.47935999999999</v>
      </c>
      <c r="P85" s="14">
        <f t="shared" si="87"/>
        <v>71.486505311225272</v>
      </c>
      <c r="Q85" s="22">
        <f t="shared" si="54"/>
        <v>649.58221541705063</v>
      </c>
      <c r="R85" s="62">
        <f t="shared" si="55"/>
        <v>921.08830704903767</v>
      </c>
      <c r="S85" s="62">
        <f ca="1">AVERAGE(OFFSET($R$3,0,0,'Données projet'!$E$9+1,1))-AVERAGE(OFFSET($H$3,0,0,'Données projet'!$E$9+1,1))</f>
        <v>570.08763950759544</v>
      </c>
      <c r="T85" s="62">
        <f t="shared" si="88"/>
        <v>297.32483725004136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-2.2737367544323206E-13</v>
      </c>
      <c r="AJ85" s="14">
        <f>AI85*VLOOKUP('Données projet'!$B$10,Paramètres!$A$1:$I$89,3,0)*VLOOKUP('Données projet'!$B$10,Paramètres!$A$1:$I$89,5,0)</f>
        <v>-1.8089849618263545E-13</v>
      </c>
      <c r="AK85" s="14" t="e">
        <f t="shared" si="89"/>
        <v>#NUM!</v>
      </c>
      <c r="AL85" s="22" t="e">
        <f t="shared" si="58"/>
        <v>#NUM!</v>
      </c>
      <c r="AM85" s="62" t="e">
        <f t="shared" si="59"/>
        <v>#NUM!</v>
      </c>
      <c r="AN85" s="62">
        <f ca="1">AVERAGE(OFFSET($AM$3,0,0,'Données projet'!$E$10+1,1))-AVERAGE(OFFSET($H$3,0,0,'Données projet'!$E$10+1,1))</f>
        <v>394.70330963327166</v>
      </c>
      <c r="AO85" s="62">
        <f t="shared" si="90"/>
        <v>424.06445894109982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-2.2737367544323206E-13</v>
      </c>
      <c r="BE85" s="14">
        <f>BD85*VLOOKUP('Données projet'!$B$11,Paramètres!$A$1:$I$89,3,0)*VLOOKUP('Données projet'!$B$11,Paramètres!$A$1:$I$89,5,0)</f>
        <v>-1.6671037883497774E-13</v>
      </c>
      <c r="BF85" s="14" t="e">
        <f t="shared" si="91"/>
        <v>#NUM!</v>
      </c>
      <c r="BG85" s="22" t="e">
        <f t="shared" si="61"/>
        <v>#NUM!</v>
      </c>
      <c r="BH85" s="62" t="e">
        <f t="shared" si="62"/>
        <v>#NUM!</v>
      </c>
      <c r="BI85" s="62">
        <f ca="1">AVERAGE(OFFSET($BH$3,0,0,'Données projet'!$E$11+1,1))-AVERAGE(OFFSET($H$3,0,0,'Données projet'!$E$11+1,1))</f>
        <v>368.54671978064204</v>
      </c>
      <c r="BJ85" s="62">
        <f t="shared" si="92"/>
        <v>395.83504504492237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5.6843418860808015E-14</v>
      </c>
      <c r="BZ85" s="14">
        <f>BY85*VLOOKUP('Données projet'!$B$12,Paramètres!$A$1:$I$89,3,0)*VLOOKUP('Données projet'!$B$12,Paramètres!$A$1:$I$89,5,0)</f>
        <v>4.4337866711430253E-14</v>
      </c>
      <c r="CA85" s="14">
        <f t="shared" si="93"/>
        <v>7.3222115536967035E-13</v>
      </c>
      <c r="CB85" s="22">
        <f t="shared" si="64"/>
        <v>1.3525069634579169E-12</v>
      </c>
      <c r="CC85" s="62">
        <f t="shared" si="65"/>
        <v>271.5060916319884</v>
      </c>
      <c r="CD85" s="62">
        <f ca="1">AVERAGE(OFFSET($CC$3,0,0,'Données projet'!$E$12+1,1))-AVERAGE(OFFSET($H$3,0,0,'Données projet'!$E$12+1,1))</f>
        <v>309.21625451786218</v>
      </c>
      <c r="CE85" s="62">
        <f t="shared" si="94"/>
        <v>302.59481222418219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4.6153846153846132</v>
      </c>
      <c r="CT85" s="13">
        <f>IF('Données projet'!$A$140&gt;35,CT84+CS85-DB84,IF(A85&lt;'Données projet'!$A$140,$CQ$205^A85,IF(A85='Données projet'!$A$140,'Données projet'!$B$140,CT84+CS85-DB84)))</f>
        <v>261.15384615384608</v>
      </c>
      <c r="CU85" s="18">
        <f>CT85*VLOOKUP('Données projet'!$B$13,Paramètres!$A$1:$I$89,3,0)*VLOOKUP('Données projet'!$B$13,Paramètres!$A$1:$I$89,5,0)</f>
        <v>248.51399999999992</v>
      </c>
      <c r="CV85" s="14">
        <f t="shared" si="95"/>
        <v>60.267625993420467</v>
      </c>
      <c r="CW85" s="22">
        <f t="shared" si="67"/>
        <v>537.79466527187378</v>
      </c>
      <c r="CX85" s="62">
        <f t="shared" si="68"/>
        <v>809.30075690386082</v>
      </c>
      <c r="CY85" s="62">
        <f ca="1">AVERAGE(OFFSET($CX$3,0,0,'Données projet'!$E$13+1,1))-AVERAGE(OFFSET($H$3,0,0,'Données projet'!$E$13+1,1))</f>
        <v>491.87038198656927</v>
      </c>
      <c r="CZ85" s="62">
        <f t="shared" si="96"/>
        <v>406.49261644949559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0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6.6</v>
      </c>
      <c r="DO85" s="13">
        <f>IF('Données projet'!$A$166&gt;35,DO84+DN85-DW84,IF(A85&lt;'Données projet'!$A$166,$DL$205^A85,IF(A85='Données projet'!$A$166,'Données projet'!$B$166,DO84+DN85-DW84)))</f>
        <v>333.20000000000005</v>
      </c>
      <c r="DP85" s="18">
        <f>DO85*VLOOKUP('Données projet'!$B$14,Paramètres!$A$1:$I$89,3,0)*VLOOKUP('Données projet'!$B$14,Paramètres!$A$1:$I$89,5,0)</f>
        <v>322.27104000000008</v>
      </c>
      <c r="DQ85" s="14">
        <f t="shared" si="97"/>
        <v>75.825693037097167</v>
      </c>
      <c r="DR85" s="22">
        <f t="shared" si="70"/>
        <v>693.35181003961088</v>
      </c>
      <c r="DS85" s="62">
        <f t="shared" si="71"/>
        <v>964.85790167159792</v>
      </c>
      <c r="DT85" s="62">
        <f ca="1">AVERAGE(OFFSET($DS$3,0,0,'Données projet'!$E$14+1,1))-AVERAGE(OFFSET($H$3,0,0,'Données projet'!$E$14+1,1))</f>
        <v>603.52431522262032</v>
      </c>
      <c r="DU85" s="62">
        <f t="shared" si="98"/>
        <v>313.56299786481338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projet'!$B$14,Paramètres!$A$1:$I$89,3,0)*0.475*44/12</f>
        <v>0</v>
      </c>
      <c r="EB85" s="23">
        <f>EXP(-LN(2)/25)*EB84+(1-EXP(-LN(2)/25))/(LN(2)/25)*Calculateur!DW85*Calculateur!DY85*VLOOKUP('Données projet'!$B$14,Paramètres!$A$1:$I$89,3,0)*0.475*44/12</f>
        <v>0</v>
      </c>
      <c r="EC85" s="23">
        <f>EXP(-LN(2)/2)*EC84+(1-EXP(-LN(2)/2))/(LN(2)/2)*DW85*DZ85*VLOOKUP('Données projet'!$B$14,Paramètres!$A$1:$I$89,3,0)*0.475*44/12</f>
        <v>0</v>
      </c>
      <c r="ED85" s="24">
        <f t="shared" si="72"/>
        <v>0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-1.1368683772161603E-13</v>
      </c>
      <c r="EK85" s="18">
        <f>EJ85*VLOOKUP('Données projet'!$B$15,Paramètres!$A$1:$I$89,3,0)*VLOOKUP('Données projet'!$B$15,Paramètres!$A$1:$I$89,5,0)</f>
        <v>-9.2222762759774927E-14</v>
      </c>
      <c r="EL85" s="14" t="e">
        <f t="shared" si="99"/>
        <v>#NUM!</v>
      </c>
      <c r="EM85" s="22" t="e">
        <f t="shared" si="73"/>
        <v>#NUM!</v>
      </c>
      <c r="EN85" s="62" t="e">
        <f t="shared" si="74"/>
        <v>#NUM!</v>
      </c>
      <c r="EO85" s="62">
        <f ca="1">AVERAGE(OFFSET($EN$3,0,0,'Données projet'!$E$15+1,1))-AVERAGE(OFFSET($H$3,0,0,'Données projet'!$E$15+1,1))</f>
        <v>272.69564942740931</v>
      </c>
      <c r="EP85" s="62">
        <f t="shared" si="100"/>
        <v>316.57989180609252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>
        <f>EXP(-LN(2)/35)*EV84+(1-EXP(-LN(2)/35))/(LN(2)/35)*ER85*ES85*VLOOKUP('Données projet'!$B$15,Paramètres!$A$1:$I$89,3,0)*0.475*44/12</f>
        <v>0</v>
      </c>
      <c r="EW85" s="23">
        <f>EXP(-LN(2)/25)*EW84+(1-EXP(-LN(2)/25))/(LN(2)/25)*Calculateur!ER85*Calculateur!ET85*VLOOKUP('Données projet'!$B$15,Paramètres!$A$1:$I$89,3,0)*0.475*44/12</f>
        <v>0</v>
      </c>
      <c r="EX85" s="23">
        <f>EXP(-LN(2)/2)*EX84+(1-EXP(-LN(2)/2))/(LN(2)/2)*ER85*EU85*VLOOKUP('Données projet'!$B$15,Paramètres!$A$1:$I$89,3,0)*0.475*44/12</f>
        <v>0</v>
      </c>
      <c r="EY85" s="24">
        <f t="shared" si="75"/>
        <v>0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4.8717948717948616</v>
      </c>
      <c r="FE85" s="13">
        <f>IF('Données projet'!$A$218&gt;35,FE84+FD85-FM84,IF(A85&lt;'Données projet'!$A$218,$FB$205^A85,IF(A85='Données projet'!$A$218,'Données projet'!$B$218,FE84+FD85-FM84)))</f>
        <v>345.64102564102552</v>
      </c>
      <c r="FF85" s="18">
        <f>FE85*VLOOKUP('Données projet'!$B$16,Paramètres!$A$1:$I$89,3,0)*VLOOKUP('Données projet'!$B$16,Paramètres!$A$1:$I$89,5,0)</f>
        <v>231.85599999999991</v>
      </c>
      <c r="FG85" s="14">
        <f t="shared" si="101"/>
        <v>56.683804213009068</v>
      </c>
      <c r="FH85" s="22">
        <f t="shared" si="76"/>
        <v>502.54015900432404</v>
      </c>
      <c r="FI85" s="62">
        <f t="shared" si="77"/>
        <v>774.04625063631102</v>
      </c>
      <c r="FJ85" s="62">
        <f ca="1">AVERAGE(OFFSET($FI$3,0,0,'Données projet'!$E$16+1,1))-AVERAGE(OFFSET($H$3,0,0,'Données projet'!$E$16+1,1))</f>
        <v>440.90856392064205</v>
      </c>
      <c r="FK85" s="62">
        <f t="shared" si="102"/>
        <v>373.33139300970629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>
        <f>EXP(-LN(2)/35)*FQ84+(1-EXP(-LN(2)/35))/(LN(2)/35)*FM85*FN85*VLOOKUP('Données projet'!$B$16,Paramètres!$A$1:$I$89,3,0)*0.475*44/12</f>
        <v>0</v>
      </c>
      <c r="FR85" s="23">
        <f>EXP(-LN(2)/25)*FR84+(1-EXP(-LN(2)/25))/(LN(2)/25)*Calculateur!FM85*Calculateur!FO85*VLOOKUP('Données projet'!$B$16,Paramètres!$A$1:$I$89,3,0)*0.475*44/12</f>
        <v>0</v>
      </c>
      <c r="FS85" s="23">
        <f>EXP(-LN(2)/2)*FS84+(1-EXP(-LN(2)/2))/(LN(2)/2)*FM85*FP85*VLOOKUP('Données projet'!$B$16,Paramètres!$A$1:$I$89,3,0)*0.475*44/12</f>
        <v>0</v>
      </c>
      <c r="FT85" s="24">
        <f t="shared" si="78"/>
        <v>0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70">
        <f t="shared" si="56"/>
        <v>183.33333333333334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6.6</v>
      </c>
      <c r="N86" s="14">
        <f>IF('Données projet'!$A$36&gt;35,N85+M86-V85,IF(A86&lt;'Données projet'!$A$36,$K$205^A86,IF(A86='Données projet'!$A$36,'Données projet'!$B$36,N85+M86-V85)))</f>
        <v>339.80000000000007</v>
      </c>
      <c r="O86" s="14">
        <f>N86*VLOOKUP('Données projet'!$B$9,Paramètres!$A$1:$I$89,3,0)*VLOOKUP('Données projet'!$B$9,Paramètres!$A$1:$I$89,5,0)</f>
        <v>307.45104000000003</v>
      </c>
      <c r="P86" s="14">
        <f t="shared" si="87"/>
        <v>72.736250347470119</v>
      </c>
      <c r="Q86" s="22">
        <f t="shared" si="54"/>
        <v>662.15953068851047</v>
      </c>
      <c r="R86" s="62">
        <f t="shared" si="55"/>
        <v>934.04427616561395</v>
      </c>
      <c r="S86" s="62">
        <f ca="1">AVERAGE(OFFSET($R$3,0,0,'Données projet'!$E$9+1,1))-AVERAGE(OFFSET($H$3,0,0,'Données projet'!$E$9+1,1))</f>
        <v>570.08763950759544</v>
      </c>
      <c r="T86" s="62">
        <f t="shared" si="88"/>
        <v>297.32483725004136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-2.2737367544323206E-13</v>
      </c>
      <c r="AJ86" s="14">
        <f>AI86*VLOOKUP('Données projet'!$B$10,Paramètres!$A$1:$I$89,3,0)*VLOOKUP('Données projet'!$B$10,Paramètres!$A$1:$I$89,5,0)</f>
        <v>-1.8089849618263545E-13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394.70330963327166</v>
      </c>
      <c r="AO86" s="62">
        <f t="shared" si="90"/>
        <v>424.06445894109982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-2.2737367544323206E-13</v>
      </c>
      <c r="BE86" s="14">
        <f>BD86*VLOOKUP('Données projet'!$B$11,Paramètres!$A$1:$I$89,3,0)*VLOOKUP('Données projet'!$B$11,Paramètres!$A$1:$I$89,5,0)</f>
        <v>-1.6671037883497774E-13</v>
      </c>
      <c r="BF86" s="14" t="e">
        <f t="shared" si="91"/>
        <v>#NUM!</v>
      </c>
      <c r="BG86" s="22" t="e">
        <f t="shared" si="61"/>
        <v>#NUM!</v>
      </c>
      <c r="BH86" s="62" t="e">
        <f t="shared" si="62"/>
        <v>#NUM!</v>
      </c>
      <c r="BI86" s="62">
        <f ca="1">AVERAGE(OFFSET($BH$3,0,0,'Données projet'!$E$11+1,1))-AVERAGE(OFFSET($H$3,0,0,'Données projet'!$E$11+1,1))</f>
        <v>368.54671978064204</v>
      </c>
      <c r="BJ86" s="62">
        <f t="shared" si="92"/>
        <v>395.83504504492237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5.6843418860808015E-14</v>
      </c>
      <c r="BZ86" s="14">
        <f>BY86*VLOOKUP('Données projet'!$B$12,Paramètres!$A$1:$I$89,3,0)*VLOOKUP('Données projet'!$B$12,Paramètres!$A$1:$I$89,5,0)</f>
        <v>4.4337866711430253E-14</v>
      </c>
      <c r="CA86" s="14">
        <f t="shared" si="93"/>
        <v>7.3222115536967035E-13</v>
      </c>
      <c r="CB86" s="22">
        <f t="shared" si="64"/>
        <v>1.3525069634579169E-12</v>
      </c>
      <c r="CC86" s="62">
        <f t="shared" si="65"/>
        <v>271.88474547710484</v>
      </c>
      <c r="CD86" s="62">
        <f ca="1">AVERAGE(OFFSET($CC$3,0,0,'Données projet'!$E$12+1,1))-AVERAGE(OFFSET($H$3,0,0,'Données projet'!$E$12+1,1))</f>
        <v>309.21625451786218</v>
      </c>
      <c r="CE86" s="62">
        <f t="shared" si="94"/>
        <v>302.59481222418219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4.6153846153846132</v>
      </c>
      <c r="CT86" s="13">
        <f>IF('Données projet'!$A$140&gt;35,CT85+CS86-DB85,IF(A86&lt;'Données projet'!$A$140,$CQ$205^A86,IF(A86='Données projet'!$A$140,'Données projet'!$B$140,CT85+CS86-DB85)))</f>
        <v>265.76923076923072</v>
      </c>
      <c r="CU86" s="18">
        <f>CT86*VLOOKUP('Données projet'!$B$13,Paramètres!$A$1:$I$89,3,0)*VLOOKUP('Données projet'!$B$13,Paramètres!$A$1:$I$89,5,0)</f>
        <v>252.90599999999995</v>
      </c>
      <c r="CV86" s="14">
        <f t="shared" si="95"/>
        <v>61.207797844779009</v>
      </c>
      <c r="CW86" s="22">
        <f t="shared" si="67"/>
        <v>547.08153124632327</v>
      </c>
      <c r="CX86" s="62">
        <f t="shared" si="68"/>
        <v>818.96627672342674</v>
      </c>
      <c r="CY86" s="62">
        <f ca="1">AVERAGE(OFFSET($CX$3,0,0,'Données projet'!$E$13+1,1))-AVERAGE(OFFSET($H$3,0,0,'Données projet'!$E$13+1,1))</f>
        <v>491.87038198656927</v>
      </c>
      <c r="CZ86" s="62">
        <f t="shared" si="96"/>
        <v>406.49261644949559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0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6.6</v>
      </c>
      <c r="DO86" s="13">
        <f>IF('Données projet'!$A$166&gt;35,DO85+DN86-DW85,IF(A86&lt;'Données projet'!$A$166,$DL$205^A86,IF(A86='Données projet'!$A$166,'Données projet'!$B$166,DO85+DN86-DW85)))</f>
        <v>339.80000000000007</v>
      </c>
      <c r="DP86" s="18">
        <f>DO86*VLOOKUP('Données projet'!$B$14,Paramètres!$A$1:$I$89,3,0)*VLOOKUP('Données projet'!$B$14,Paramètres!$A$1:$I$89,5,0)</f>
        <v>328.65456000000006</v>
      </c>
      <c r="DQ86" s="14">
        <f t="shared" si="97"/>
        <v>77.151296842743776</v>
      </c>
      <c r="DR86" s="22">
        <f t="shared" si="70"/>
        <v>706.77853400111223</v>
      </c>
      <c r="DS86" s="62">
        <f t="shared" si="71"/>
        <v>978.66327947821571</v>
      </c>
      <c r="DT86" s="62">
        <f ca="1">AVERAGE(OFFSET($DS$3,0,0,'Données projet'!$E$14+1,1))-AVERAGE(OFFSET($H$3,0,0,'Données projet'!$E$14+1,1))</f>
        <v>603.52431522262032</v>
      </c>
      <c r="DU86" s="62">
        <f t="shared" si="98"/>
        <v>313.56299786481338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projet'!$B$14,Paramètres!$A$1:$I$89,3,0)*0.475*44/12</f>
        <v>0</v>
      </c>
      <c r="EB86" s="23">
        <f>EXP(-LN(2)/25)*EB85+(1-EXP(-LN(2)/25))/(LN(2)/25)*Calculateur!DW86*Calculateur!DY86*VLOOKUP('Données projet'!$B$14,Paramètres!$A$1:$I$89,3,0)*0.475*44/12</f>
        <v>0</v>
      </c>
      <c r="EC86" s="23">
        <f>EXP(-LN(2)/2)*EC85+(1-EXP(-LN(2)/2))/(LN(2)/2)*DW86*DZ86*VLOOKUP('Données projet'!$B$14,Paramètres!$A$1:$I$89,3,0)*0.475*44/12</f>
        <v>0</v>
      </c>
      <c r="ED86" s="24">
        <f t="shared" si="72"/>
        <v>0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-1.1368683772161603E-13</v>
      </c>
      <c r="EK86" s="18">
        <f>EJ86*VLOOKUP('Données projet'!$B$15,Paramètres!$A$1:$I$89,3,0)*VLOOKUP('Données projet'!$B$15,Paramètres!$A$1:$I$89,5,0)</f>
        <v>-9.2222762759774927E-14</v>
      </c>
      <c r="EL86" s="14" t="e">
        <f t="shared" si="99"/>
        <v>#NUM!</v>
      </c>
      <c r="EM86" s="22" t="e">
        <f t="shared" si="73"/>
        <v>#NUM!</v>
      </c>
      <c r="EN86" s="62" t="e">
        <f t="shared" si="74"/>
        <v>#NUM!</v>
      </c>
      <c r="EO86" s="62">
        <f ca="1">AVERAGE(OFFSET($EN$3,0,0,'Données projet'!$E$15+1,1))-AVERAGE(OFFSET($H$3,0,0,'Données projet'!$E$15+1,1))</f>
        <v>272.69564942740931</v>
      </c>
      <c r="EP86" s="62">
        <f t="shared" si="100"/>
        <v>316.57989180609252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>
        <f>EXP(-LN(2)/35)*EV85+(1-EXP(-LN(2)/35))/(LN(2)/35)*ER86*ES86*VLOOKUP('Données projet'!$B$15,Paramètres!$A$1:$I$89,3,0)*0.475*44/12</f>
        <v>0</v>
      </c>
      <c r="EW86" s="23">
        <f>EXP(-LN(2)/25)*EW85+(1-EXP(-LN(2)/25))/(LN(2)/25)*Calculateur!ER86*Calculateur!ET86*VLOOKUP('Données projet'!$B$15,Paramètres!$A$1:$I$89,3,0)*0.475*44/12</f>
        <v>0</v>
      </c>
      <c r="EX86" s="23">
        <f>EXP(-LN(2)/2)*EX85+(1-EXP(-LN(2)/2))/(LN(2)/2)*ER86*EU86*VLOOKUP('Données projet'!$B$15,Paramètres!$A$1:$I$89,3,0)*0.475*44/12</f>
        <v>0</v>
      </c>
      <c r="EY86" s="24">
        <f t="shared" si="75"/>
        <v>0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4.8717948717948616</v>
      </c>
      <c r="FE86" s="13">
        <f>IF('Données projet'!$A$218&gt;35,FE85+FD86-FM85,IF(A86&lt;'Données projet'!$A$218,$FB$205^A86,IF(A86='Données projet'!$A$218,'Données projet'!$B$218,FE85+FD86-FM85)))</f>
        <v>350.51282051282038</v>
      </c>
      <c r="FF86" s="18">
        <f>FE86*VLOOKUP('Données projet'!$B$16,Paramètres!$A$1:$I$89,3,0)*VLOOKUP('Données projet'!$B$16,Paramètres!$A$1:$I$89,5,0)</f>
        <v>235.12399999999991</v>
      </c>
      <c r="FG86" s="14">
        <f t="shared" si="101"/>
        <v>57.389185366942129</v>
      </c>
      <c r="FH86" s="22">
        <f t="shared" si="76"/>
        <v>509.46046451409057</v>
      </c>
      <c r="FI86" s="62">
        <f t="shared" si="77"/>
        <v>781.345209991194</v>
      </c>
      <c r="FJ86" s="62">
        <f ca="1">AVERAGE(OFFSET($FI$3,0,0,'Données projet'!$E$16+1,1))-AVERAGE(OFFSET($H$3,0,0,'Données projet'!$E$16+1,1))</f>
        <v>440.90856392064205</v>
      </c>
      <c r="FK86" s="62">
        <f t="shared" si="102"/>
        <v>373.33139300970629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>
        <f>EXP(-LN(2)/35)*FQ85+(1-EXP(-LN(2)/35))/(LN(2)/35)*FM86*FN86*VLOOKUP('Données projet'!$B$16,Paramètres!$A$1:$I$89,3,0)*0.475*44/12</f>
        <v>0</v>
      </c>
      <c r="FR86" s="23">
        <f>EXP(-LN(2)/25)*FR85+(1-EXP(-LN(2)/25))/(LN(2)/25)*Calculateur!FM86*Calculateur!FO86*VLOOKUP('Données projet'!$B$16,Paramètres!$A$1:$I$89,3,0)*0.475*44/12</f>
        <v>0</v>
      </c>
      <c r="FS86" s="23">
        <f>EXP(-LN(2)/2)*FS85+(1-EXP(-LN(2)/2))/(LN(2)/2)*FM86*FP86*VLOOKUP('Données projet'!$B$16,Paramètres!$A$1:$I$89,3,0)*0.475*44/12</f>
        <v>0</v>
      </c>
      <c r="FT86" s="24">
        <f t="shared" si="78"/>
        <v>0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70">
        <f t="shared" si="56"/>
        <v>183.33333333333334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6.6</v>
      </c>
      <c r="N87" s="14">
        <f>IF('Données projet'!$A$36&gt;35,N86+M87-V86,IF(A87&lt;'Données projet'!$A$36,$K$205^A87,IF(A87='Données projet'!$A$36,'Données projet'!$B$36,N86+M87-V86)))</f>
        <v>346.40000000000009</v>
      </c>
      <c r="O87" s="14">
        <f>N87*VLOOKUP('Données projet'!$B$9,Paramètres!$A$1:$I$89,3,0)*VLOOKUP('Données projet'!$B$9,Paramètres!$A$1:$I$89,5,0)</f>
        <v>313.42272000000008</v>
      </c>
      <c r="P87" s="14">
        <f t="shared" si="87"/>
        <v>73.983172890008831</v>
      </c>
      <c r="Q87" s="22">
        <f t="shared" si="54"/>
        <v>674.73193011676551</v>
      </c>
      <c r="R87" s="62">
        <f t="shared" si="55"/>
        <v>946.98876064131582</v>
      </c>
      <c r="S87" s="62">
        <f ca="1">AVERAGE(OFFSET($R$3,0,0,'Données projet'!$E$9+1,1))-AVERAGE(OFFSET($H$3,0,0,'Données projet'!$E$9+1,1))</f>
        <v>570.08763950759544</v>
      </c>
      <c r="T87" s="62">
        <f t="shared" si="88"/>
        <v>297.32483725004136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-2.2737367544323206E-13</v>
      </c>
      <c r="AJ87" s="14">
        <f>AI87*VLOOKUP('Données projet'!$B$10,Paramètres!$A$1:$I$89,3,0)*VLOOKUP('Données projet'!$B$10,Paramètres!$A$1:$I$89,5,0)</f>
        <v>-1.8089849618263545E-13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394.70330963327166</v>
      </c>
      <c r="AO87" s="62">
        <f t="shared" si="90"/>
        <v>424.06445894109982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-2.2737367544323206E-13</v>
      </c>
      <c r="BE87" s="14">
        <f>BD87*VLOOKUP('Données projet'!$B$11,Paramètres!$A$1:$I$89,3,0)*VLOOKUP('Données projet'!$B$11,Paramètres!$A$1:$I$89,5,0)</f>
        <v>-1.6671037883497774E-13</v>
      </c>
      <c r="BF87" s="14" t="e">
        <f t="shared" si="91"/>
        <v>#NUM!</v>
      </c>
      <c r="BG87" s="22" t="e">
        <f t="shared" si="61"/>
        <v>#NUM!</v>
      </c>
      <c r="BH87" s="62" t="e">
        <f t="shared" si="62"/>
        <v>#NUM!</v>
      </c>
      <c r="BI87" s="62">
        <f ca="1">AVERAGE(OFFSET($BH$3,0,0,'Données projet'!$E$11+1,1))-AVERAGE(OFFSET($H$3,0,0,'Données projet'!$E$11+1,1))</f>
        <v>368.54671978064204</v>
      </c>
      <c r="BJ87" s="62">
        <f t="shared" si="92"/>
        <v>395.83504504492237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5.6843418860808015E-14</v>
      </c>
      <c r="BZ87" s="14">
        <f>BY87*VLOOKUP('Données projet'!$B$12,Paramètres!$A$1:$I$89,3,0)*VLOOKUP('Données projet'!$B$12,Paramètres!$A$1:$I$89,5,0)</f>
        <v>4.4337866711430253E-14</v>
      </c>
      <c r="CA87" s="14">
        <f t="shared" si="93"/>
        <v>7.3222115536967035E-13</v>
      </c>
      <c r="CB87" s="22">
        <f t="shared" si="64"/>
        <v>1.3525069634579169E-12</v>
      </c>
      <c r="CC87" s="62">
        <f t="shared" si="65"/>
        <v>272.25683052455167</v>
      </c>
      <c r="CD87" s="62">
        <f ca="1">AVERAGE(OFFSET($CC$3,0,0,'Données projet'!$E$12+1,1))-AVERAGE(OFFSET($H$3,0,0,'Données projet'!$E$12+1,1))</f>
        <v>309.21625451786218</v>
      </c>
      <c r="CE87" s="62">
        <f t="shared" si="94"/>
        <v>302.59481222418219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4.6153846153846132</v>
      </c>
      <c r="CT87" s="13">
        <f>IF('Données projet'!$A$140&gt;35,CT86+CS87-DB86,IF(A87&lt;'Données projet'!$A$140,$CQ$205^A87,IF(A87='Données projet'!$A$140,'Données projet'!$B$140,CT86+CS87-DB86)))</f>
        <v>270.38461538461536</v>
      </c>
      <c r="CU87" s="18">
        <f>CT87*VLOOKUP('Données projet'!$B$13,Paramètres!$A$1:$I$89,3,0)*VLOOKUP('Données projet'!$B$13,Paramètres!$A$1:$I$89,5,0)</f>
        <v>257.298</v>
      </c>
      <c r="CV87" s="14">
        <f t="shared" si="95"/>
        <v>62.146071034259549</v>
      </c>
      <c r="CW87" s="22">
        <f t="shared" si="67"/>
        <v>556.36509038466863</v>
      </c>
      <c r="CX87" s="62">
        <f t="shared" si="68"/>
        <v>828.62192090921894</v>
      </c>
      <c r="CY87" s="62">
        <f ca="1">AVERAGE(OFFSET($CX$3,0,0,'Données projet'!$E$13+1,1))-AVERAGE(OFFSET($H$3,0,0,'Données projet'!$E$13+1,1))</f>
        <v>491.87038198656927</v>
      </c>
      <c r="CZ87" s="62">
        <f t="shared" si="96"/>
        <v>406.49261644949559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0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6.6</v>
      </c>
      <c r="DO87" s="13">
        <f>IF('Données projet'!$A$166&gt;35,DO86+DN87-DW86,IF(A87&lt;'Données projet'!$A$166,$DL$205^A87,IF(A87='Données projet'!$A$166,'Données projet'!$B$166,DO86+DN87-DW86)))</f>
        <v>346.40000000000009</v>
      </c>
      <c r="DP87" s="18">
        <f>DO87*VLOOKUP('Données projet'!$B$14,Paramètres!$A$1:$I$89,3,0)*VLOOKUP('Données projet'!$B$14,Paramètres!$A$1:$I$89,5,0)</f>
        <v>335.03808000000009</v>
      </c>
      <c r="DQ87" s="14">
        <f t="shared" si="97"/>
        <v>78.473906831019789</v>
      </c>
      <c r="DR87" s="22">
        <f t="shared" si="70"/>
        <v>720.20004373069298</v>
      </c>
      <c r="DS87" s="62">
        <f t="shared" si="71"/>
        <v>992.45687425524329</v>
      </c>
      <c r="DT87" s="62">
        <f ca="1">AVERAGE(OFFSET($DS$3,0,0,'Données projet'!$E$14+1,1))-AVERAGE(OFFSET($H$3,0,0,'Données projet'!$E$14+1,1))</f>
        <v>603.52431522262032</v>
      </c>
      <c r="DU87" s="62">
        <f t="shared" si="98"/>
        <v>313.56299786481338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projet'!$B$14,Paramètres!$A$1:$I$89,3,0)*0.475*44/12</f>
        <v>0</v>
      </c>
      <c r="EB87" s="23">
        <f>EXP(-LN(2)/25)*EB86+(1-EXP(-LN(2)/25))/(LN(2)/25)*Calculateur!DW87*Calculateur!DY87*VLOOKUP('Données projet'!$B$14,Paramètres!$A$1:$I$89,3,0)*0.475*44/12</f>
        <v>0</v>
      </c>
      <c r="EC87" s="23">
        <f>EXP(-LN(2)/2)*EC86+(1-EXP(-LN(2)/2))/(LN(2)/2)*DW87*DZ87*VLOOKUP('Données projet'!$B$14,Paramètres!$A$1:$I$89,3,0)*0.475*44/12</f>
        <v>0</v>
      </c>
      <c r="ED87" s="24">
        <f t="shared" si="72"/>
        <v>0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-1.1368683772161603E-13</v>
      </c>
      <c r="EK87" s="18">
        <f>EJ87*VLOOKUP('Données projet'!$B$15,Paramètres!$A$1:$I$89,3,0)*VLOOKUP('Données projet'!$B$15,Paramètres!$A$1:$I$89,5,0)</f>
        <v>-9.2222762759774927E-14</v>
      </c>
      <c r="EL87" s="14" t="e">
        <f t="shared" si="99"/>
        <v>#NUM!</v>
      </c>
      <c r="EM87" s="22" t="e">
        <f t="shared" si="73"/>
        <v>#NUM!</v>
      </c>
      <c r="EN87" s="62" t="e">
        <f t="shared" si="74"/>
        <v>#NUM!</v>
      </c>
      <c r="EO87" s="62">
        <f ca="1">AVERAGE(OFFSET($EN$3,0,0,'Données projet'!$E$15+1,1))-AVERAGE(OFFSET($H$3,0,0,'Données projet'!$E$15+1,1))</f>
        <v>272.69564942740931</v>
      </c>
      <c r="EP87" s="62">
        <f t="shared" si="100"/>
        <v>316.57989180609252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>
        <f>EXP(-LN(2)/35)*EV86+(1-EXP(-LN(2)/35))/(LN(2)/35)*ER87*ES87*VLOOKUP('Données projet'!$B$15,Paramètres!$A$1:$I$89,3,0)*0.475*44/12</f>
        <v>0</v>
      </c>
      <c r="EW87" s="23">
        <f>EXP(-LN(2)/25)*EW86+(1-EXP(-LN(2)/25))/(LN(2)/25)*Calculateur!ER87*Calculateur!ET87*VLOOKUP('Données projet'!$B$15,Paramètres!$A$1:$I$89,3,0)*0.475*44/12</f>
        <v>0</v>
      </c>
      <c r="EX87" s="23">
        <f>EXP(-LN(2)/2)*EX86+(1-EXP(-LN(2)/2))/(LN(2)/2)*ER87*EU87*VLOOKUP('Données projet'!$B$15,Paramètres!$A$1:$I$89,3,0)*0.475*44/12</f>
        <v>0</v>
      </c>
      <c r="EY87" s="24">
        <f t="shared" si="75"/>
        <v>0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4.8717948717948616</v>
      </c>
      <c r="FE87" s="13">
        <f>IF('Données projet'!$A$218&gt;35,FE86+FD87-FM86,IF(A87&lt;'Données projet'!$A$218,$FB$205^A87,IF(A87='Données projet'!$A$218,'Données projet'!$B$218,FE86+FD87-FM86)))</f>
        <v>355.38461538461524</v>
      </c>
      <c r="FF87" s="18">
        <f>FE87*VLOOKUP('Données projet'!$B$16,Paramètres!$A$1:$I$89,3,0)*VLOOKUP('Données projet'!$B$16,Paramètres!$A$1:$I$89,5,0)</f>
        <v>238.39199999999991</v>
      </c>
      <c r="FG87" s="14">
        <f t="shared" si="101"/>
        <v>58.0934262042908</v>
      </c>
      <c r="FH87" s="22">
        <f t="shared" si="76"/>
        <v>516.37878397247289</v>
      </c>
      <c r="FI87" s="62">
        <f t="shared" si="77"/>
        <v>788.6356144970232</v>
      </c>
      <c r="FJ87" s="62">
        <f ca="1">AVERAGE(OFFSET($FI$3,0,0,'Données projet'!$E$16+1,1))-AVERAGE(OFFSET($H$3,0,0,'Données projet'!$E$16+1,1))</f>
        <v>440.90856392064205</v>
      </c>
      <c r="FK87" s="62">
        <f t="shared" si="102"/>
        <v>373.33139300970629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>
        <f>EXP(-LN(2)/35)*FQ86+(1-EXP(-LN(2)/35))/(LN(2)/35)*FM87*FN87*VLOOKUP('Données projet'!$B$16,Paramètres!$A$1:$I$89,3,0)*0.475*44/12</f>
        <v>0</v>
      </c>
      <c r="FR87" s="23">
        <f>EXP(-LN(2)/25)*FR86+(1-EXP(-LN(2)/25))/(LN(2)/25)*Calculateur!FM87*Calculateur!FO87*VLOOKUP('Données projet'!$B$16,Paramètres!$A$1:$I$89,3,0)*0.475*44/12</f>
        <v>0</v>
      </c>
      <c r="FS87" s="23">
        <f>EXP(-LN(2)/2)*FS86+(1-EXP(-LN(2)/2))/(LN(2)/2)*FM87*FP87*VLOOKUP('Données projet'!$B$16,Paramètres!$A$1:$I$89,3,0)*0.475*44/12</f>
        <v>0</v>
      </c>
      <c r="FT87" s="24">
        <f t="shared" si="78"/>
        <v>0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70">
        <f t="shared" si="56"/>
        <v>183.33333333333334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6.6</v>
      </c>
      <c r="N88" s="14">
        <f>IF('Données projet'!$A$36&gt;35,N87+M88-V87,IF(A88&lt;'Données projet'!$A$36,$K$205^A88,IF(A88='Données projet'!$A$36,'Données projet'!$B$36,N87+M88-V87)))</f>
        <v>353.00000000000011</v>
      </c>
      <c r="O88" s="14">
        <f>N88*VLOOKUP('Données projet'!$B$9,Paramètres!$A$1:$I$89,3,0)*VLOOKUP('Données projet'!$B$9,Paramètres!$A$1:$I$89,5,0)</f>
        <v>319.39440000000013</v>
      </c>
      <c r="P88" s="14">
        <f t="shared" si="87"/>
        <v>75.227332916620099</v>
      </c>
      <c r="Q88" s="22">
        <f t="shared" si="54"/>
        <v>687.29951816311348</v>
      </c>
      <c r="R88" s="62">
        <f t="shared" si="55"/>
        <v>959.92197889139493</v>
      </c>
      <c r="S88" s="62">
        <f ca="1">AVERAGE(OFFSET($R$3,0,0,'Données projet'!$E$9+1,1))-AVERAGE(OFFSET($H$3,0,0,'Données projet'!$E$9+1,1))</f>
        <v>570.08763950759544</v>
      </c>
      <c r="T88" s="62">
        <f t="shared" si="88"/>
        <v>297.32483725004136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-2.2737367544323206E-13</v>
      </c>
      <c r="AJ88" s="14">
        <f>AI88*VLOOKUP('Données projet'!$B$10,Paramètres!$A$1:$I$89,3,0)*VLOOKUP('Données projet'!$B$10,Paramètres!$A$1:$I$89,5,0)</f>
        <v>-1.8089849618263545E-13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394.70330963327166</v>
      </c>
      <c r="AO88" s="62">
        <f t="shared" si="90"/>
        <v>424.06445894109982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-2.2737367544323206E-13</v>
      </c>
      <c r="BE88" s="14">
        <f>BD88*VLOOKUP('Données projet'!$B$11,Paramètres!$A$1:$I$89,3,0)*VLOOKUP('Données projet'!$B$11,Paramètres!$A$1:$I$89,5,0)</f>
        <v>-1.6671037883497774E-13</v>
      </c>
      <c r="BF88" s="14" t="e">
        <f t="shared" si="91"/>
        <v>#NUM!</v>
      </c>
      <c r="BG88" s="22" t="e">
        <f t="shared" si="61"/>
        <v>#NUM!</v>
      </c>
      <c r="BH88" s="62" t="e">
        <f t="shared" si="62"/>
        <v>#NUM!</v>
      </c>
      <c r="BI88" s="62">
        <f ca="1">AVERAGE(OFFSET($BH$3,0,0,'Données projet'!$E$11+1,1))-AVERAGE(OFFSET($H$3,0,0,'Données projet'!$E$11+1,1))</f>
        <v>368.54671978064204</v>
      </c>
      <c r="BJ88" s="62">
        <f t="shared" si="92"/>
        <v>395.83504504492237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5.6843418860808015E-14</v>
      </c>
      <c r="BZ88" s="14">
        <f>BY88*VLOOKUP('Données projet'!$B$12,Paramètres!$A$1:$I$89,3,0)*VLOOKUP('Données projet'!$B$12,Paramètres!$A$1:$I$89,5,0)</f>
        <v>4.4337866711430253E-14</v>
      </c>
      <c r="CA88" s="14">
        <f t="shared" si="93"/>
        <v>7.3222115536967035E-13</v>
      </c>
      <c r="CB88" s="22">
        <f t="shared" si="64"/>
        <v>1.3525069634579169E-12</v>
      </c>
      <c r="CC88" s="62">
        <f t="shared" si="65"/>
        <v>272.62246072828287</v>
      </c>
      <c r="CD88" s="62">
        <f ca="1">AVERAGE(OFFSET($CC$3,0,0,'Données projet'!$E$12+1,1))-AVERAGE(OFFSET($H$3,0,0,'Données projet'!$E$12+1,1))</f>
        <v>309.21625451786218</v>
      </c>
      <c r="CE88" s="62">
        <f t="shared" si="94"/>
        <v>302.59481222418219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>
        <f>VLOOKUP(A88,'Données projet'!$A$139:$I$159,2,0)</f>
        <v>275</v>
      </c>
      <c r="CR88" s="13">
        <f>VLOOKUP(A88,'Données projet'!$A$139:$I$159,9,0)</f>
        <v>4.6153846153846132</v>
      </c>
      <c r="CS88" s="13">
        <f t="array" ref="CS88">INDEX(CR:CR,MIN(IF(ISNUMBER(CR88:CR284),ROW(CR88:CR284),"")))</f>
        <v>4.6153846153846132</v>
      </c>
      <c r="CT88" s="13">
        <f>IF('Données projet'!$A$140&gt;35,CT87+CS88-DB87,IF(A88&lt;'Données projet'!$A$140,$CQ$205^A88,IF(A88='Données projet'!$A$140,'Données projet'!$B$140,CT87+CS88-DB87)))</f>
        <v>275</v>
      </c>
      <c r="CU88" s="18">
        <f>CT88*VLOOKUP('Données projet'!$B$13,Paramètres!$A$1:$I$89,3,0)*VLOOKUP('Données projet'!$B$13,Paramètres!$A$1:$I$89,5,0)</f>
        <v>261.69</v>
      </c>
      <c r="CV88" s="14">
        <f t="shared" si="95"/>
        <v>63.082481711546343</v>
      </c>
      <c r="CW88" s="22">
        <f t="shared" si="67"/>
        <v>565.64540564760989</v>
      </c>
      <c r="CX88" s="62">
        <f t="shared" si="68"/>
        <v>838.26786637589134</v>
      </c>
      <c r="CY88" s="62">
        <f ca="1">AVERAGE(OFFSET($CX$3,0,0,'Données projet'!$E$13+1,1))-AVERAGE(OFFSET($H$3,0,0,'Données projet'!$E$13+1,1))</f>
        <v>491.87038198656927</v>
      </c>
      <c r="CZ88" s="62">
        <f t="shared" si="96"/>
        <v>406.49261644949559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0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6.6</v>
      </c>
      <c r="DO88" s="13">
        <f>IF('Données projet'!$A$166&gt;35,DO87+DN88-DW87,IF(A88&lt;'Données projet'!$A$166,$DL$205^A88,IF(A88='Données projet'!$A$166,'Données projet'!$B$166,DO87+DN88-DW87)))</f>
        <v>353.00000000000011</v>
      </c>
      <c r="DP88" s="18">
        <f>DO88*VLOOKUP('Données projet'!$B$14,Paramètres!$A$1:$I$89,3,0)*VLOOKUP('Données projet'!$B$14,Paramètres!$A$1:$I$89,5,0)</f>
        <v>341.42160000000013</v>
      </c>
      <c r="DQ88" s="14">
        <f t="shared" si="97"/>
        <v>79.793586620318962</v>
      </c>
      <c r="DR88" s="22">
        <f t="shared" si="70"/>
        <v>733.61645003038905</v>
      </c>
      <c r="DS88" s="62">
        <f t="shared" si="71"/>
        <v>1006.2389107586705</v>
      </c>
      <c r="DT88" s="62">
        <f ca="1">AVERAGE(OFFSET($DS$3,0,0,'Données projet'!$E$14+1,1))-AVERAGE(OFFSET($H$3,0,0,'Données projet'!$E$14+1,1))</f>
        <v>603.52431522262032</v>
      </c>
      <c r="DU88" s="62">
        <f t="shared" si="98"/>
        <v>313.56299786481338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projet'!$B$14,Paramètres!$A$1:$I$89,3,0)*0.475*44/12</f>
        <v>0</v>
      </c>
      <c r="EB88" s="23">
        <f>EXP(-LN(2)/25)*EB87+(1-EXP(-LN(2)/25))/(LN(2)/25)*Calculateur!DW88*Calculateur!DY88*VLOOKUP('Données projet'!$B$14,Paramètres!$A$1:$I$89,3,0)*0.475*44/12</f>
        <v>0</v>
      </c>
      <c r="EC88" s="23">
        <f>EXP(-LN(2)/2)*EC87+(1-EXP(-LN(2)/2))/(LN(2)/2)*DW88*DZ88*VLOOKUP('Données projet'!$B$14,Paramètres!$A$1:$I$89,3,0)*0.475*44/12</f>
        <v>0</v>
      </c>
      <c r="ED88" s="24">
        <f t="shared" si="72"/>
        <v>0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-1.1368683772161603E-13</v>
      </c>
      <c r="EK88" s="18">
        <f>EJ88*VLOOKUP('Données projet'!$B$15,Paramètres!$A$1:$I$89,3,0)*VLOOKUP('Données projet'!$B$15,Paramètres!$A$1:$I$89,5,0)</f>
        <v>-9.2222762759774927E-14</v>
      </c>
      <c r="EL88" s="14" t="e">
        <f t="shared" si="99"/>
        <v>#NUM!</v>
      </c>
      <c r="EM88" s="22" t="e">
        <f t="shared" si="73"/>
        <v>#NUM!</v>
      </c>
      <c r="EN88" s="62" t="e">
        <f t="shared" si="74"/>
        <v>#NUM!</v>
      </c>
      <c r="EO88" s="62">
        <f ca="1">AVERAGE(OFFSET($EN$3,0,0,'Données projet'!$E$15+1,1))-AVERAGE(OFFSET($H$3,0,0,'Données projet'!$E$15+1,1))</f>
        <v>272.69564942740931</v>
      </c>
      <c r="EP88" s="62">
        <f t="shared" si="100"/>
        <v>316.57989180609252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>
        <f>EXP(-LN(2)/35)*EV87+(1-EXP(-LN(2)/35))/(LN(2)/35)*ER88*ES88*VLOOKUP('Données projet'!$B$15,Paramètres!$A$1:$I$89,3,0)*0.475*44/12</f>
        <v>0</v>
      </c>
      <c r="EW88" s="23">
        <f>EXP(-LN(2)/25)*EW87+(1-EXP(-LN(2)/25))/(LN(2)/25)*Calculateur!ER88*Calculateur!ET88*VLOOKUP('Données projet'!$B$15,Paramètres!$A$1:$I$89,3,0)*0.475*44/12</f>
        <v>0</v>
      </c>
      <c r="EX88" s="23">
        <f>EXP(-LN(2)/2)*EX87+(1-EXP(-LN(2)/2))/(LN(2)/2)*ER88*EU88*VLOOKUP('Données projet'!$B$15,Paramètres!$A$1:$I$89,3,0)*0.475*44/12</f>
        <v>0</v>
      </c>
      <c r="EY88" s="24">
        <f t="shared" si="75"/>
        <v>0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>
        <f>VLOOKUP(A88,'Données projet'!$A$217:$I$237,2,0)</f>
        <v>360.25641025641022</v>
      </c>
      <c r="FC88" s="13">
        <f>VLOOKUP(A88,'Données projet'!$A$217:$I$237,9,0)</f>
        <v>4.8717948717948616</v>
      </c>
      <c r="FD88" s="13">
        <f t="array" ref="FD88">INDEX(FC:FC,MIN(IF(ISNUMBER(FC88:FC284),ROW(FC88:FC284),"")))</f>
        <v>4.8717948717948616</v>
      </c>
      <c r="FE88" s="13">
        <f>IF('Données projet'!$A$218&gt;35,FE87+FD88-FM87,IF(A88&lt;'Données projet'!$A$218,$FB$205^A88,IF(A88='Données projet'!$A$218,'Données projet'!$B$218,FE87+FD88-FM87)))</f>
        <v>360.25641025641011</v>
      </c>
      <c r="FF88" s="18">
        <f>FE88*VLOOKUP('Données projet'!$B$16,Paramètres!$A$1:$I$89,3,0)*VLOOKUP('Données projet'!$B$16,Paramètres!$A$1:$I$89,5,0)</f>
        <v>241.65999999999991</v>
      </c>
      <c r="FG88" s="14">
        <f t="shared" si="101"/>
        <v>58.796544163853639</v>
      </c>
      <c r="FH88" s="22">
        <f t="shared" si="76"/>
        <v>523.29514775204495</v>
      </c>
      <c r="FI88" s="62">
        <f t="shared" si="77"/>
        <v>795.91760848032641</v>
      </c>
      <c r="FJ88" s="62">
        <f ca="1">AVERAGE(OFFSET($FI$3,0,0,'Données projet'!$E$16+1,1))-AVERAGE(OFFSET($H$3,0,0,'Données projet'!$E$16+1,1))</f>
        <v>440.90856392064205</v>
      </c>
      <c r="FK88" s="62">
        <f t="shared" si="102"/>
        <v>373.33139300970629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>
        <f>EXP(-LN(2)/35)*FQ87+(1-EXP(-LN(2)/35))/(LN(2)/35)*FM88*FN88*VLOOKUP('Données projet'!$B$16,Paramètres!$A$1:$I$89,3,0)*0.475*44/12</f>
        <v>0</v>
      </c>
      <c r="FR88" s="23">
        <f>EXP(-LN(2)/25)*FR87+(1-EXP(-LN(2)/25))/(LN(2)/25)*Calculateur!FM88*Calculateur!FO88*VLOOKUP('Données projet'!$B$16,Paramètres!$A$1:$I$89,3,0)*0.475*44/12</f>
        <v>0</v>
      </c>
      <c r="FS88" s="23">
        <f>EXP(-LN(2)/2)*FS87+(1-EXP(-LN(2)/2))/(LN(2)/2)*FM88*FP88*VLOOKUP('Données projet'!$B$16,Paramètres!$A$1:$I$89,3,0)*0.475*44/12</f>
        <v>0</v>
      </c>
      <c r="FT88" s="24">
        <f t="shared" si="78"/>
        <v>0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70">
        <f t="shared" si="56"/>
        <v>183.33333333333334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6.6</v>
      </c>
      <c r="N89" s="14">
        <f>IF('Données projet'!$A$36&gt;35,N88+M89-V88,IF(A89&lt;'Données projet'!$A$36,$K$205^A89,IF(A89='Données projet'!$A$36,'Données projet'!$B$36,N88+M89-V88)))</f>
        <v>359.60000000000014</v>
      </c>
      <c r="O89" s="14">
        <f>N89*VLOOKUP('Données projet'!$B$9,Paramètres!$A$1:$I$89,3,0)*VLOOKUP('Données projet'!$B$9,Paramètres!$A$1:$I$89,5,0)</f>
        <v>325.36608000000012</v>
      </c>
      <c r="P89" s="14">
        <f t="shared" si="87"/>
        <v>76.468788033923758</v>
      </c>
      <c r="Q89" s="22">
        <f t="shared" si="54"/>
        <v>699.86239515908403</v>
      </c>
      <c r="R89" s="62">
        <f t="shared" si="55"/>
        <v>972.84414322448879</v>
      </c>
      <c r="S89" s="62">
        <f ca="1">AVERAGE(OFFSET($R$3,0,0,'Données projet'!$E$9+1,1))-AVERAGE(OFFSET($H$3,0,0,'Données projet'!$E$9+1,1))</f>
        <v>570.08763950759544</v>
      </c>
      <c r="T89" s="62">
        <f t="shared" si="88"/>
        <v>297.32483725004136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-2.2737367544323206E-13</v>
      </c>
      <c r="AJ89" s="14">
        <f>AI89*VLOOKUP('Données projet'!$B$10,Paramètres!$A$1:$I$89,3,0)*VLOOKUP('Données projet'!$B$10,Paramètres!$A$1:$I$89,5,0)</f>
        <v>-1.8089849618263545E-13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394.70330963327166</v>
      </c>
      <c r="AO89" s="62">
        <f t="shared" si="90"/>
        <v>424.06445894109982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-2.2737367544323206E-13</v>
      </c>
      <c r="BE89" s="14">
        <f>BD89*VLOOKUP('Données projet'!$B$11,Paramètres!$A$1:$I$89,3,0)*VLOOKUP('Données projet'!$B$11,Paramètres!$A$1:$I$89,5,0)</f>
        <v>-1.6671037883497774E-13</v>
      </c>
      <c r="BF89" s="14" t="e">
        <f t="shared" si="91"/>
        <v>#NUM!</v>
      </c>
      <c r="BG89" s="22" t="e">
        <f t="shared" si="61"/>
        <v>#NUM!</v>
      </c>
      <c r="BH89" s="62" t="e">
        <f t="shared" si="62"/>
        <v>#NUM!</v>
      </c>
      <c r="BI89" s="62">
        <f ca="1">AVERAGE(OFFSET($BH$3,0,0,'Données projet'!$E$11+1,1))-AVERAGE(OFFSET($H$3,0,0,'Données projet'!$E$11+1,1))</f>
        <v>368.54671978064204</v>
      </c>
      <c r="BJ89" s="62">
        <f t="shared" si="92"/>
        <v>395.83504504492237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5.6843418860808015E-14</v>
      </c>
      <c r="BZ89" s="14">
        <f>BY89*VLOOKUP('Données projet'!$B$12,Paramètres!$A$1:$I$89,3,0)*VLOOKUP('Données projet'!$B$12,Paramètres!$A$1:$I$89,5,0)</f>
        <v>4.4337866711430253E-14</v>
      </c>
      <c r="CA89" s="14">
        <f t="shared" si="93"/>
        <v>7.3222115536967035E-13</v>
      </c>
      <c r="CB89" s="22">
        <f t="shared" si="64"/>
        <v>1.3525069634579169E-12</v>
      </c>
      <c r="CC89" s="62">
        <f t="shared" si="65"/>
        <v>272.98174806540607</v>
      </c>
      <c r="CD89" s="62">
        <f ca="1">AVERAGE(OFFSET($CC$3,0,0,'Données projet'!$E$12+1,1))-AVERAGE(OFFSET($H$3,0,0,'Données projet'!$E$12+1,1))</f>
        <v>309.21625451786218</v>
      </c>
      <c r="CE89" s="62">
        <f t="shared" si="94"/>
        <v>302.59481222418219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4.3589743589743533</v>
      </c>
      <c r="CT89" s="13">
        <f>IF('Données projet'!$A$140&gt;35,CT88+CS89-DB88,IF(A89&lt;'Données projet'!$A$140,$CQ$205^A89,IF(A89='Données projet'!$A$140,'Données projet'!$B$140,CT88+CS89-DB88)))</f>
        <v>279.35897435897436</v>
      </c>
      <c r="CU89" s="18">
        <f>CT89*VLOOKUP('Données projet'!$B$13,Paramètres!$A$1:$I$89,3,0)*VLOOKUP('Données projet'!$B$13,Paramètres!$A$1:$I$89,5,0)</f>
        <v>265.83799999999997</v>
      </c>
      <c r="CV89" s="14">
        <f t="shared" si="95"/>
        <v>63.965190833833894</v>
      </c>
      <c r="CW89" s="22">
        <f t="shared" si="67"/>
        <v>574.40722403559391</v>
      </c>
      <c r="CX89" s="62">
        <f t="shared" si="68"/>
        <v>847.38897210099867</v>
      </c>
      <c r="CY89" s="62">
        <f ca="1">AVERAGE(OFFSET($CX$3,0,0,'Données projet'!$E$13+1,1))-AVERAGE(OFFSET($H$3,0,0,'Données projet'!$E$13+1,1))</f>
        <v>491.87038198656927</v>
      </c>
      <c r="CZ89" s="62">
        <f t="shared" si="96"/>
        <v>406.49261644949559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0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6.6</v>
      </c>
      <c r="DO89" s="13">
        <f>IF('Données projet'!$A$166&gt;35,DO88+DN89-DW88,IF(A89&lt;'Données projet'!$A$166,$DL$205^A89,IF(A89='Données projet'!$A$166,'Données projet'!$B$166,DO88+DN89-DW88)))</f>
        <v>359.60000000000014</v>
      </c>
      <c r="DP89" s="18">
        <f>DO89*VLOOKUP('Données projet'!$B$14,Paramètres!$A$1:$I$89,3,0)*VLOOKUP('Données projet'!$B$14,Paramètres!$A$1:$I$89,5,0)</f>
        <v>347.80512000000016</v>
      </c>
      <c r="DQ89" s="14">
        <f t="shared" si="97"/>
        <v>81.110397313948141</v>
      </c>
      <c r="DR89" s="22">
        <f t="shared" si="70"/>
        <v>747.02785932179313</v>
      </c>
      <c r="DS89" s="62">
        <f t="shared" si="71"/>
        <v>1020.0096073871978</v>
      </c>
      <c r="DT89" s="62">
        <f ca="1">AVERAGE(OFFSET($DS$3,0,0,'Données projet'!$E$14+1,1))-AVERAGE(OFFSET($H$3,0,0,'Données projet'!$E$14+1,1))</f>
        <v>603.52431522262032</v>
      </c>
      <c r="DU89" s="62">
        <f t="shared" si="98"/>
        <v>313.56299786481338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projet'!$B$14,Paramètres!$A$1:$I$89,3,0)*0.475*44/12</f>
        <v>0</v>
      </c>
      <c r="EB89" s="23">
        <f>EXP(-LN(2)/25)*EB88+(1-EXP(-LN(2)/25))/(LN(2)/25)*Calculateur!DW89*Calculateur!DY89*VLOOKUP('Données projet'!$B$14,Paramètres!$A$1:$I$89,3,0)*0.475*44/12</f>
        <v>0</v>
      </c>
      <c r="EC89" s="23">
        <f>EXP(-LN(2)/2)*EC88+(1-EXP(-LN(2)/2))/(LN(2)/2)*DW89*DZ89*VLOOKUP('Données projet'!$B$14,Paramètres!$A$1:$I$89,3,0)*0.475*44/12</f>
        <v>0</v>
      </c>
      <c r="ED89" s="24">
        <f t="shared" si="72"/>
        <v>0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-1.1368683772161603E-13</v>
      </c>
      <c r="EK89" s="18">
        <f>EJ89*VLOOKUP('Données projet'!$B$15,Paramètres!$A$1:$I$89,3,0)*VLOOKUP('Données projet'!$B$15,Paramètres!$A$1:$I$89,5,0)</f>
        <v>-9.2222762759774927E-14</v>
      </c>
      <c r="EL89" s="14" t="e">
        <f t="shared" si="99"/>
        <v>#NUM!</v>
      </c>
      <c r="EM89" s="22" t="e">
        <f t="shared" si="73"/>
        <v>#NUM!</v>
      </c>
      <c r="EN89" s="62" t="e">
        <f t="shared" si="74"/>
        <v>#NUM!</v>
      </c>
      <c r="EO89" s="62">
        <f ca="1">AVERAGE(OFFSET($EN$3,0,0,'Données projet'!$E$15+1,1))-AVERAGE(OFFSET($H$3,0,0,'Données projet'!$E$15+1,1))</f>
        <v>272.69564942740931</v>
      </c>
      <c r="EP89" s="62">
        <f t="shared" si="100"/>
        <v>316.57989180609252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>
        <f>EXP(-LN(2)/35)*EV88+(1-EXP(-LN(2)/35))/(LN(2)/35)*ER89*ES89*VLOOKUP('Données projet'!$B$15,Paramètres!$A$1:$I$89,3,0)*0.475*44/12</f>
        <v>0</v>
      </c>
      <c r="EW89" s="23">
        <f>EXP(-LN(2)/25)*EW88+(1-EXP(-LN(2)/25))/(LN(2)/25)*Calculateur!ER89*Calculateur!ET89*VLOOKUP('Données projet'!$B$15,Paramètres!$A$1:$I$89,3,0)*0.475*44/12</f>
        <v>0</v>
      </c>
      <c r="EX89" s="23">
        <f>EXP(-LN(2)/2)*EX88+(1-EXP(-LN(2)/2))/(LN(2)/2)*ER89*EU89*VLOOKUP('Données projet'!$B$15,Paramètres!$A$1:$I$89,3,0)*0.475*44/12</f>
        <v>0</v>
      </c>
      <c r="EY89" s="24">
        <f t="shared" si="75"/>
        <v>0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4.7435897435897463</v>
      </c>
      <c r="FE89" s="13">
        <f>IF('Données projet'!$A$218&gt;35,FE88+FD89-FM88,IF(A89&lt;'Données projet'!$A$218,$FB$205^A89,IF(A89='Données projet'!$A$218,'Données projet'!$B$218,FE88+FD89-FM88)))</f>
        <v>364.99999999999983</v>
      </c>
      <c r="FF89" s="18">
        <f>FE89*VLOOKUP('Données projet'!$B$16,Paramètres!$A$1:$I$89,3,0)*VLOOKUP('Données projet'!$B$16,Paramètres!$A$1:$I$89,5,0)</f>
        <v>244.8419999999999</v>
      </c>
      <c r="FG89" s="14">
        <f t="shared" si="101"/>
        <v>59.480096214206256</v>
      </c>
      <c r="FH89" s="22">
        <f t="shared" si="76"/>
        <v>530.02765090640912</v>
      </c>
      <c r="FI89" s="62">
        <f t="shared" si="77"/>
        <v>803.00939897181388</v>
      </c>
      <c r="FJ89" s="62">
        <f ca="1">AVERAGE(OFFSET($FI$3,0,0,'Données projet'!$E$16+1,1))-AVERAGE(OFFSET($H$3,0,0,'Données projet'!$E$16+1,1))</f>
        <v>440.90856392064205</v>
      </c>
      <c r="FK89" s="62">
        <f t="shared" si="102"/>
        <v>373.33139300970629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>
        <f>EXP(-LN(2)/35)*FQ88+(1-EXP(-LN(2)/35))/(LN(2)/35)*FM89*FN89*VLOOKUP('Données projet'!$B$16,Paramètres!$A$1:$I$89,3,0)*0.475*44/12</f>
        <v>0</v>
      </c>
      <c r="FR89" s="23">
        <f>EXP(-LN(2)/25)*FR88+(1-EXP(-LN(2)/25))/(LN(2)/25)*Calculateur!FM89*Calculateur!FO89*VLOOKUP('Données projet'!$B$16,Paramètres!$A$1:$I$89,3,0)*0.475*44/12</f>
        <v>0</v>
      </c>
      <c r="FS89" s="23">
        <f>EXP(-LN(2)/2)*FS88+(1-EXP(-LN(2)/2))/(LN(2)/2)*FM89*FP89*VLOOKUP('Données projet'!$B$16,Paramètres!$A$1:$I$89,3,0)*0.475*44/12</f>
        <v>0</v>
      </c>
      <c r="FT89" s="24">
        <f t="shared" si="78"/>
        <v>0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70">
        <f t="shared" si="56"/>
        <v>183.33333333333334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6.6</v>
      </c>
      <c r="N90" s="14">
        <f>IF('Données projet'!$A$36&gt;35,N89+M90-V89,IF(A90&lt;'Données projet'!$A$36,$K$205^A90,IF(A90='Données projet'!$A$36,'Données projet'!$B$36,N89+M90-V89)))</f>
        <v>366.20000000000016</v>
      </c>
      <c r="O90" s="14">
        <f>N90*VLOOKUP('Données projet'!$B$9,Paramètres!$A$1:$I$89,3,0)*VLOOKUP('Données projet'!$B$9,Paramètres!$A$1:$I$89,5,0)</f>
        <v>331.33776000000012</v>
      </c>
      <c r="P90" s="14">
        <f t="shared" si="87"/>
        <v>77.707593612890619</v>
      </c>
      <c r="Q90" s="22">
        <f t="shared" si="54"/>
        <v>712.42065754245129</v>
      </c>
      <c r="R90" s="62">
        <f t="shared" si="55"/>
        <v>985.75546011292613</v>
      </c>
      <c r="S90" s="62">
        <f ca="1">AVERAGE(OFFSET($R$3,0,0,'Données projet'!$E$9+1,1))-AVERAGE(OFFSET($H$3,0,0,'Données projet'!$E$9+1,1))</f>
        <v>570.08763950759544</v>
      </c>
      <c r="T90" s="62">
        <f t="shared" si="88"/>
        <v>297.32483725004136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-2.2737367544323206E-13</v>
      </c>
      <c r="AJ90" s="14">
        <f>AI90*VLOOKUP('Données projet'!$B$10,Paramètres!$A$1:$I$89,3,0)*VLOOKUP('Données projet'!$B$10,Paramètres!$A$1:$I$89,5,0)</f>
        <v>-1.8089849618263545E-13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394.70330963327166</v>
      </c>
      <c r="AO90" s="62">
        <f t="shared" si="90"/>
        <v>424.06445894109982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-2.2737367544323206E-13</v>
      </c>
      <c r="BE90" s="14">
        <f>BD90*VLOOKUP('Données projet'!$B$11,Paramètres!$A$1:$I$89,3,0)*VLOOKUP('Données projet'!$B$11,Paramètres!$A$1:$I$89,5,0)</f>
        <v>-1.6671037883497774E-13</v>
      </c>
      <c r="BF90" s="14" t="e">
        <f t="shared" si="91"/>
        <v>#NUM!</v>
      </c>
      <c r="BG90" s="22" t="e">
        <f t="shared" si="61"/>
        <v>#NUM!</v>
      </c>
      <c r="BH90" s="62" t="e">
        <f t="shared" si="62"/>
        <v>#NUM!</v>
      </c>
      <c r="BI90" s="62">
        <f ca="1">AVERAGE(OFFSET($BH$3,0,0,'Données projet'!$E$11+1,1))-AVERAGE(OFFSET($H$3,0,0,'Données projet'!$E$11+1,1))</f>
        <v>368.54671978064204</v>
      </c>
      <c r="BJ90" s="62">
        <f t="shared" si="92"/>
        <v>395.83504504492237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5.6843418860808015E-14</v>
      </c>
      <c r="BZ90" s="14">
        <f>BY90*VLOOKUP('Données projet'!$B$12,Paramètres!$A$1:$I$89,3,0)*VLOOKUP('Données projet'!$B$12,Paramètres!$A$1:$I$89,5,0)</f>
        <v>4.4337866711430253E-14</v>
      </c>
      <c r="CA90" s="14">
        <f t="shared" si="93"/>
        <v>7.3222115536967035E-13</v>
      </c>
      <c r="CB90" s="22">
        <f t="shared" si="64"/>
        <v>1.3525069634579169E-12</v>
      </c>
      <c r="CC90" s="62">
        <f t="shared" si="65"/>
        <v>273.3348025704762</v>
      </c>
      <c r="CD90" s="62">
        <f ca="1">AVERAGE(OFFSET($CC$3,0,0,'Données projet'!$E$12+1,1))-AVERAGE(OFFSET($H$3,0,0,'Données projet'!$E$12+1,1))</f>
        <v>309.21625451786218</v>
      </c>
      <c r="CE90" s="62">
        <f t="shared" si="94"/>
        <v>302.59481222418219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4.3589743589743533</v>
      </c>
      <c r="CT90" s="13">
        <f>IF('Données projet'!$A$140&gt;35,CT89+CS90-DB89,IF(A90&lt;'Données projet'!$A$140,$CQ$205^A90,IF(A90='Données projet'!$A$140,'Données projet'!$B$140,CT89+CS90-DB89)))</f>
        <v>283.71794871794873</v>
      </c>
      <c r="CU90" s="18">
        <f>CT90*VLOOKUP('Données projet'!$B$13,Paramètres!$A$1:$I$89,3,0)*VLOOKUP('Données projet'!$B$13,Paramètres!$A$1:$I$89,5,0)</f>
        <v>269.98600000000005</v>
      </c>
      <c r="CV90" s="14">
        <f t="shared" si="95"/>
        <v>64.846298125536023</v>
      </c>
      <c r="CW90" s="22">
        <f t="shared" si="67"/>
        <v>583.16625256864188</v>
      </c>
      <c r="CX90" s="62">
        <f t="shared" si="68"/>
        <v>856.50105513911672</v>
      </c>
      <c r="CY90" s="62">
        <f ca="1">AVERAGE(OFFSET($CX$3,0,0,'Données projet'!$E$13+1,1))-AVERAGE(OFFSET($H$3,0,0,'Données projet'!$E$13+1,1))</f>
        <v>491.87038198656927</v>
      </c>
      <c r="CZ90" s="62">
        <f t="shared" si="96"/>
        <v>406.49261644949559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0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6.6</v>
      </c>
      <c r="DO90" s="13">
        <f>IF('Données projet'!$A$166&gt;35,DO89+DN90-DW89,IF(A90&lt;'Données projet'!$A$166,$DL$205^A90,IF(A90='Données projet'!$A$166,'Données projet'!$B$166,DO89+DN90-DW89)))</f>
        <v>366.20000000000016</v>
      </c>
      <c r="DP90" s="18">
        <f>DO90*VLOOKUP('Données projet'!$B$14,Paramètres!$A$1:$I$89,3,0)*VLOOKUP('Données projet'!$B$14,Paramètres!$A$1:$I$89,5,0)</f>
        <v>354.18864000000013</v>
      </c>
      <c r="DQ90" s="14">
        <f t="shared" si="97"/>
        <v>82.424397643862704</v>
      </c>
      <c r="DR90" s="22">
        <f t="shared" si="70"/>
        <v>760.4343738963945</v>
      </c>
      <c r="DS90" s="62">
        <f t="shared" si="71"/>
        <v>1033.7691764668693</v>
      </c>
      <c r="DT90" s="62">
        <f ca="1">AVERAGE(OFFSET($DS$3,0,0,'Données projet'!$E$14+1,1))-AVERAGE(OFFSET($H$3,0,0,'Données projet'!$E$14+1,1))</f>
        <v>603.52431522262032</v>
      </c>
      <c r="DU90" s="62">
        <f t="shared" si="98"/>
        <v>313.56299786481338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projet'!$B$14,Paramètres!$A$1:$I$89,3,0)*0.475*44/12</f>
        <v>0</v>
      </c>
      <c r="EB90" s="23">
        <f>EXP(-LN(2)/25)*EB89+(1-EXP(-LN(2)/25))/(LN(2)/25)*Calculateur!DW90*Calculateur!DY90*VLOOKUP('Données projet'!$B$14,Paramètres!$A$1:$I$89,3,0)*0.475*44/12</f>
        <v>0</v>
      </c>
      <c r="EC90" s="23">
        <f>EXP(-LN(2)/2)*EC89+(1-EXP(-LN(2)/2))/(LN(2)/2)*DW90*DZ90*VLOOKUP('Données projet'!$B$14,Paramètres!$A$1:$I$89,3,0)*0.475*44/12</f>
        <v>0</v>
      </c>
      <c r="ED90" s="24">
        <f t="shared" si="72"/>
        <v>0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-1.1368683772161603E-13</v>
      </c>
      <c r="EK90" s="18">
        <f>EJ90*VLOOKUP('Données projet'!$B$15,Paramètres!$A$1:$I$89,3,0)*VLOOKUP('Données projet'!$B$15,Paramètres!$A$1:$I$89,5,0)</f>
        <v>-9.2222762759774927E-14</v>
      </c>
      <c r="EL90" s="14" t="e">
        <f t="shared" si="99"/>
        <v>#NUM!</v>
      </c>
      <c r="EM90" s="22" t="e">
        <f t="shared" si="73"/>
        <v>#NUM!</v>
      </c>
      <c r="EN90" s="62" t="e">
        <f t="shared" si="74"/>
        <v>#NUM!</v>
      </c>
      <c r="EO90" s="62">
        <f ca="1">AVERAGE(OFFSET($EN$3,0,0,'Données projet'!$E$15+1,1))-AVERAGE(OFFSET($H$3,0,0,'Données projet'!$E$15+1,1))</f>
        <v>272.69564942740931</v>
      </c>
      <c r="EP90" s="62">
        <f t="shared" si="100"/>
        <v>316.57989180609252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>
        <f>EXP(-LN(2)/35)*EV89+(1-EXP(-LN(2)/35))/(LN(2)/35)*ER90*ES90*VLOOKUP('Données projet'!$B$15,Paramètres!$A$1:$I$89,3,0)*0.475*44/12</f>
        <v>0</v>
      </c>
      <c r="EW90" s="23">
        <f>EXP(-LN(2)/25)*EW89+(1-EXP(-LN(2)/25))/(LN(2)/25)*Calculateur!ER90*Calculateur!ET90*VLOOKUP('Données projet'!$B$15,Paramètres!$A$1:$I$89,3,0)*0.475*44/12</f>
        <v>0</v>
      </c>
      <c r="EX90" s="23">
        <f>EXP(-LN(2)/2)*EX89+(1-EXP(-LN(2)/2))/(LN(2)/2)*ER90*EU90*VLOOKUP('Données projet'!$B$15,Paramètres!$A$1:$I$89,3,0)*0.475*44/12</f>
        <v>0</v>
      </c>
      <c r="EY90" s="24">
        <f t="shared" si="75"/>
        <v>0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4.7435897435897463</v>
      </c>
      <c r="FE90" s="13">
        <f>IF('Données projet'!$A$218&gt;35,FE89+FD90-FM89,IF(A90&lt;'Données projet'!$A$218,$FB$205^A90,IF(A90='Données projet'!$A$218,'Données projet'!$B$218,FE89+FD90-FM89)))</f>
        <v>369.74358974358955</v>
      </c>
      <c r="FF90" s="18">
        <f>FE90*VLOOKUP('Données projet'!$B$16,Paramètres!$A$1:$I$89,3,0)*VLOOKUP('Données projet'!$B$16,Paramètres!$A$1:$I$89,5,0)</f>
        <v>248.02399999999989</v>
      </c>
      <c r="FG90" s="14">
        <f t="shared" si="101"/>
        <v>60.162614971987267</v>
      </c>
      <c r="FH90" s="22">
        <f t="shared" si="76"/>
        <v>536.75835440954427</v>
      </c>
      <c r="FI90" s="62">
        <f t="shared" si="77"/>
        <v>810.0931569800191</v>
      </c>
      <c r="FJ90" s="62">
        <f ca="1">AVERAGE(OFFSET($FI$3,0,0,'Données projet'!$E$16+1,1))-AVERAGE(OFFSET($H$3,0,0,'Données projet'!$E$16+1,1))</f>
        <v>440.90856392064205</v>
      </c>
      <c r="FK90" s="62">
        <f t="shared" si="102"/>
        <v>373.33139300970629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>
        <f>EXP(-LN(2)/35)*FQ89+(1-EXP(-LN(2)/35))/(LN(2)/35)*FM90*FN90*VLOOKUP('Données projet'!$B$16,Paramètres!$A$1:$I$89,3,0)*0.475*44/12</f>
        <v>0</v>
      </c>
      <c r="FR90" s="23">
        <f>EXP(-LN(2)/25)*FR89+(1-EXP(-LN(2)/25))/(LN(2)/25)*Calculateur!FM90*Calculateur!FO90*VLOOKUP('Données projet'!$B$16,Paramètres!$A$1:$I$89,3,0)*0.475*44/12</f>
        <v>0</v>
      </c>
      <c r="FS90" s="23">
        <f>EXP(-LN(2)/2)*FS89+(1-EXP(-LN(2)/2))/(LN(2)/2)*FM90*FP90*VLOOKUP('Données projet'!$B$16,Paramètres!$A$1:$I$89,3,0)*0.475*44/12</f>
        <v>0</v>
      </c>
      <c r="FT90" s="24">
        <f t="shared" si="78"/>
        <v>0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70">
        <f t="shared" si="56"/>
        <v>183.33333333333334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6.6</v>
      </c>
      <c r="N91" s="14">
        <f>IF('Données projet'!$A$36&gt;35,N90+M91-V90,IF(A91&lt;'Données projet'!$A$36,$K$205^A91,IF(A91='Données projet'!$A$36,'Données projet'!$B$36,N90+M91-V90)))</f>
        <v>372.80000000000018</v>
      </c>
      <c r="O91" s="14">
        <f>N91*VLOOKUP('Données projet'!$B$9,Paramètres!$A$1:$I$89,3,0)*VLOOKUP('Données projet'!$B$9,Paramètres!$A$1:$I$89,5,0)</f>
        <v>337.30944000000017</v>
      </c>
      <c r="P91" s="14">
        <f t="shared" si="87"/>
        <v>78.943802914307284</v>
      </c>
      <c r="Q91" s="22">
        <f t="shared" si="54"/>
        <v>724.97439807575211</v>
      </c>
      <c r="R91" s="62">
        <f t="shared" si="55"/>
        <v>998.6561304449458</v>
      </c>
      <c r="S91" s="62">
        <f ca="1">AVERAGE(OFFSET($R$3,0,0,'Données projet'!$E$9+1,1))-AVERAGE(OFFSET($H$3,0,0,'Données projet'!$E$9+1,1))</f>
        <v>570.08763950759544</v>
      </c>
      <c r="T91" s="62">
        <f t="shared" si="88"/>
        <v>297.32483725004136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-2.2737367544323206E-13</v>
      </c>
      <c r="AJ91" s="14">
        <f>AI91*VLOOKUP('Données projet'!$B$10,Paramètres!$A$1:$I$89,3,0)*VLOOKUP('Données projet'!$B$10,Paramètres!$A$1:$I$89,5,0)</f>
        <v>-1.8089849618263545E-13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394.70330963327166</v>
      </c>
      <c r="AO91" s="62">
        <f t="shared" si="90"/>
        <v>424.06445894109982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-2.2737367544323206E-13</v>
      </c>
      <c r="BE91" s="14">
        <f>BD91*VLOOKUP('Données projet'!$B$11,Paramètres!$A$1:$I$89,3,0)*VLOOKUP('Données projet'!$B$11,Paramètres!$A$1:$I$89,5,0)</f>
        <v>-1.6671037883497774E-13</v>
      </c>
      <c r="BF91" s="14" t="e">
        <f t="shared" si="91"/>
        <v>#NUM!</v>
      </c>
      <c r="BG91" s="22" t="e">
        <f t="shared" si="61"/>
        <v>#NUM!</v>
      </c>
      <c r="BH91" s="62" t="e">
        <f t="shared" si="62"/>
        <v>#NUM!</v>
      </c>
      <c r="BI91" s="62">
        <f ca="1">AVERAGE(OFFSET($BH$3,0,0,'Données projet'!$E$11+1,1))-AVERAGE(OFFSET($H$3,0,0,'Données projet'!$E$11+1,1))</f>
        <v>368.54671978064204</v>
      </c>
      <c r="BJ91" s="62">
        <f t="shared" si="92"/>
        <v>395.83504504492237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5.6843418860808015E-14</v>
      </c>
      <c r="BZ91" s="14">
        <f>BY91*VLOOKUP('Données projet'!$B$12,Paramètres!$A$1:$I$89,3,0)*VLOOKUP('Données projet'!$B$12,Paramètres!$A$1:$I$89,5,0)</f>
        <v>4.4337866711430253E-14</v>
      </c>
      <c r="CA91" s="14">
        <f t="shared" si="93"/>
        <v>7.3222115536967035E-13</v>
      </c>
      <c r="CB91" s="22">
        <f t="shared" si="64"/>
        <v>1.3525069634579169E-12</v>
      </c>
      <c r="CC91" s="62">
        <f t="shared" si="65"/>
        <v>273.68173236919506</v>
      </c>
      <c r="CD91" s="62">
        <f ca="1">AVERAGE(OFFSET($CC$3,0,0,'Données projet'!$E$12+1,1))-AVERAGE(OFFSET($H$3,0,0,'Données projet'!$E$12+1,1))</f>
        <v>309.21625451786218</v>
      </c>
      <c r="CE91" s="62">
        <f t="shared" si="94"/>
        <v>302.59481222418219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4.3589743589743533</v>
      </c>
      <c r="CT91" s="13">
        <f>IF('Données projet'!$A$140&gt;35,CT90+CS91-DB90,IF(A91&lt;'Données projet'!$A$140,$CQ$205^A91,IF(A91='Données projet'!$A$140,'Données projet'!$B$140,CT90+CS91-DB90)))</f>
        <v>288.07692307692309</v>
      </c>
      <c r="CU91" s="18">
        <f>CT91*VLOOKUP('Données projet'!$B$13,Paramètres!$A$1:$I$89,3,0)*VLOOKUP('Données projet'!$B$13,Paramètres!$A$1:$I$89,5,0)</f>
        <v>274.13400000000001</v>
      </c>
      <c r="CV91" s="14">
        <f t="shared" si="95"/>
        <v>65.725831039035398</v>
      </c>
      <c r="CW91" s="22">
        <f t="shared" si="67"/>
        <v>591.92253905965333</v>
      </c>
      <c r="CX91" s="62">
        <f t="shared" si="68"/>
        <v>865.60427142884703</v>
      </c>
      <c r="CY91" s="62">
        <f ca="1">AVERAGE(OFFSET($CX$3,0,0,'Données projet'!$E$13+1,1))-AVERAGE(OFFSET($H$3,0,0,'Données projet'!$E$13+1,1))</f>
        <v>491.87038198656927</v>
      </c>
      <c r="CZ91" s="62">
        <f t="shared" si="96"/>
        <v>406.49261644949559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0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6.6</v>
      </c>
      <c r="DO91" s="13">
        <f>IF('Données projet'!$A$166&gt;35,DO90+DN91-DW90,IF(A91&lt;'Données projet'!$A$166,$DL$205^A91,IF(A91='Données projet'!$A$166,'Données projet'!$B$166,DO90+DN91-DW90)))</f>
        <v>372.80000000000018</v>
      </c>
      <c r="DP91" s="18">
        <f>DO91*VLOOKUP('Données projet'!$B$14,Paramètres!$A$1:$I$89,3,0)*VLOOKUP('Données projet'!$B$14,Paramètres!$A$1:$I$89,5,0)</f>
        <v>360.57216000000017</v>
      </c>
      <c r="DQ91" s="14">
        <f t="shared" si="97"/>
        <v>83.735644103746736</v>
      </c>
      <c r="DR91" s="22">
        <f t="shared" si="70"/>
        <v>773.83609214735907</v>
      </c>
      <c r="DS91" s="62">
        <f t="shared" si="71"/>
        <v>1047.5178245165528</v>
      </c>
      <c r="DT91" s="62">
        <f ca="1">AVERAGE(OFFSET($DS$3,0,0,'Données projet'!$E$14+1,1))-AVERAGE(OFFSET($H$3,0,0,'Données projet'!$E$14+1,1))</f>
        <v>603.52431522262032</v>
      </c>
      <c r="DU91" s="62">
        <f t="shared" si="98"/>
        <v>313.56299786481338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projet'!$B$14,Paramètres!$A$1:$I$89,3,0)*0.475*44/12</f>
        <v>0</v>
      </c>
      <c r="EB91" s="23">
        <f>EXP(-LN(2)/25)*EB90+(1-EXP(-LN(2)/25))/(LN(2)/25)*Calculateur!DW91*Calculateur!DY91*VLOOKUP('Données projet'!$B$14,Paramètres!$A$1:$I$89,3,0)*0.475*44/12</f>
        <v>0</v>
      </c>
      <c r="EC91" s="23">
        <f>EXP(-LN(2)/2)*EC90+(1-EXP(-LN(2)/2))/(LN(2)/2)*DW91*DZ91*VLOOKUP('Données projet'!$B$14,Paramètres!$A$1:$I$89,3,0)*0.475*44/12</f>
        <v>0</v>
      </c>
      <c r="ED91" s="24">
        <f t="shared" si="72"/>
        <v>0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-1.1368683772161603E-13</v>
      </c>
      <c r="EK91" s="18">
        <f>EJ91*VLOOKUP('Données projet'!$B$15,Paramètres!$A$1:$I$89,3,0)*VLOOKUP('Données projet'!$B$15,Paramètres!$A$1:$I$89,5,0)</f>
        <v>-9.2222762759774927E-14</v>
      </c>
      <c r="EL91" s="14" t="e">
        <f t="shared" si="99"/>
        <v>#NUM!</v>
      </c>
      <c r="EM91" s="22" t="e">
        <f t="shared" si="73"/>
        <v>#NUM!</v>
      </c>
      <c r="EN91" s="62" t="e">
        <f t="shared" si="74"/>
        <v>#NUM!</v>
      </c>
      <c r="EO91" s="62">
        <f ca="1">AVERAGE(OFFSET($EN$3,0,0,'Données projet'!$E$15+1,1))-AVERAGE(OFFSET($H$3,0,0,'Données projet'!$E$15+1,1))</f>
        <v>272.69564942740931</v>
      </c>
      <c r="EP91" s="62">
        <f t="shared" si="100"/>
        <v>316.57989180609252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>
        <f>EXP(-LN(2)/35)*EV90+(1-EXP(-LN(2)/35))/(LN(2)/35)*ER91*ES91*VLOOKUP('Données projet'!$B$15,Paramètres!$A$1:$I$89,3,0)*0.475*44/12</f>
        <v>0</v>
      </c>
      <c r="EW91" s="23">
        <f>EXP(-LN(2)/25)*EW90+(1-EXP(-LN(2)/25))/(LN(2)/25)*Calculateur!ER91*Calculateur!ET91*VLOOKUP('Données projet'!$B$15,Paramètres!$A$1:$I$89,3,0)*0.475*44/12</f>
        <v>0</v>
      </c>
      <c r="EX91" s="23">
        <f>EXP(-LN(2)/2)*EX90+(1-EXP(-LN(2)/2))/(LN(2)/2)*ER91*EU91*VLOOKUP('Données projet'!$B$15,Paramètres!$A$1:$I$89,3,0)*0.475*44/12</f>
        <v>0</v>
      </c>
      <c r="EY91" s="24">
        <f t="shared" si="75"/>
        <v>0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4.7435897435897463</v>
      </c>
      <c r="FE91" s="13">
        <f>IF('Données projet'!$A$218&gt;35,FE90+FD91-FM90,IF(A91&lt;'Données projet'!$A$218,$FB$205^A91,IF(A91='Données projet'!$A$218,'Données projet'!$B$218,FE90+FD91-FM90)))</f>
        <v>374.48717948717928</v>
      </c>
      <c r="FF91" s="18">
        <f>FE91*VLOOKUP('Données projet'!$B$16,Paramètres!$A$1:$I$89,3,0)*VLOOKUP('Données projet'!$B$16,Paramètres!$A$1:$I$89,5,0)</f>
        <v>251.20599999999988</v>
      </c>
      <c r="FG91" s="14">
        <f t="shared" si="101"/>
        <v>60.84411522655509</v>
      </c>
      <c r="FH91" s="22">
        <f t="shared" si="76"/>
        <v>543.48728401958329</v>
      </c>
      <c r="FI91" s="62">
        <f t="shared" si="77"/>
        <v>817.16901638877698</v>
      </c>
      <c r="FJ91" s="62">
        <f ca="1">AVERAGE(OFFSET($FI$3,0,0,'Données projet'!$E$16+1,1))-AVERAGE(OFFSET($H$3,0,0,'Données projet'!$E$16+1,1))</f>
        <v>440.90856392064205</v>
      </c>
      <c r="FK91" s="62">
        <f t="shared" si="102"/>
        <v>373.33139300970629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>
        <f>EXP(-LN(2)/35)*FQ90+(1-EXP(-LN(2)/35))/(LN(2)/35)*FM91*FN91*VLOOKUP('Données projet'!$B$16,Paramètres!$A$1:$I$89,3,0)*0.475*44/12</f>
        <v>0</v>
      </c>
      <c r="FR91" s="23">
        <f>EXP(-LN(2)/25)*FR90+(1-EXP(-LN(2)/25))/(LN(2)/25)*Calculateur!FM91*Calculateur!FO91*VLOOKUP('Données projet'!$B$16,Paramètres!$A$1:$I$89,3,0)*0.475*44/12</f>
        <v>0</v>
      </c>
      <c r="FS91" s="23">
        <f>EXP(-LN(2)/2)*FS90+(1-EXP(-LN(2)/2))/(LN(2)/2)*FM91*FP91*VLOOKUP('Données projet'!$B$16,Paramètres!$A$1:$I$89,3,0)*0.475*44/12</f>
        <v>0</v>
      </c>
      <c r="FT91" s="24">
        <f t="shared" si="78"/>
        <v>0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70">
        <f t="shared" si="56"/>
        <v>183.33333333333334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6.6</v>
      </c>
      <c r="N92" s="14">
        <f>IF('Données projet'!$A$36&gt;35,N91+M92-V91,IF(A92&lt;'Données projet'!$A$36,$K$205^A92,IF(A92='Données projet'!$A$36,'Données projet'!$B$36,N91+M92-V91)))</f>
        <v>379.4000000000002</v>
      </c>
      <c r="O92" s="14">
        <f>N92*VLOOKUP('Données projet'!$B$9,Paramètres!$A$1:$I$89,3,0)*VLOOKUP('Données projet'!$B$9,Paramètres!$A$1:$I$89,5,0)</f>
        <v>343.28112000000016</v>
      </c>
      <c r="P92" s="14">
        <f t="shared" si="87"/>
        <v>80.17746720510398</v>
      </c>
      <c r="Q92" s="22">
        <f t="shared" si="54"/>
        <v>737.52370604888972</v>
      </c>
      <c r="R92" s="62">
        <f t="shared" si="55"/>
        <v>1011.5463497604132</v>
      </c>
      <c r="S92" s="62">
        <f ca="1">AVERAGE(OFFSET($R$3,0,0,'Données projet'!$E$9+1,1))-AVERAGE(OFFSET($H$3,0,0,'Données projet'!$E$9+1,1))</f>
        <v>570.08763950759544</v>
      </c>
      <c r="T92" s="62">
        <f t="shared" si="88"/>
        <v>297.32483725004136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-2.2737367544323206E-13</v>
      </c>
      <c r="AJ92" s="14">
        <f>AI92*VLOOKUP('Données projet'!$B$10,Paramètres!$A$1:$I$89,3,0)*VLOOKUP('Données projet'!$B$10,Paramètres!$A$1:$I$89,5,0)</f>
        <v>-1.8089849618263545E-13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394.70330963327166</v>
      </c>
      <c r="AO92" s="62">
        <f t="shared" si="90"/>
        <v>424.06445894109982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-2.2737367544323206E-13</v>
      </c>
      <c r="BE92" s="14">
        <f>BD92*VLOOKUP('Données projet'!$B$11,Paramètres!$A$1:$I$89,3,0)*VLOOKUP('Données projet'!$B$11,Paramètres!$A$1:$I$89,5,0)</f>
        <v>-1.6671037883497774E-13</v>
      </c>
      <c r="BF92" s="14" t="e">
        <f t="shared" si="91"/>
        <v>#NUM!</v>
      </c>
      <c r="BG92" s="22" t="e">
        <f t="shared" si="61"/>
        <v>#NUM!</v>
      </c>
      <c r="BH92" s="62" t="e">
        <f t="shared" si="62"/>
        <v>#NUM!</v>
      </c>
      <c r="BI92" s="62">
        <f ca="1">AVERAGE(OFFSET($BH$3,0,0,'Données projet'!$E$11+1,1))-AVERAGE(OFFSET($H$3,0,0,'Données projet'!$E$11+1,1))</f>
        <v>368.54671978064204</v>
      </c>
      <c r="BJ92" s="62">
        <f t="shared" si="92"/>
        <v>395.83504504492237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5.6843418860808015E-14</v>
      </c>
      <c r="BZ92" s="14">
        <f>BY92*VLOOKUP('Données projet'!$B$12,Paramètres!$A$1:$I$89,3,0)*VLOOKUP('Données projet'!$B$12,Paramètres!$A$1:$I$89,5,0)</f>
        <v>4.4337866711430253E-14</v>
      </c>
      <c r="CA92" s="14">
        <f t="shared" si="93"/>
        <v>7.3222115536967035E-13</v>
      </c>
      <c r="CB92" s="22">
        <f t="shared" si="64"/>
        <v>1.3525069634579169E-12</v>
      </c>
      <c r="CC92" s="62">
        <f t="shared" si="65"/>
        <v>274.02264371152495</v>
      </c>
      <c r="CD92" s="62">
        <f ca="1">AVERAGE(OFFSET($CC$3,0,0,'Données projet'!$E$12+1,1))-AVERAGE(OFFSET($H$3,0,0,'Données projet'!$E$12+1,1))</f>
        <v>309.21625451786218</v>
      </c>
      <c r="CE92" s="62">
        <f t="shared" si="94"/>
        <v>302.59481222418219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4.3589743589743533</v>
      </c>
      <c r="CT92" s="13">
        <f>IF('Données projet'!$A$140&gt;35,CT91+CS92-DB91,IF(A92&lt;'Données projet'!$A$140,$CQ$205^A92,IF(A92='Données projet'!$A$140,'Données projet'!$B$140,CT91+CS92-DB91)))</f>
        <v>292.43589743589746</v>
      </c>
      <c r="CU92" s="18">
        <f>CT92*VLOOKUP('Données projet'!$B$13,Paramètres!$A$1:$I$89,3,0)*VLOOKUP('Données projet'!$B$13,Paramètres!$A$1:$I$89,5,0)</f>
        <v>278.28200000000004</v>
      </c>
      <c r="CV92" s="14">
        <f t="shared" si="95"/>
        <v>66.603816148257522</v>
      </c>
      <c r="CW92" s="22">
        <f t="shared" si="67"/>
        <v>600.67612979154853</v>
      </c>
      <c r="CX92" s="62">
        <f t="shared" si="68"/>
        <v>874.69877350307206</v>
      </c>
      <c r="CY92" s="62">
        <f ca="1">AVERAGE(OFFSET($CX$3,0,0,'Données projet'!$E$13+1,1))-AVERAGE(OFFSET($H$3,0,0,'Données projet'!$E$13+1,1))</f>
        <v>491.87038198656927</v>
      </c>
      <c r="CZ92" s="62">
        <f t="shared" si="96"/>
        <v>406.49261644949559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0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6.6</v>
      </c>
      <c r="DO92" s="13">
        <f>IF('Données projet'!$A$166&gt;35,DO91+DN92-DW91,IF(A92&lt;'Données projet'!$A$166,$DL$205^A92,IF(A92='Données projet'!$A$166,'Données projet'!$B$166,DO91+DN92-DW91)))</f>
        <v>379.4000000000002</v>
      </c>
      <c r="DP92" s="18">
        <f>DO92*VLOOKUP('Données projet'!$B$14,Paramètres!$A$1:$I$89,3,0)*VLOOKUP('Données projet'!$B$14,Paramètres!$A$1:$I$89,5,0)</f>
        <v>366.9556800000002</v>
      </c>
      <c r="DQ92" s="14">
        <f t="shared" si="97"/>
        <v>85.044191072402157</v>
      </c>
      <c r="DR92" s="22">
        <f t="shared" si="70"/>
        <v>787.23310878443408</v>
      </c>
      <c r="DS92" s="62">
        <f t="shared" si="71"/>
        <v>1061.2557524959577</v>
      </c>
      <c r="DT92" s="62">
        <f ca="1">AVERAGE(OFFSET($DS$3,0,0,'Données projet'!$E$14+1,1))-AVERAGE(OFFSET($H$3,0,0,'Données projet'!$E$14+1,1))</f>
        <v>603.52431522262032</v>
      </c>
      <c r="DU92" s="62">
        <f t="shared" si="98"/>
        <v>313.56299786481338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projet'!$B$14,Paramètres!$A$1:$I$89,3,0)*0.475*44/12</f>
        <v>0</v>
      </c>
      <c r="EB92" s="23">
        <f>EXP(-LN(2)/25)*EB91+(1-EXP(-LN(2)/25))/(LN(2)/25)*Calculateur!DW92*Calculateur!DY92*VLOOKUP('Données projet'!$B$14,Paramètres!$A$1:$I$89,3,0)*0.475*44/12</f>
        <v>0</v>
      </c>
      <c r="EC92" s="23">
        <f>EXP(-LN(2)/2)*EC91+(1-EXP(-LN(2)/2))/(LN(2)/2)*DW92*DZ92*VLOOKUP('Données projet'!$B$14,Paramètres!$A$1:$I$89,3,0)*0.475*44/12</f>
        <v>0</v>
      </c>
      <c r="ED92" s="24">
        <f t="shared" si="72"/>
        <v>0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-1.1368683772161603E-13</v>
      </c>
      <c r="EK92" s="18">
        <f>EJ92*VLOOKUP('Données projet'!$B$15,Paramètres!$A$1:$I$89,3,0)*VLOOKUP('Données projet'!$B$15,Paramètres!$A$1:$I$89,5,0)</f>
        <v>-9.2222762759774927E-14</v>
      </c>
      <c r="EL92" s="14" t="e">
        <f t="shared" si="99"/>
        <v>#NUM!</v>
      </c>
      <c r="EM92" s="22" t="e">
        <f t="shared" si="73"/>
        <v>#NUM!</v>
      </c>
      <c r="EN92" s="62" t="e">
        <f t="shared" si="74"/>
        <v>#NUM!</v>
      </c>
      <c r="EO92" s="62">
        <f ca="1">AVERAGE(OFFSET($EN$3,0,0,'Données projet'!$E$15+1,1))-AVERAGE(OFFSET($H$3,0,0,'Données projet'!$E$15+1,1))</f>
        <v>272.69564942740931</v>
      </c>
      <c r="EP92" s="62">
        <f t="shared" si="100"/>
        <v>316.57989180609252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>
        <f>EXP(-LN(2)/35)*EV91+(1-EXP(-LN(2)/35))/(LN(2)/35)*ER92*ES92*VLOOKUP('Données projet'!$B$15,Paramètres!$A$1:$I$89,3,0)*0.475*44/12</f>
        <v>0</v>
      </c>
      <c r="EW92" s="23">
        <f>EXP(-LN(2)/25)*EW91+(1-EXP(-LN(2)/25))/(LN(2)/25)*Calculateur!ER92*Calculateur!ET92*VLOOKUP('Données projet'!$B$15,Paramètres!$A$1:$I$89,3,0)*0.475*44/12</f>
        <v>0</v>
      </c>
      <c r="EX92" s="23">
        <f>EXP(-LN(2)/2)*EX91+(1-EXP(-LN(2)/2))/(LN(2)/2)*ER92*EU92*VLOOKUP('Données projet'!$B$15,Paramètres!$A$1:$I$89,3,0)*0.475*44/12</f>
        <v>0</v>
      </c>
      <c r="EY92" s="24">
        <f t="shared" si="75"/>
        <v>0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4.7435897435897463</v>
      </c>
      <c r="FE92" s="13">
        <f>IF('Données projet'!$A$218&gt;35,FE91+FD92-FM91,IF(A92&lt;'Données projet'!$A$218,$FB$205^A92,IF(A92='Données projet'!$A$218,'Données projet'!$B$218,FE91+FD92-FM91)))</f>
        <v>379.230769230769</v>
      </c>
      <c r="FF92" s="18">
        <f>FE92*VLOOKUP('Données projet'!$B$16,Paramètres!$A$1:$I$89,3,0)*VLOOKUP('Données projet'!$B$16,Paramètres!$A$1:$I$89,5,0)</f>
        <v>254.38799999999986</v>
      </c>
      <c r="FG92" s="14">
        <f t="shared" si="101"/>
        <v>61.524611371052274</v>
      </c>
      <c r="FH92" s="22">
        <f t="shared" si="76"/>
        <v>550.21446480458246</v>
      </c>
      <c r="FI92" s="62">
        <f t="shared" si="77"/>
        <v>824.23710851610599</v>
      </c>
      <c r="FJ92" s="62">
        <f ca="1">AVERAGE(OFFSET($FI$3,0,0,'Données projet'!$E$16+1,1))-AVERAGE(OFFSET($H$3,0,0,'Données projet'!$E$16+1,1))</f>
        <v>440.90856392064205</v>
      </c>
      <c r="FK92" s="62">
        <f t="shared" si="102"/>
        <v>373.33139300970629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>
        <f>EXP(-LN(2)/35)*FQ91+(1-EXP(-LN(2)/35))/(LN(2)/35)*FM92*FN92*VLOOKUP('Données projet'!$B$16,Paramètres!$A$1:$I$89,3,0)*0.475*44/12</f>
        <v>0</v>
      </c>
      <c r="FR92" s="23">
        <f>EXP(-LN(2)/25)*FR91+(1-EXP(-LN(2)/25))/(LN(2)/25)*Calculateur!FM92*Calculateur!FO92*VLOOKUP('Données projet'!$B$16,Paramètres!$A$1:$I$89,3,0)*0.475*44/12</f>
        <v>0</v>
      </c>
      <c r="FS92" s="23">
        <f>EXP(-LN(2)/2)*FS91+(1-EXP(-LN(2)/2))/(LN(2)/2)*FM92*FP92*VLOOKUP('Données projet'!$B$16,Paramètres!$A$1:$I$89,3,0)*0.475*44/12</f>
        <v>0</v>
      </c>
      <c r="FT92" s="24">
        <f t="shared" si="78"/>
        <v>0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70">
        <f t="shared" si="56"/>
        <v>183.33333333333334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386</v>
      </c>
      <c r="L93" s="13">
        <f>VLOOKUP(A93,'Données projet'!$A$35:$I$55,9,0)</f>
        <v>6.6</v>
      </c>
      <c r="M93" s="13">
        <f t="array" ref="M93">INDEX(L:L,MIN(IF(ISNUMBER(L93:L289),ROW(L93:L289),"")))</f>
        <v>6.6</v>
      </c>
      <c r="N93" s="14">
        <f>IF('Données projet'!$A$36&gt;35,N92+M93-V92,IF(A93&lt;'Données projet'!$A$36,$K$205^A93,IF(A93='Données projet'!$A$36,'Données projet'!$B$36,N92+M93-V92)))</f>
        <v>386.00000000000023</v>
      </c>
      <c r="O93" s="14">
        <f>N93*VLOOKUP('Données projet'!$B$9,Paramètres!$A$1:$I$89,3,0)*VLOOKUP('Données projet'!$B$9,Paramètres!$A$1:$I$89,5,0)</f>
        <v>349.25280000000021</v>
      </c>
      <c r="P93" s="14">
        <f t="shared" si="87"/>
        <v>81.408635866358992</v>
      </c>
      <c r="Q93" s="22">
        <f t="shared" si="54"/>
        <v>750.06866746724211</v>
      </c>
      <c r="R93" s="62">
        <f t="shared" si="55"/>
        <v>1024.4263084714698</v>
      </c>
      <c r="S93" s="62">
        <f ca="1">AVERAGE(OFFSET($R$3,0,0,'Données projet'!$E$9+1,1))-AVERAGE(OFFSET($H$3,0,0,'Données projet'!$E$9+1,1))</f>
        <v>570.08763950759544</v>
      </c>
      <c r="T93" s="62">
        <f t="shared" si="88"/>
        <v>297.32483725004136</v>
      </c>
      <c r="U93" s="16">
        <f>IF(ISNA(VLOOKUP(A93,'Données projet'!$A$35:$I$55,3,0)),0,VLOOKUP(A93,'Données projet'!$A$35:$I$55,3,0))</f>
        <v>7</v>
      </c>
      <c r="V93" s="16">
        <f>IF(ISNA(VLOOKUP(A93,'Données projet'!$A$35:$I$55,4,0)),0,VLOOKUP(A93,'Données projet'!$A$35:$I$55,4,0))</f>
        <v>84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-2.2737367544323206E-13</v>
      </c>
      <c r="AJ93" s="14">
        <f>AI93*VLOOKUP('Données projet'!$B$10,Paramètres!$A$1:$I$89,3,0)*VLOOKUP('Données projet'!$B$10,Paramètres!$A$1:$I$89,5,0)</f>
        <v>-1.8089849618263545E-13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394.70330963327166</v>
      </c>
      <c r="AO93" s="62">
        <f t="shared" si="90"/>
        <v>424.06445894109982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-2.2737367544323206E-13</v>
      </c>
      <c r="BE93" s="14">
        <f>BD93*VLOOKUP('Données projet'!$B$11,Paramètres!$A$1:$I$89,3,0)*VLOOKUP('Données projet'!$B$11,Paramètres!$A$1:$I$89,5,0)</f>
        <v>-1.6671037883497774E-13</v>
      </c>
      <c r="BF93" s="14" t="e">
        <f t="shared" si="91"/>
        <v>#NUM!</v>
      </c>
      <c r="BG93" s="22" t="e">
        <f t="shared" si="61"/>
        <v>#NUM!</v>
      </c>
      <c r="BH93" s="62" t="e">
        <f t="shared" si="62"/>
        <v>#NUM!</v>
      </c>
      <c r="BI93" s="62">
        <f ca="1">AVERAGE(OFFSET($BH$3,0,0,'Données projet'!$E$11+1,1))-AVERAGE(OFFSET($H$3,0,0,'Données projet'!$E$11+1,1))</f>
        <v>368.54671978064204</v>
      </c>
      <c r="BJ93" s="62">
        <f t="shared" si="92"/>
        <v>395.83504504492237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5.6843418860808015E-14</v>
      </c>
      <c r="BZ93" s="14">
        <f>BY93*VLOOKUP('Données projet'!$B$12,Paramètres!$A$1:$I$89,3,0)*VLOOKUP('Données projet'!$B$12,Paramètres!$A$1:$I$89,5,0)</f>
        <v>4.4337866711430253E-14</v>
      </c>
      <c r="CA93" s="14">
        <f t="shared" si="93"/>
        <v>7.3222115536967035E-13</v>
      </c>
      <c r="CB93" s="22">
        <f t="shared" si="64"/>
        <v>1.3525069634579169E-12</v>
      </c>
      <c r="CC93" s="62">
        <f t="shared" si="65"/>
        <v>274.35764100422904</v>
      </c>
      <c r="CD93" s="62">
        <f ca="1">AVERAGE(OFFSET($CC$3,0,0,'Données projet'!$E$12+1,1))-AVERAGE(OFFSET($H$3,0,0,'Données projet'!$E$12+1,1))</f>
        <v>309.21625451786218</v>
      </c>
      <c r="CE93" s="62">
        <f t="shared" si="94"/>
        <v>302.59481222418219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>
        <f>VLOOKUP(A93,'Données projet'!$A$139:$I$159,2,0)</f>
        <v>296.79487179487177</v>
      </c>
      <c r="CR93" s="13">
        <f>VLOOKUP(A93,'Données projet'!$A$139:$I$159,9,0)</f>
        <v>4.3589743589743533</v>
      </c>
      <c r="CS93" s="13">
        <f t="array" ref="CS93">INDEX(CR:CR,MIN(IF(ISNUMBER(CR93:CR289),ROW(CR93:CR289),"")))</f>
        <v>4.3589743589743533</v>
      </c>
      <c r="CT93" s="13">
        <f>IF('Données projet'!$A$140&gt;35,CT92+CS93-DB92,IF(A93&lt;'Données projet'!$A$140,$CQ$205^A93,IF(A93='Données projet'!$A$140,'Données projet'!$B$140,CT92+CS93-DB92)))</f>
        <v>296.79487179487182</v>
      </c>
      <c r="CU93" s="18">
        <f>CT93*VLOOKUP('Données projet'!$B$13,Paramètres!$A$1:$I$89,3,0)*VLOOKUP('Données projet'!$B$13,Paramètres!$A$1:$I$89,5,0)</f>
        <v>282.43</v>
      </c>
      <c r="CV93" s="14">
        <f t="shared" si="95"/>
        <v>67.480279189447444</v>
      </c>
      <c r="CW93" s="22">
        <f t="shared" si="67"/>
        <v>609.42706958828774</v>
      </c>
      <c r="CX93" s="62">
        <f t="shared" si="68"/>
        <v>883.78471059251547</v>
      </c>
      <c r="CY93" s="62">
        <f ca="1">AVERAGE(OFFSET($CX$3,0,0,'Données projet'!$E$13+1,1))-AVERAGE(OFFSET($H$3,0,0,'Données projet'!$E$13+1,1))</f>
        <v>491.87038198656927</v>
      </c>
      <c r="CZ93" s="62">
        <f t="shared" si="96"/>
        <v>406.49261644949559</v>
      </c>
      <c r="DA93" s="16">
        <f>IF(ISNA(VLOOKUP(A93,'Données projet'!$A$139:$I$159,3,0)),0,VLOOKUP(A93,'Données projet'!$A$139:$I$159,3,0))</f>
        <v>8</v>
      </c>
      <c r="DB93" s="16">
        <f>IF(ISNA(VLOOKUP(A93,'Données projet'!$A$139:$I$159,4,0)),0,VLOOKUP(A93,'Données projet'!$A$139:$I$159,4,0))</f>
        <v>32.051282051282051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0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>
        <f>VLOOKUP(A93,'Données projet'!$A$165:$I$185,2,0)</f>
        <v>386</v>
      </c>
      <c r="DM93" s="13">
        <f>VLOOKUP(A93,'Données projet'!$A$165:$I$185,9,0)</f>
        <v>6.6</v>
      </c>
      <c r="DN93" s="13">
        <f t="array" ref="DN93">INDEX(DM:DM,MIN(IF(ISNUMBER(DM93:DM289),ROW(DM93:DM289),"")))</f>
        <v>6.6</v>
      </c>
      <c r="DO93" s="13">
        <f>IF('Données projet'!$A$166&gt;35,DO92+DN93-DW92,IF(A93&lt;'Données projet'!$A$166,$DL$205^A93,IF(A93='Données projet'!$A$166,'Données projet'!$B$166,DO92+DN93-DW92)))</f>
        <v>386.00000000000023</v>
      </c>
      <c r="DP93" s="18">
        <f>DO93*VLOOKUP('Données projet'!$B$14,Paramètres!$A$1:$I$89,3,0)*VLOOKUP('Données projet'!$B$14,Paramètres!$A$1:$I$89,5,0)</f>
        <v>373.33920000000023</v>
      </c>
      <c r="DQ93" s="14">
        <f t="shared" si="97"/>
        <v>86.350090928308958</v>
      </c>
      <c r="DR93" s="22">
        <f t="shared" si="70"/>
        <v>800.62551503347186</v>
      </c>
      <c r="DS93" s="62">
        <f t="shared" si="71"/>
        <v>1074.9831560376995</v>
      </c>
      <c r="DT93" s="62">
        <f ca="1">AVERAGE(OFFSET($DS$3,0,0,'Données projet'!$E$14+1,1))-AVERAGE(OFFSET($H$3,0,0,'Données projet'!$E$14+1,1))</f>
        <v>603.52431522262032</v>
      </c>
      <c r="DU93" s="62">
        <f t="shared" si="98"/>
        <v>313.56299786481338</v>
      </c>
      <c r="DV93" s="16">
        <f>IF(ISNA(VLOOKUP(A93,'Données projet'!$A$165:$I$185,3,0)),0,VLOOKUP(A93,'Données projet'!$A$165:$I$185,3,0))</f>
        <v>7</v>
      </c>
      <c r="DW93" s="16">
        <f>IF(ISNA(VLOOKUP(A93,'Données projet'!$A$165:$I$185,4,0)),0,VLOOKUP(A93,'Données projet'!$A$165:$I$185,4,0))</f>
        <v>84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projet'!$B$14,Paramètres!$A$1:$I$89,3,0)*0.475*44/12</f>
        <v>0</v>
      </c>
      <c r="EB93" s="23">
        <f>EXP(-LN(2)/25)*EB92+(1-EXP(-LN(2)/25))/(LN(2)/25)*Calculateur!DW93*Calculateur!DY93*VLOOKUP('Données projet'!$B$14,Paramètres!$A$1:$I$89,3,0)*0.475*44/12</f>
        <v>0</v>
      </c>
      <c r="EC93" s="23">
        <f>EXP(-LN(2)/2)*EC92+(1-EXP(-LN(2)/2))/(LN(2)/2)*DW93*DZ93*VLOOKUP('Données projet'!$B$14,Paramètres!$A$1:$I$89,3,0)*0.475*44/12</f>
        <v>0</v>
      </c>
      <c r="ED93" s="24">
        <f t="shared" si="72"/>
        <v>0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-1.1368683772161603E-13</v>
      </c>
      <c r="EK93" s="18">
        <f>EJ93*VLOOKUP('Données projet'!$B$15,Paramètres!$A$1:$I$89,3,0)*VLOOKUP('Données projet'!$B$15,Paramètres!$A$1:$I$89,5,0)</f>
        <v>-9.2222762759774927E-14</v>
      </c>
      <c r="EL93" s="14" t="e">
        <f t="shared" si="99"/>
        <v>#NUM!</v>
      </c>
      <c r="EM93" s="22" t="e">
        <f t="shared" si="73"/>
        <v>#NUM!</v>
      </c>
      <c r="EN93" s="62" t="e">
        <f t="shared" si="74"/>
        <v>#NUM!</v>
      </c>
      <c r="EO93" s="62">
        <f ca="1">AVERAGE(OFFSET($EN$3,0,0,'Données projet'!$E$15+1,1))-AVERAGE(OFFSET($H$3,0,0,'Données projet'!$E$15+1,1))</f>
        <v>272.69564942740931</v>
      </c>
      <c r="EP93" s="62">
        <f t="shared" si="100"/>
        <v>316.57989180609252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>
        <f>EXP(-LN(2)/35)*EV92+(1-EXP(-LN(2)/35))/(LN(2)/35)*ER93*ES93*VLOOKUP('Données projet'!$B$15,Paramètres!$A$1:$I$89,3,0)*0.475*44/12</f>
        <v>0</v>
      </c>
      <c r="EW93" s="23">
        <f>EXP(-LN(2)/25)*EW92+(1-EXP(-LN(2)/25))/(LN(2)/25)*Calculateur!ER93*Calculateur!ET93*VLOOKUP('Données projet'!$B$15,Paramètres!$A$1:$I$89,3,0)*0.475*44/12</f>
        <v>0</v>
      </c>
      <c r="EX93" s="23">
        <f>EXP(-LN(2)/2)*EX92+(1-EXP(-LN(2)/2))/(LN(2)/2)*ER93*EU93*VLOOKUP('Données projet'!$B$15,Paramètres!$A$1:$I$89,3,0)*0.475*44/12</f>
        <v>0</v>
      </c>
      <c r="EY93" s="24">
        <f t="shared" si="75"/>
        <v>0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>
        <f>VLOOKUP(A93,'Données projet'!$A$217:$I$237,2,0)</f>
        <v>383.97435897435895</v>
      </c>
      <c r="FC93" s="13">
        <f>VLOOKUP(A93,'Données projet'!$A$217:$I$237,9,0)</f>
        <v>4.7435897435897463</v>
      </c>
      <c r="FD93" s="13">
        <f t="array" ref="FD93">INDEX(FC:FC,MIN(IF(ISNUMBER(FC93:FC289),ROW(FC93:FC289),"")))</f>
        <v>4.7435897435897463</v>
      </c>
      <c r="FE93" s="13">
        <f>IF('Données projet'!$A$218&gt;35,FE92+FD93-FM92,IF(A93&lt;'Données projet'!$A$218,$FB$205^A93,IF(A93='Données projet'!$A$218,'Données projet'!$B$218,FE92+FD93-FM92)))</f>
        <v>383.97435897435872</v>
      </c>
      <c r="FF93" s="18">
        <f>FE93*VLOOKUP('Données projet'!$B$16,Paramètres!$A$1:$I$89,3,0)*VLOOKUP('Données projet'!$B$16,Paramètres!$A$1:$I$89,5,0)</f>
        <v>257.56999999999982</v>
      </c>
      <c r="FG93" s="14">
        <f t="shared" si="101"/>
        <v>62.204117417841346</v>
      </c>
      <c r="FH93" s="22">
        <f t="shared" si="76"/>
        <v>556.9399211694066</v>
      </c>
      <c r="FI93" s="62">
        <f t="shared" si="77"/>
        <v>831.29756217363433</v>
      </c>
      <c r="FJ93" s="62">
        <f ca="1">AVERAGE(OFFSET($FI$3,0,0,'Données projet'!$E$16+1,1))-AVERAGE(OFFSET($H$3,0,0,'Données projet'!$E$16+1,1))</f>
        <v>440.90856392064205</v>
      </c>
      <c r="FK93" s="62">
        <f t="shared" si="102"/>
        <v>373.33139300970629</v>
      </c>
      <c r="FL93" s="16">
        <f>IF(ISNA(VLOOKUP(A93,'Données projet'!$A$217:$I$237,3,0)),0,VLOOKUP(A93,'Données projet'!$A$217:$I$237,3,0))</f>
        <v>8</v>
      </c>
      <c r="FM93" s="16">
        <f>IF(ISNA(VLOOKUP(A93,'Données projet'!$A$217:$I$237,4,0)),0,VLOOKUP(A93,'Données projet'!$A$217:$I$237,4,0))</f>
        <v>30.128205128205128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>
        <f>EXP(-LN(2)/35)*FQ92+(1-EXP(-LN(2)/35))/(LN(2)/35)*FM93*FN93*VLOOKUP('Données projet'!$B$16,Paramètres!$A$1:$I$89,3,0)*0.475*44/12</f>
        <v>0</v>
      </c>
      <c r="FR93" s="23">
        <f>EXP(-LN(2)/25)*FR92+(1-EXP(-LN(2)/25))/(LN(2)/25)*Calculateur!FM93*Calculateur!FO93*VLOOKUP('Données projet'!$B$16,Paramètres!$A$1:$I$89,3,0)*0.475*44/12</f>
        <v>0</v>
      </c>
      <c r="FS93" s="23">
        <f>EXP(-LN(2)/2)*FS92+(1-EXP(-LN(2)/2))/(LN(2)/2)*FM93*FP93*VLOOKUP('Données projet'!$B$16,Paramètres!$A$1:$I$89,3,0)*0.475*44/12</f>
        <v>0</v>
      </c>
      <c r="FT93" s="24">
        <f t="shared" si="78"/>
        <v>0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70">
        <f t="shared" si="56"/>
        <v>183.33333333333334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5.9</v>
      </c>
      <c r="N94" s="14">
        <f>IF('Données projet'!$A$36&gt;35,N93+M94-V93,IF(A94&lt;'Données projet'!$A$36,$K$205^A94,IF(A94='Données projet'!$A$36,'Données projet'!$B$36,N93+M94-V93)))</f>
        <v>307.9000000000002</v>
      </c>
      <c r="O94" s="14">
        <f>N94*VLOOKUP('Données projet'!$B$9,Paramètres!$A$1:$I$89,3,0)*VLOOKUP('Données projet'!$B$9,Paramètres!$A$1:$I$89,5,0)</f>
        <v>278.58792000000017</v>
      </c>
      <c r="P94" s="14">
        <f t="shared" si="87"/>
        <v>66.668508032294284</v>
      </c>
      <c r="Q94" s="22">
        <f t="shared" si="54"/>
        <v>601.32161215624615</v>
      </c>
      <c r="R94" s="62">
        <f t="shared" si="55"/>
        <v>876.00843899909114</v>
      </c>
      <c r="S94" s="62">
        <f ca="1">AVERAGE(OFFSET($R$3,0,0,'Données projet'!$E$9+1,1))-AVERAGE(OFFSET($H$3,0,0,'Données projet'!$E$9+1,1))</f>
        <v>570.08763950759544</v>
      </c>
      <c r="T94" s="62">
        <f t="shared" si="88"/>
        <v>297.32483725004136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-2.2737367544323206E-13</v>
      </c>
      <c r="AJ94" s="14">
        <f>AI94*VLOOKUP('Données projet'!$B$10,Paramètres!$A$1:$I$89,3,0)*VLOOKUP('Données projet'!$B$10,Paramètres!$A$1:$I$89,5,0)</f>
        <v>-1.8089849618263545E-13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394.70330963327166</v>
      </c>
      <c r="AO94" s="62">
        <f t="shared" si="90"/>
        <v>424.06445894109982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-2.2737367544323206E-13</v>
      </c>
      <c r="BE94" s="14">
        <f>BD94*VLOOKUP('Données projet'!$B$11,Paramètres!$A$1:$I$89,3,0)*VLOOKUP('Données projet'!$B$11,Paramètres!$A$1:$I$89,5,0)</f>
        <v>-1.6671037883497774E-13</v>
      </c>
      <c r="BF94" s="14" t="e">
        <f t="shared" si="91"/>
        <v>#NUM!</v>
      </c>
      <c r="BG94" s="22" t="e">
        <f t="shared" si="61"/>
        <v>#NUM!</v>
      </c>
      <c r="BH94" s="62" t="e">
        <f t="shared" si="62"/>
        <v>#NUM!</v>
      </c>
      <c r="BI94" s="62">
        <f ca="1">AVERAGE(OFFSET($BH$3,0,0,'Données projet'!$E$11+1,1))-AVERAGE(OFFSET($H$3,0,0,'Données projet'!$E$11+1,1))</f>
        <v>368.54671978064204</v>
      </c>
      <c r="BJ94" s="62">
        <f t="shared" si="92"/>
        <v>395.83504504492237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5.6843418860808015E-14</v>
      </c>
      <c r="BZ94" s="14">
        <f>BY94*VLOOKUP('Données projet'!$B$12,Paramètres!$A$1:$I$89,3,0)*VLOOKUP('Données projet'!$B$12,Paramètres!$A$1:$I$89,5,0)</f>
        <v>4.4337866711430253E-14</v>
      </c>
      <c r="CA94" s="14">
        <f t="shared" si="93"/>
        <v>7.3222115536967035E-13</v>
      </c>
      <c r="CB94" s="22">
        <f t="shared" si="64"/>
        <v>1.3525069634579169E-12</v>
      </c>
      <c r="CC94" s="62">
        <f t="shared" si="65"/>
        <v>274.68682684284641</v>
      </c>
      <c r="CD94" s="62">
        <f ca="1">AVERAGE(OFFSET($CC$3,0,0,'Données projet'!$E$12+1,1))-AVERAGE(OFFSET($H$3,0,0,'Données projet'!$E$12+1,1))</f>
        <v>309.21625451786218</v>
      </c>
      <c r="CE94" s="62">
        <f t="shared" si="94"/>
        <v>302.59481222418219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4.1025641025640995</v>
      </c>
      <c r="CT94" s="13">
        <f>IF('Données projet'!$A$140&gt;35,CT93+CS94-DB93,IF(A94&lt;'Données projet'!$A$140,$CQ$205^A94,IF(A94='Données projet'!$A$140,'Données projet'!$B$140,CT93+CS94-DB93)))</f>
        <v>268.84615384615387</v>
      </c>
      <c r="CU94" s="18">
        <f>CT94*VLOOKUP('Données projet'!$B$13,Paramètres!$A$1:$I$89,3,0)*VLOOKUP('Données projet'!$B$13,Paramètres!$A$1:$I$89,5,0)</f>
        <v>255.834</v>
      </c>
      <c r="CV94" s="14">
        <f t="shared" si="95"/>
        <v>61.833522008345177</v>
      </c>
      <c r="CW94" s="22">
        <f t="shared" si="67"/>
        <v>553.27093416453454</v>
      </c>
      <c r="CX94" s="62">
        <f t="shared" si="68"/>
        <v>827.95776100737953</v>
      </c>
      <c r="CY94" s="62">
        <f ca="1">AVERAGE(OFFSET($CX$3,0,0,'Données projet'!$E$13+1,1))-AVERAGE(OFFSET($H$3,0,0,'Données projet'!$E$13+1,1))</f>
        <v>491.87038198656927</v>
      </c>
      <c r="CZ94" s="62">
        <f t="shared" si="96"/>
        <v>406.49261644949559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0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5.9</v>
      </c>
      <c r="DO94" s="13">
        <f>IF('Données projet'!$A$166&gt;35,DO93+DN94-DW93,IF(A94&lt;'Données projet'!$A$166,$DL$205^A94,IF(A94='Données projet'!$A$166,'Données projet'!$B$166,DO93+DN94-DW93)))</f>
        <v>307.9000000000002</v>
      </c>
      <c r="DP94" s="18">
        <f>DO94*VLOOKUP('Données projet'!$B$14,Paramètres!$A$1:$I$89,3,0)*VLOOKUP('Données projet'!$B$14,Paramètres!$A$1:$I$89,5,0)</f>
        <v>297.80088000000023</v>
      </c>
      <c r="DQ94" s="14">
        <f t="shared" si="97"/>
        <v>70.715246231293804</v>
      </c>
      <c r="DR94" s="22">
        <f t="shared" si="70"/>
        <v>641.83225318617042</v>
      </c>
      <c r="DS94" s="62">
        <f t="shared" si="71"/>
        <v>916.51908002901541</v>
      </c>
      <c r="DT94" s="62">
        <f ca="1">AVERAGE(OFFSET($DS$3,0,0,'Données projet'!$E$14+1,1))-AVERAGE(OFFSET($H$3,0,0,'Données projet'!$E$14+1,1))</f>
        <v>603.52431522262032</v>
      </c>
      <c r="DU94" s="62">
        <f t="shared" si="98"/>
        <v>313.56299786481338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projet'!$B$14,Paramètres!$A$1:$I$89,3,0)*0.475*44/12</f>
        <v>0</v>
      </c>
      <c r="EB94" s="23">
        <f>EXP(-LN(2)/25)*EB93+(1-EXP(-LN(2)/25))/(LN(2)/25)*Calculateur!DW94*Calculateur!DY94*VLOOKUP('Données projet'!$B$14,Paramètres!$A$1:$I$89,3,0)*0.475*44/12</f>
        <v>0</v>
      </c>
      <c r="EC94" s="23">
        <f>EXP(-LN(2)/2)*EC93+(1-EXP(-LN(2)/2))/(LN(2)/2)*DW94*DZ94*VLOOKUP('Données projet'!$B$14,Paramètres!$A$1:$I$89,3,0)*0.475*44/12</f>
        <v>0</v>
      </c>
      <c r="ED94" s="24">
        <f t="shared" si="72"/>
        <v>0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-1.1368683772161603E-13</v>
      </c>
      <c r="EK94" s="18">
        <f>EJ94*VLOOKUP('Données projet'!$B$15,Paramètres!$A$1:$I$89,3,0)*VLOOKUP('Données projet'!$B$15,Paramètres!$A$1:$I$89,5,0)</f>
        <v>-9.2222762759774927E-14</v>
      </c>
      <c r="EL94" s="14" t="e">
        <f t="shared" si="99"/>
        <v>#NUM!</v>
      </c>
      <c r="EM94" s="22" t="e">
        <f t="shared" si="73"/>
        <v>#NUM!</v>
      </c>
      <c r="EN94" s="62" t="e">
        <f t="shared" si="74"/>
        <v>#NUM!</v>
      </c>
      <c r="EO94" s="62">
        <f ca="1">AVERAGE(OFFSET($EN$3,0,0,'Données projet'!$E$15+1,1))-AVERAGE(OFFSET($H$3,0,0,'Données projet'!$E$15+1,1))</f>
        <v>272.69564942740931</v>
      </c>
      <c r="EP94" s="62">
        <f t="shared" si="100"/>
        <v>316.57989180609252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>
        <f>EXP(-LN(2)/35)*EV93+(1-EXP(-LN(2)/35))/(LN(2)/35)*ER94*ES94*VLOOKUP('Données projet'!$B$15,Paramètres!$A$1:$I$89,3,0)*0.475*44/12</f>
        <v>0</v>
      </c>
      <c r="EW94" s="23">
        <f>EXP(-LN(2)/25)*EW93+(1-EXP(-LN(2)/25))/(LN(2)/25)*Calculateur!ER94*Calculateur!ET94*VLOOKUP('Données projet'!$B$15,Paramètres!$A$1:$I$89,3,0)*0.475*44/12</f>
        <v>0</v>
      </c>
      <c r="EX94" s="23">
        <f>EXP(-LN(2)/2)*EX93+(1-EXP(-LN(2)/2))/(LN(2)/2)*ER94*EU94*VLOOKUP('Données projet'!$B$15,Paramètres!$A$1:$I$89,3,0)*0.475*44/12</f>
        <v>0</v>
      </c>
      <c r="EY94" s="24">
        <f t="shared" si="75"/>
        <v>0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4.4871794871794917</v>
      </c>
      <c r="FE94" s="13">
        <f>IF('Données projet'!$A$218&gt;35,FE93+FD94-FM93,IF(A94&lt;'Données projet'!$A$218,$FB$205^A94,IF(A94='Données projet'!$A$218,'Données projet'!$B$218,FE93+FD94-FM93)))</f>
        <v>358.33333333333309</v>
      </c>
      <c r="FF94" s="18">
        <f>FE94*VLOOKUP('Données projet'!$B$16,Paramètres!$A$1:$I$89,3,0)*VLOOKUP('Données projet'!$B$16,Paramètres!$A$1:$I$89,5,0)</f>
        <v>240.36999999999983</v>
      </c>
      <c r="FG94" s="14">
        <f t="shared" si="101"/>
        <v>58.519130645958803</v>
      </c>
      <c r="FH94" s="22">
        <f t="shared" si="76"/>
        <v>520.56523587504466</v>
      </c>
      <c r="FI94" s="62">
        <f t="shared" si="77"/>
        <v>795.25206271788966</v>
      </c>
      <c r="FJ94" s="62">
        <f ca="1">AVERAGE(OFFSET($FI$3,0,0,'Données projet'!$E$16+1,1))-AVERAGE(OFFSET($H$3,0,0,'Données projet'!$E$16+1,1))</f>
        <v>440.90856392064205</v>
      </c>
      <c r="FK94" s="62">
        <f t="shared" si="102"/>
        <v>373.33139300970629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>
        <f>EXP(-LN(2)/35)*FQ93+(1-EXP(-LN(2)/35))/(LN(2)/35)*FM94*FN94*VLOOKUP('Données projet'!$B$16,Paramètres!$A$1:$I$89,3,0)*0.475*44/12</f>
        <v>0</v>
      </c>
      <c r="FR94" s="23">
        <f>EXP(-LN(2)/25)*FR93+(1-EXP(-LN(2)/25))/(LN(2)/25)*Calculateur!FM94*Calculateur!FO94*VLOOKUP('Données projet'!$B$16,Paramètres!$A$1:$I$89,3,0)*0.475*44/12</f>
        <v>0</v>
      </c>
      <c r="FS94" s="23">
        <f>EXP(-LN(2)/2)*FS93+(1-EXP(-LN(2)/2))/(LN(2)/2)*FM94*FP94*VLOOKUP('Données projet'!$B$16,Paramètres!$A$1:$I$89,3,0)*0.475*44/12</f>
        <v>0</v>
      </c>
      <c r="FT94" s="24">
        <f t="shared" si="78"/>
        <v>0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70">
        <f t="shared" si="56"/>
        <v>183.33333333333334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5.9</v>
      </c>
      <c r="N95" s="14">
        <f>IF('Données projet'!$A$36&gt;35,N94+M95-V94,IF(A95&lt;'Données projet'!$A$36,$K$205^A95,IF(A95='Données projet'!$A$36,'Données projet'!$B$36,N94+M95-V94)))</f>
        <v>313.80000000000018</v>
      </c>
      <c r="O95" s="14">
        <f>N95*VLOOKUP('Données projet'!$B$9,Paramètres!$A$1:$I$89,3,0)*VLOOKUP('Données projet'!$B$9,Paramètres!$A$1:$I$89,5,0)</f>
        <v>283.92624000000018</v>
      </c>
      <c r="P95" s="14">
        <f t="shared" si="87"/>
        <v>67.796062628528361</v>
      </c>
      <c r="Q95" s="22">
        <f t="shared" si="54"/>
        <v>612.58301041135394</v>
      </c>
      <c r="R95" s="62">
        <f t="shared" si="55"/>
        <v>887.5933124544656</v>
      </c>
      <c r="S95" s="62">
        <f ca="1">AVERAGE(OFFSET($R$3,0,0,'Données projet'!$E$9+1,1))-AVERAGE(OFFSET($H$3,0,0,'Données projet'!$E$9+1,1))</f>
        <v>570.08763950759544</v>
      </c>
      <c r="T95" s="62">
        <f t="shared" si="88"/>
        <v>297.32483725004136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-2.2737367544323206E-13</v>
      </c>
      <c r="AJ95" s="14">
        <f>AI95*VLOOKUP('Données projet'!$B$10,Paramètres!$A$1:$I$89,3,0)*VLOOKUP('Données projet'!$B$10,Paramètres!$A$1:$I$89,5,0)</f>
        <v>-1.8089849618263545E-13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394.70330963327166</v>
      </c>
      <c r="AO95" s="62">
        <f t="shared" si="90"/>
        <v>424.06445894109982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-2.2737367544323206E-13</v>
      </c>
      <c r="BE95" s="14">
        <f>BD95*VLOOKUP('Données projet'!$B$11,Paramètres!$A$1:$I$89,3,0)*VLOOKUP('Données projet'!$B$11,Paramètres!$A$1:$I$89,5,0)</f>
        <v>-1.6671037883497774E-13</v>
      </c>
      <c r="BF95" s="14" t="e">
        <f t="shared" si="91"/>
        <v>#NUM!</v>
      </c>
      <c r="BG95" s="22" t="e">
        <f t="shared" si="61"/>
        <v>#NUM!</v>
      </c>
      <c r="BH95" s="62" t="e">
        <f t="shared" si="62"/>
        <v>#NUM!</v>
      </c>
      <c r="BI95" s="62">
        <f ca="1">AVERAGE(OFFSET($BH$3,0,0,'Données projet'!$E$11+1,1))-AVERAGE(OFFSET($H$3,0,0,'Données projet'!$E$11+1,1))</f>
        <v>368.54671978064204</v>
      </c>
      <c r="BJ95" s="62">
        <f t="shared" si="92"/>
        <v>395.83504504492237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5.6843418860808015E-14</v>
      </c>
      <c r="BZ95" s="14">
        <f>BY95*VLOOKUP('Données projet'!$B$12,Paramètres!$A$1:$I$89,3,0)*VLOOKUP('Données projet'!$B$12,Paramètres!$A$1:$I$89,5,0)</f>
        <v>4.4337866711430253E-14</v>
      </c>
      <c r="CA95" s="14">
        <f t="shared" si="93"/>
        <v>7.3222115536967035E-13</v>
      </c>
      <c r="CB95" s="22">
        <f t="shared" si="64"/>
        <v>1.3525069634579169E-12</v>
      </c>
      <c r="CC95" s="62">
        <f t="shared" si="65"/>
        <v>275.01030204311309</v>
      </c>
      <c r="CD95" s="62">
        <f ca="1">AVERAGE(OFFSET($CC$3,0,0,'Données projet'!$E$12+1,1))-AVERAGE(OFFSET($H$3,0,0,'Données projet'!$E$12+1,1))</f>
        <v>309.21625451786218</v>
      </c>
      <c r="CE95" s="62">
        <f t="shared" si="94"/>
        <v>302.59481222418219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4.1025641025640995</v>
      </c>
      <c r="CT95" s="13">
        <f>IF('Données projet'!$A$140&gt;35,CT94+CS95-DB94,IF(A95&lt;'Données projet'!$A$140,$CQ$205^A95,IF(A95='Données projet'!$A$140,'Données projet'!$B$140,CT94+CS95-DB94)))</f>
        <v>272.94871794871796</v>
      </c>
      <c r="CU95" s="18">
        <f>CT95*VLOOKUP('Données projet'!$B$13,Paramètres!$A$1:$I$89,3,0)*VLOOKUP('Données projet'!$B$13,Paramètres!$A$1:$I$89,5,0)</f>
        <v>259.738</v>
      </c>
      <c r="CV95" s="14">
        <f t="shared" si="95"/>
        <v>62.666526867248265</v>
      </c>
      <c r="CW95" s="22">
        <f t="shared" si="67"/>
        <v>561.52121762712397</v>
      </c>
      <c r="CX95" s="62">
        <f t="shared" si="68"/>
        <v>836.53151967023564</v>
      </c>
      <c r="CY95" s="62">
        <f ca="1">AVERAGE(OFFSET($CX$3,0,0,'Données projet'!$E$13+1,1))-AVERAGE(OFFSET($H$3,0,0,'Données projet'!$E$13+1,1))</f>
        <v>491.87038198656927</v>
      </c>
      <c r="CZ95" s="62">
        <f t="shared" si="96"/>
        <v>406.49261644949559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0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5.9</v>
      </c>
      <c r="DO95" s="13">
        <f>IF('Données projet'!$A$166&gt;35,DO94+DN95-DW94,IF(A95&lt;'Données projet'!$A$166,$DL$205^A95,IF(A95='Données projet'!$A$166,'Données projet'!$B$166,DO94+DN95-DW94)))</f>
        <v>313.80000000000018</v>
      </c>
      <c r="DP95" s="18">
        <f>DO95*VLOOKUP('Données projet'!$B$14,Paramètres!$A$1:$I$89,3,0)*VLOOKUP('Données projet'!$B$14,Paramètres!$A$1:$I$89,5,0)</f>
        <v>303.50736000000023</v>
      </c>
      <c r="DQ95" s="14">
        <f t="shared" si="97"/>
        <v>71.911242710970541</v>
      </c>
      <c r="DR95" s="22">
        <f t="shared" si="70"/>
        <v>653.85406638827408</v>
      </c>
      <c r="DS95" s="62">
        <f t="shared" si="71"/>
        <v>928.86436843138586</v>
      </c>
      <c r="DT95" s="62">
        <f ca="1">AVERAGE(OFFSET($DS$3,0,0,'Données projet'!$E$14+1,1))-AVERAGE(OFFSET($H$3,0,0,'Données projet'!$E$14+1,1))</f>
        <v>603.52431522262032</v>
      </c>
      <c r="DU95" s="62">
        <f t="shared" si="98"/>
        <v>313.56299786481338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projet'!$B$14,Paramètres!$A$1:$I$89,3,0)*0.475*44/12</f>
        <v>0</v>
      </c>
      <c r="EB95" s="23">
        <f>EXP(-LN(2)/25)*EB94+(1-EXP(-LN(2)/25))/(LN(2)/25)*Calculateur!DW95*Calculateur!DY95*VLOOKUP('Données projet'!$B$14,Paramètres!$A$1:$I$89,3,0)*0.475*44/12</f>
        <v>0</v>
      </c>
      <c r="EC95" s="23">
        <f>EXP(-LN(2)/2)*EC94+(1-EXP(-LN(2)/2))/(LN(2)/2)*DW95*DZ95*VLOOKUP('Données projet'!$B$14,Paramètres!$A$1:$I$89,3,0)*0.475*44/12</f>
        <v>0</v>
      </c>
      <c r="ED95" s="24">
        <f t="shared" si="72"/>
        <v>0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-1.1368683772161603E-13</v>
      </c>
      <c r="EK95" s="18">
        <f>EJ95*VLOOKUP('Données projet'!$B$15,Paramètres!$A$1:$I$89,3,0)*VLOOKUP('Données projet'!$B$15,Paramètres!$A$1:$I$89,5,0)</f>
        <v>-9.2222762759774927E-14</v>
      </c>
      <c r="EL95" s="14" t="e">
        <f t="shared" si="99"/>
        <v>#NUM!</v>
      </c>
      <c r="EM95" s="22" t="e">
        <f t="shared" si="73"/>
        <v>#NUM!</v>
      </c>
      <c r="EN95" s="62" t="e">
        <f t="shared" si="74"/>
        <v>#NUM!</v>
      </c>
      <c r="EO95" s="62">
        <f ca="1">AVERAGE(OFFSET($EN$3,0,0,'Données projet'!$E$15+1,1))-AVERAGE(OFFSET($H$3,0,0,'Données projet'!$E$15+1,1))</f>
        <v>272.69564942740931</v>
      </c>
      <c r="EP95" s="62">
        <f t="shared" si="100"/>
        <v>316.57989180609252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>
        <f>EXP(-LN(2)/35)*EV94+(1-EXP(-LN(2)/35))/(LN(2)/35)*ER95*ES95*VLOOKUP('Données projet'!$B$15,Paramètres!$A$1:$I$89,3,0)*0.475*44/12</f>
        <v>0</v>
      </c>
      <c r="EW95" s="23">
        <f>EXP(-LN(2)/25)*EW94+(1-EXP(-LN(2)/25))/(LN(2)/25)*Calculateur!ER95*Calculateur!ET95*VLOOKUP('Données projet'!$B$15,Paramètres!$A$1:$I$89,3,0)*0.475*44/12</f>
        <v>0</v>
      </c>
      <c r="EX95" s="23">
        <f>EXP(-LN(2)/2)*EX94+(1-EXP(-LN(2)/2))/(LN(2)/2)*ER95*EU95*VLOOKUP('Données projet'!$B$15,Paramètres!$A$1:$I$89,3,0)*0.475*44/12</f>
        <v>0</v>
      </c>
      <c r="EY95" s="24">
        <f t="shared" si="75"/>
        <v>0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4.4871794871794917</v>
      </c>
      <c r="FE95" s="13">
        <f>IF('Données projet'!$A$218&gt;35,FE94+FD95-FM94,IF(A95&lt;'Données projet'!$A$218,$FB$205^A95,IF(A95='Données projet'!$A$218,'Données projet'!$B$218,FE94+FD95-FM94)))</f>
        <v>362.82051282051259</v>
      </c>
      <c r="FF95" s="18">
        <f>FE95*VLOOKUP('Données projet'!$B$16,Paramètres!$A$1:$I$89,3,0)*VLOOKUP('Données projet'!$B$16,Paramètres!$A$1:$I$89,5,0)</f>
        <v>243.37999999999985</v>
      </c>
      <c r="FG95" s="14">
        <f t="shared" si="101"/>
        <v>59.166160979653931</v>
      </c>
      <c r="FH95" s="22">
        <f t="shared" si="76"/>
        <v>526.93456370623039</v>
      </c>
      <c r="FI95" s="62">
        <f t="shared" si="77"/>
        <v>801.94486574934217</v>
      </c>
      <c r="FJ95" s="62">
        <f ca="1">AVERAGE(OFFSET($FI$3,0,0,'Données projet'!$E$16+1,1))-AVERAGE(OFFSET($H$3,0,0,'Données projet'!$E$16+1,1))</f>
        <v>440.90856392064205</v>
      </c>
      <c r="FK95" s="62">
        <f t="shared" si="102"/>
        <v>373.33139300970629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>
        <f>EXP(-LN(2)/35)*FQ94+(1-EXP(-LN(2)/35))/(LN(2)/35)*FM95*FN95*VLOOKUP('Données projet'!$B$16,Paramètres!$A$1:$I$89,3,0)*0.475*44/12</f>
        <v>0</v>
      </c>
      <c r="FR95" s="23">
        <f>EXP(-LN(2)/25)*FR94+(1-EXP(-LN(2)/25))/(LN(2)/25)*Calculateur!FM95*Calculateur!FO95*VLOOKUP('Données projet'!$B$16,Paramètres!$A$1:$I$89,3,0)*0.475*44/12</f>
        <v>0</v>
      </c>
      <c r="FS95" s="23">
        <f>EXP(-LN(2)/2)*FS94+(1-EXP(-LN(2)/2))/(LN(2)/2)*FM95*FP95*VLOOKUP('Données projet'!$B$16,Paramètres!$A$1:$I$89,3,0)*0.475*44/12</f>
        <v>0</v>
      </c>
      <c r="FT95" s="24">
        <f t="shared" si="78"/>
        <v>0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70">
        <f t="shared" si="56"/>
        <v>183.33333333333334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5.9</v>
      </c>
      <c r="N96" s="14">
        <f>IF('Données projet'!$A$36&gt;35,N95+M96-V95,IF(A96&lt;'Données projet'!$A$36,$K$205^A96,IF(A96='Données projet'!$A$36,'Données projet'!$B$36,N95+M96-V95)))</f>
        <v>319.70000000000016</v>
      </c>
      <c r="O96" s="14">
        <f>N96*VLOOKUP('Données projet'!$B$9,Paramètres!$A$1:$I$89,3,0)*VLOOKUP('Données projet'!$B$9,Paramètres!$A$1:$I$89,5,0)</f>
        <v>289.26456000000013</v>
      </c>
      <c r="P96" s="14">
        <f t="shared" si="87"/>
        <v>68.921152085057912</v>
      </c>
      <c r="Q96" s="22">
        <f t="shared" si="54"/>
        <v>623.84011521480943</v>
      </c>
      <c r="R96" s="62">
        <f t="shared" si="55"/>
        <v>899.16828088664533</v>
      </c>
      <c r="S96" s="62">
        <f ca="1">AVERAGE(OFFSET($R$3,0,0,'Données projet'!$E$9+1,1))-AVERAGE(OFFSET($H$3,0,0,'Données projet'!$E$9+1,1))</f>
        <v>570.08763950759544</v>
      </c>
      <c r="T96" s="62">
        <f t="shared" si="88"/>
        <v>297.32483725004136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-2.2737367544323206E-13</v>
      </c>
      <c r="AJ96" s="14">
        <f>AI96*VLOOKUP('Données projet'!$B$10,Paramètres!$A$1:$I$89,3,0)*VLOOKUP('Données projet'!$B$10,Paramètres!$A$1:$I$89,5,0)</f>
        <v>-1.8089849618263545E-13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394.70330963327166</v>
      </c>
      <c r="AO96" s="62">
        <f t="shared" si="90"/>
        <v>424.06445894109982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-2.2737367544323206E-13</v>
      </c>
      <c r="BE96" s="14">
        <f>BD96*VLOOKUP('Données projet'!$B$11,Paramètres!$A$1:$I$89,3,0)*VLOOKUP('Données projet'!$B$11,Paramètres!$A$1:$I$89,5,0)</f>
        <v>-1.6671037883497774E-13</v>
      </c>
      <c r="BF96" s="14" t="e">
        <f t="shared" si="91"/>
        <v>#NUM!</v>
      </c>
      <c r="BG96" s="22" t="e">
        <f t="shared" si="61"/>
        <v>#NUM!</v>
      </c>
      <c r="BH96" s="62" t="e">
        <f t="shared" si="62"/>
        <v>#NUM!</v>
      </c>
      <c r="BI96" s="62">
        <f ca="1">AVERAGE(OFFSET($BH$3,0,0,'Données projet'!$E$11+1,1))-AVERAGE(OFFSET($H$3,0,0,'Données projet'!$E$11+1,1))</f>
        <v>368.54671978064204</v>
      </c>
      <c r="BJ96" s="62">
        <f t="shared" si="92"/>
        <v>395.83504504492237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5.6843418860808015E-14</v>
      </c>
      <c r="BZ96" s="14">
        <f>BY96*VLOOKUP('Données projet'!$B$12,Paramètres!$A$1:$I$89,3,0)*VLOOKUP('Données projet'!$B$12,Paramètres!$A$1:$I$89,5,0)</f>
        <v>4.4337866711430253E-14</v>
      </c>
      <c r="CA96" s="14">
        <f t="shared" si="93"/>
        <v>7.3222115536967035E-13</v>
      </c>
      <c r="CB96" s="22">
        <f t="shared" si="64"/>
        <v>1.3525069634579169E-12</v>
      </c>
      <c r="CC96" s="62">
        <f t="shared" si="65"/>
        <v>275.32816567183733</v>
      </c>
      <c r="CD96" s="62">
        <f ca="1">AVERAGE(OFFSET($CC$3,0,0,'Données projet'!$E$12+1,1))-AVERAGE(OFFSET($H$3,0,0,'Données projet'!$E$12+1,1))</f>
        <v>309.21625451786218</v>
      </c>
      <c r="CE96" s="62">
        <f t="shared" si="94"/>
        <v>302.59481222418219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4.1025641025640995</v>
      </c>
      <c r="CT96" s="13">
        <f>IF('Données projet'!$A$140&gt;35,CT95+CS96-DB95,IF(A96&lt;'Données projet'!$A$140,$CQ$205^A96,IF(A96='Données projet'!$A$140,'Données projet'!$B$140,CT95+CS96-DB95)))</f>
        <v>277.05128205128204</v>
      </c>
      <c r="CU96" s="18">
        <f>CT96*VLOOKUP('Données projet'!$B$13,Paramètres!$A$1:$I$89,3,0)*VLOOKUP('Données projet'!$B$13,Paramètres!$A$1:$I$89,5,0)</f>
        <v>263.642</v>
      </c>
      <c r="CV96" s="14">
        <f t="shared" si="95"/>
        <v>63.498075555523421</v>
      </c>
      <c r="CW96" s="22">
        <f t="shared" si="67"/>
        <v>569.76896492586991</v>
      </c>
      <c r="CX96" s="62">
        <f t="shared" si="68"/>
        <v>845.09713059770593</v>
      </c>
      <c r="CY96" s="62">
        <f ca="1">AVERAGE(OFFSET($CX$3,0,0,'Données projet'!$E$13+1,1))-AVERAGE(OFFSET($H$3,0,0,'Données projet'!$E$13+1,1))</f>
        <v>491.87038198656927</v>
      </c>
      <c r="CZ96" s="62">
        <f t="shared" si="96"/>
        <v>406.49261644949559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0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5.9</v>
      </c>
      <c r="DO96" s="13">
        <f>IF('Données projet'!$A$166&gt;35,DO95+DN96-DW95,IF(A96&lt;'Données projet'!$A$166,$DL$205^A96,IF(A96='Données projet'!$A$166,'Données projet'!$B$166,DO95+DN96-DW95)))</f>
        <v>319.70000000000016</v>
      </c>
      <c r="DP96" s="18">
        <f>DO96*VLOOKUP('Données projet'!$B$14,Paramètres!$A$1:$I$89,3,0)*VLOOKUP('Données projet'!$B$14,Paramètres!$A$1:$I$89,5,0)</f>
        <v>309.21384000000012</v>
      </c>
      <c r="DQ96" s="14">
        <f t="shared" si="97"/>
        <v>73.104624418450499</v>
      </c>
      <c r="DR96" s="22">
        <f t="shared" si="70"/>
        <v>665.87132552880155</v>
      </c>
      <c r="DS96" s="62">
        <f t="shared" si="71"/>
        <v>941.19949120063757</v>
      </c>
      <c r="DT96" s="62">
        <f ca="1">AVERAGE(OFFSET($DS$3,0,0,'Données projet'!$E$14+1,1))-AVERAGE(OFFSET($H$3,0,0,'Données projet'!$E$14+1,1))</f>
        <v>603.52431522262032</v>
      </c>
      <c r="DU96" s="62">
        <f t="shared" si="98"/>
        <v>313.56299786481338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projet'!$B$14,Paramètres!$A$1:$I$89,3,0)*0.475*44/12</f>
        <v>0</v>
      </c>
      <c r="EB96" s="23">
        <f>EXP(-LN(2)/25)*EB95+(1-EXP(-LN(2)/25))/(LN(2)/25)*Calculateur!DW96*Calculateur!DY96*VLOOKUP('Données projet'!$B$14,Paramètres!$A$1:$I$89,3,0)*0.475*44/12</f>
        <v>0</v>
      </c>
      <c r="EC96" s="23">
        <f>EXP(-LN(2)/2)*EC95+(1-EXP(-LN(2)/2))/(LN(2)/2)*DW96*DZ96*VLOOKUP('Données projet'!$B$14,Paramètres!$A$1:$I$89,3,0)*0.475*44/12</f>
        <v>0</v>
      </c>
      <c r="ED96" s="24">
        <f t="shared" si="72"/>
        <v>0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-1.1368683772161603E-13</v>
      </c>
      <c r="EK96" s="18">
        <f>EJ96*VLOOKUP('Données projet'!$B$15,Paramètres!$A$1:$I$89,3,0)*VLOOKUP('Données projet'!$B$15,Paramètres!$A$1:$I$89,5,0)</f>
        <v>-9.2222762759774927E-14</v>
      </c>
      <c r="EL96" s="14" t="e">
        <f t="shared" si="99"/>
        <v>#NUM!</v>
      </c>
      <c r="EM96" s="22" t="e">
        <f t="shared" si="73"/>
        <v>#NUM!</v>
      </c>
      <c r="EN96" s="62" t="e">
        <f t="shared" si="74"/>
        <v>#NUM!</v>
      </c>
      <c r="EO96" s="62">
        <f ca="1">AVERAGE(OFFSET($EN$3,0,0,'Données projet'!$E$15+1,1))-AVERAGE(OFFSET($H$3,0,0,'Données projet'!$E$15+1,1))</f>
        <v>272.69564942740931</v>
      </c>
      <c r="EP96" s="62">
        <f t="shared" si="100"/>
        <v>316.57989180609252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>
        <f>EXP(-LN(2)/35)*EV95+(1-EXP(-LN(2)/35))/(LN(2)/35)*ER96*ES96*VLOOKUP('Données projet'!$B$15,Paramètres!$A$1:$I$89,3,0)*0.475*44/12</f>
        <v>0</v>
      </c>
      <c r="EW96" s="23">
        <f>EXP(-LN(2)/25)*EW95+(1-EXP(-LN(2)/25))/(LN(2)/25)*Calculateur!ER96*Calculateur!ET96*VLOOKUP('Données projet'!$B$15,Paramètres!$A$1:$I$89,3,0)*0.475*44/12</f>
        <v>0</v>
      </c>
      <c r="EX96" s="23">
        <f>EXP(-LN(2)/2)*EX95+(1-EXP(-LN(2)/2))/(LN(2)/2)*ER96*EU96*VLOOKUP('Données projet'!$B$15,Paramètres!$A$1:$I$89,3,0)*0.475*44/12</f>
        <v>0</v>
      </c>
      <c r="EY96" s="24">
        <f t="shared" si="75"/>
        <v>0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4.4871794871794917</v>
      </c>
      <c r="FE96" s="13">
        <f>IF('Données projet'!$A$218&gt;35,FE95+FD96-FM95,IF(A96&lt;'Données projet'!$A$218,$FB$205^A96,IF(A96='Données projet'!$A$218,'Données projet'!$B$218,FE95+FD96-FM95)))</f>
        <v>367.30769230769209</v>
      </c>
      <c r="FF96" s="18">
        <f>FE96*VLOOKUP('Données projet'!$B$16,Paramètres!$A$1:$I$89,3,0)*VLOOKUP('Données projet'!$B$16,Paramètres!$A$1:$I$89,5,0)</f>
        <v>246.38999999999984</v>
      </c>
      <c r="FG96" s="14">
        <f t="shared" si="101"/>
        <v>59.812260509059755</v>
      </c>
      <c r="FH96" s="22">
        <f t="shared" si="76"/>
        <v>533.30227038661212</v>
      </c>
      <c r="FI96" s="62">
        <f t="shared" si="77"/>
        <v>808.63043605844814</v>
      </c>
      <c r="FJ96" s="62">
        <f ca="1">AVERAGE(OFFSET($FI$3,0,0,'Données projet'!$E$16+1,1))-AVERAGE(OFFSET($H$3,0,0,'Données projet'!$E$16+1,1))</f>
        <v>440.90856392064205</v>
      </c>
      <c r="FK96" s="62">
        <f t="shared" si="102"/>
        <v>373.33139300970629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>
        <f>EXP(-LN(2)/35)*FQ95+(1-EXP(-LN(2)/35))/(LN(2)/35)*FM96*FN96*VLOOKUP('Données projet'!$B$16,Paramètres!$A$1:$I$89,3,0)*0.475*44/12</f>
        <v>0</v>
      </c>
      <c r="FR96" s="23">
        <f>EXP(-LN(2)/25)*FR95+(1-EXP(-LN(2)/25))/(LN(2)/25)*Calculateur!FM96*Calculateur!FO96*VLOOKUP('Données projet'!$B$16,Paramètres!$A$1:$I$89,3,0)*0.475*44/12</f>
        <v>0</v>
      </c>
      <c r="FS96" s="23">
        <f>EXP(-LN(2)/2)*FS95+(1-EXP(-LN(2)/2))/(LN(2)/2)*FM96*FP96*VLOOKUP('Données projet'!$B$16,Paramètres!$A$1:$I$89,3,0)*0.475*44/12</f>
        <v>0</v>
      </c>
      <c r="FT96" s="24">
        <f t="shared" si="78"/>
        <v>0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70">
        <f t="shared" si="56"/>
        <v>183.33333333333334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5.9</v>
      </c>
      <c r="N97" s="14">
        <f>IF('Données projet'!$A$36&gt;35,N96+M97-V96,IF(A97&lt;'Données projet'!$A$36,$K$205^A97,IF(A97='Données projet'!$A$36,'Données projet'!$B$36,N96+M97-V96)))</f>
        <v>325.60000000000014</v>
      </c>
      <c r="O97" s="14">
        <f>N97*VLOOKUP('Données projet'!$B$9,Paramètres!$A$1:$I$89,3,0)*VLOOKUP('Données projet'!$B$9,Paramètres!$A$1:$I$89,5,0)</f>
        <v>294.60288000000014</v>
      </c>
      <c r="P97" s="14">
        <f t="shared" si="87"/>
        <v>70.043827142305744</v>
      </c>
      <c r="Q97" s="22">
        <f t="shared" si="54"/>
        <v>635.09301493951614</v>
      </c>
      <c r="R97" s="62">
        <f t="shared" si="55"/>
        <v>910.73353001675468</v>
      </c>
      <c r="S97" s="62">
        <f ca="1">AVERAGE(OFFSET($R$3,0,0,'Données projet'!$E$9+1,1))-AVERAGE(OFFSET($H$3,0,0,'Données projet'!$E$9+1,1))</f>
        <v>570.08763950759544</v>
      </c>
      <c r="T97" s="62">
        <f t="shared" si="88"/>
        <v>297.32483725004136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-2.2737367544323206E-13</v>
      </c>
      <c r="AJ97" s="14">
        <f>AI97*VLOOKUP('Données projet'!$B$10,Paramètres!$A$1:$I$89,3,0)*VLOOKUP('Données projet'!$B$10,Paramètres!$A$1:$I$89,5,0)</f>
        <v>-1.8089849618263545E-13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394.70330963327166</v>
      </c>
      <c r="AO97" s="62">
        <f t="shared" si="90"/>
        <v>424.06445894109982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-2.2737367544323206E-13</v>
      </c>
      <c r="BE97" s="14">
        <f>BD97*VLOOKUP('Données projet'!$B$11,Paramètres!$A$1:$I$89,3,0)*VLOOKUP('Données projet'!$B$11,Paramètres!$A$1:$I$89,5,0)</f>
        <v>-1.6671037883497774E-13</v>
      </c>
      <c r="BF97" s="14" t="e">
        <f t="shared" si="91"/>
        <v>#NUM!</v>
      </c>
      <c r="BG97" s="22" t="e">
        <f t="shared" si="61"/>
        <v>#NUM!</v>
      </c>
      <c r="BH97" s="62" t="e">
        <f t="shared" si="62"/>
        <v>#NUM!</v>
      </c>
      <c r="BI97" s="62">
        <f ca="1">AVERAGE(OFFSET($BH$3,0,0,'Données projet'!$E$11+1,1))-AVERAGE(OFFSET($H$3,0,0,'Données projet'!$E$11+1,1))</f>
        <v>368.54671978064204</v>
      </c>
      <c r="BJ97" s="62">
        <f t="shared" si="92"/>
        <v>395.83504504492237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5.6843418860808015E-14</v>
      </c>
      <c r="BZ97" s="14">
        <f>BY97*VLOOKUP('Données projet'!$B$12,Paramètres!$A$1:$I$89,3,0)*VLOOKUP('Données projet'!$B$12,Paramètres!$A$1:$I$89,5,0)</f>
        <v>4.4337866711430253E-14</v>
      </c>
      <c r="CA97" s="14">
        <f t="shared" si="93"/>
        <v>7.3222115536967035E-13</v>
      </c>
      <c r="CB97" s="22">
        <f t="shared" si="64"/>
        <v>1.3525069634579169E-12</v>
      </c>
      <c r="CC97" s="62">
        <f t="shared" si="65"/>
        <v>275.64051507723985</v>
      </c>
      <c r="CD97" s="62">
        <f ca="1">AVERAGE(OFFSET($CC$3,0,0,'Données projet'!$E$12+1,1))-AVERAGE(OFFSET($H$3,0,0,'Données projet'!$E$12+1,1))</f>
        <v>309.21625451786218</v>
      </c>
      <c r="CE97" s="62">
        <f t="shared" si="94"/>
        <v>302.59481222418219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4.1025641025640995</v>
      </c>
      <c r="CT97" s="13">
        <f>IF('Données projet'!$A$140&gt;35,CT96+CS97-DB96,IF(A97&lt;'Données projet'!$A$140,$CQ$205^A97,IF(A97='Données projet'!$A$140,'Données projet'!$B$140,CT96+CS97-DB96)))</f>
        <v>281.15384615384613</v>
      </c>
      <c r="CU97" s="18">
        <f>CT97*VLOOKUP('Données projet'!$B$13,Paramètres!$A$1:$I$89,3,0)*VLOOKUP('Données projet'!$B$13,Paramètres!$A$1:$I$89,5,0)</f>
        <v>267.54599999999999</v>
      </c>
      <c r="CV97" s="14">
        <f t="shared" si="95"/>
        <v>64.328192127044773</v>
      </c>
      <c r="CW97" s="22">
        <f t="shared" si="67"/>
        <v>578.01421795460294</v>
      </c>
      <c r="CX97" s="62">
        <f t="shared" si="68"/>
        <v>853.65473303184149</v>
      </c>
      <c r="CY97" s="62">
        <f ca="1">AVERAGE(OFFSET($CX$3,0,0,'Données projet'!$E$13+1,1))-AVERAGE(OFFSET($H$3,0,0,'Données projet'!$E$13+1,1))</f>
        <v>491.87038198656927</v>
      </c>
      <c r="CZ97" s="62">
        <f t="shared" si="96"/>
        <v>406.49261644949559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0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5.9</v>
      </c>
      <c r="DO97" s="13">
        <f>IF('Données projet'!$A$166&gt;35,DO96+DN97-DW96,IF(A97&lt;'Données projet'!$A$166,$DL$205^A97,IF(A97='Données projet'!$A$166,'Données projet'!$B$166,DO96+DN97-DW96)))</f>
        <v>325.60000000000014</v>
      </c>
      <c r="DP97" s="18">
        <f>DO97*VLOOKUP('Données projet'!$B$14,Paramètres!$A$1:$I$89,3,0)*VLOOKUP('Données projet'!$B$14,Paramètres!$A$1:$I$89,5,0)</f>
        <v>314.92032000000012</v>
      </c>
      <c r="DQ97" s="14">
        <f t="shared" si="97"/>
        <v>74.295445174069556</v>
      </c>
      <c r="DR97" s="22">
        <f t="shared" si="70"/>
        <v>677.88412434483791</v>
      </c>
      <c r="DS97" s="62">
        <f t="shared" si="71"/>
        <v>953.52463942207646</v>
      </c>
      <c r="DT97" s="62">
        <f ca="1">AVERAGE(OFFSET($DS$3,0,0,'Données projet'!$E$14+1,1))-AVERAGE(OFFSET($H$3,0,0,'Données projet'!$E$14+1,1))</f>
        <v>603.52431522262032</v>
      </c>
      <c r="DU97" s="62">
        <f t="shared" si="98"/>
        <v>313.56299786481338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projet'!$B$14,Paramètres!$A$1:$I$89,3,0)*0.475*44/12</f>
        <v>0</v>
      </c>
      <c r="EB97" s="23">
        <f>EXP(-LN(2)/25)*EB96+(1-EXP(-LN(2)/25))/(LN(2)/25)*Calculateur!DW97*Calculateur!DY97*VLOOKUP('Données projet'!$B$14,Paramètres!$A$1:$I$89,3,0)*0.475*44/12</f>
        <v>0</v>
      </c>
      <c r="EC97" s="23">
        <f>EXP(-LN(2)/2)*EC96+(1-EXP(-LN(2)/2))/(LN(2)/2)*DW97*DZ97*VLOOKUP('Données projet'!$B$14,Paramètres!$A$1:$I$89,3,0)*0.475*44/12</f>
        <v>0</v>
      </c>
      <c r="ED97" s="24">
        <f t="shared" si="72"/>
        <v>0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-1.1368683772161603E-13</v>
      </c>
      <c r="EK97" s="18">
        <f>EJ97*VLOOKUP('Données projet'!$B$15,Paramètres!$A$1:$I$89,3,0)*VLOOKUP('Données projet'!$B$15,Paramètres!$A$1:$I$89,5,0)</f>
        <v>-9.2222762759774927E-14</v>
      </c>
      <c r="EL97" s="14" t="e">
        <f t="shared" si="99"/>
        <v>#NUM!</v>
      </c>
      <c r="EM97" s="22" t="e">
        <f t="shared" si="73"/>
        <v>#NUM!</v>
      </c>
      <c r="EN97" s="62" t="e">
        <f t="shared" si="74"/>
        <v>#NUM!</v>
      </c>
      <c r="EO97" s="62">
        <f ca="1">AVERAGE(OFFSET($EN$3,0,0,'Données projet'!$E$15+1,1))-AVERAGE(OFFSET($H$3,0,0,'Données projet'!$E$15+1,1))</f>
        <v>272.69564942740931</v>
      </c>
      <c r="EP97" s="62">
        <f t="shared" si="100"/>
        <v>316.57989180609252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>
        <f>EXP(-LN(2)/35)*EV96+(1-EXP(-LN(2)/35))/(LN(2)/35)*ER97*ES97*VLOOKUP('Données projet'!$B$15,Paramètres!$A$1:$I$89,3,0)*0.475*44/12</f>
        <v>0</v>
      </c>
      <c r="EW97" s="23">
        <f>EXP(-LN(2)/25)*EW96+(1-EXP(-LN(2)/25))/(LN(2)/25)*Calculateur!ER97*Calculateur!ET97*VLOOKUP('Données projet'!$B$15,Paramètres!$A$1:$I$89,3,0)*0.475*44/12</f>
        <v>0</v>
      </c>
      <c r="EX97" s="23">
        <f>EXP(-LN(2)/2)*EX96+(1-EXP(-LN(2)/2))/(LN(2)/2)*ER97*EU97*VLOOKUP('Données projet'!$B$15,Paramètres!$A$1:$I$89,3,0)*0.475*44/12</f>
        <v>0</v>
      </c>
      <c r="EY97" s="24">
        <f t="shared" si="75"/>
        <v>0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4.4871794871794917</v>
      </c>
      <c r="FE97" s="13">
        <f>IF('Données projet'!$A$218&gt;35,FE96+FD97-FM96,IF(A97&lt;'Données projet'!$A$218,$FB$205^A97,IF(A97='Données projet'!$A$218,'Données projet'!$B$218,FE96+FD97-FM96)))</f>
        <v>371.7948717948716</v>
      </c>
      <c r="FF97" s="18">
        <f>FE97*VLOOKUP('Données projet'!$B$16,Paramètres!$A$1:$I$89,3,0)*VLOOKUP('Données projet'!$B$16,Paramètres!$A$1:$I$89,5,0)</f>
        <v>249.39999999999986</v>
      </c>
      <c r="FG97" s="14">
        <f t="shared" si="101"/>
        <v>60.457441920465271</v>
      </c>
      <c r="FH97" s="22">
        <f t="shared" si="76"/>
        <v>539.66837801147665</v>
      </c>
      <c r="FI97" s="62">
        <f t="shared" si="77"/>
        <v>815.30889308871519</v>
      </c>
      <c r="FJ97" s="62">
        <f ca="1">AVERAGE(OFFSET($FI$3,0,0,'Données projet'!$E$16+1,1))-AVERAGE(OFFSET($H$3,0,0,'Données projet'!$E$16+1,1))</f>
        <v>440.90856392064205</v>
      </c>
      <c r="FK97" s="62">
        <f t="shared" si="102"/>
        <v>373.33139300970629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>
        <f>EXP(-LN(2)/35)*FQ96+(1-EXP(-LN(2)/35))/(LN(2)/35)*FM97*FN97*VLOOKUP('Données projet'!$B$16,Paramètres!$A$1:$I$89,3,0)*0.475*44/12</f>
        <v>0</v>
      </c>
      <c r="FR97" s="23">
        <f>EXP(-LN(2)/25)*FR96+(1-EXP(-LN(2)/25))/(LN(2)/25)*Calculateur!FM97*Calculateur!FO97*VLOOKUP('Données projet'!$B$16,Paramètres!$A$1:$I$89,3,0)*0.475*44/12</f>
        <v>0</v>
      </c>
      <c r="FS97" s="23">
        <f>EXP(-LN(2)/2)*FS96+(1-EXP(-LN(2)/2))/(LN(2)/2)*FM97*FP97*VLOOKUP('Données projet'!$B$16,Paramètres!$A$1:$I$89,3,0)*0.475*44/12</f>
        <v>0</v>
      </c>
      <c r="FT97" s="24">
        <f t="shared" si="78"/>
        <v>0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70">
        <f t="shared" si="56"/>
        <v>183.33333333333334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5.9</v>
      </c>
      <c r="N98" s="14">
        <f>IF('Données projet'!$A$36&gt;35,N97+M98-V97,IF(A98&lt;'Données projet'!$A$36,$K$205^A98,IF(A98='Données projet'!$A$36,'Données projet'!$B$36,N97+M98-V97)))</f>
        <v>331.50000000000011</v>
      </c>
      <c r="O98" s="14">
        <f>N98*VLOOKUP('Données projet'!$B$9,Paramètres!$A$1:$I$89,3,0)*VLOOKUP('Données projet'!$B$9,Paramètres!$A$1:$I$89,5,0)</f>
        <v>299.94120000000009</v>
      </c>
      <c r="P98" s="14">
        <f t="shared" si="87"/>
        <v>71.164136596531577</v>
      </c>
      <c r="Q98" s="22">
        <f t="shared" si="54"/>
        <v>646.34179457229266</v>
      </c>
      <c r="R98" s="62">
        <f t="shared" si="55"/>
        <v>922.28924049105854</v>
      </c>
      <c r="S98" s="62">
        <f ca="1">AVERAGE(OFFSET($R$3,0,0,'Données projet'!$E$9+1,1))-AVERAGE(OFFSET($H$3,0,0,'Données projet'!$E$9+1,1))</f>
        <v>570.08763950759544</v>
      </c>
      <c r="T98" s="62">
        <f t="shared" si="88"/>
        <v>297.32483725004136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-2.2737367544323206E-13</v>
      </c>
      <c r="AJ98" s="14">
        <f>AI98*VLOOKUP('Données projet'!$B$10,Paramètres!$A$1:$I$89,3,0)*VLOOKUP('Données projet'!$B$10,Paramètres!$A$1:$I$89,5,0)</f>
        <v>-1.8089849618263545E-13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394.70330963327166</v>
      </c>
      <c r="AO98" s="62">
        <f t="shared" si="90"/>
        <v>424.06445894109982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-2.2737367544323206E-13</v>
      </c>
      <c r="BE98" s="14">
        <f>BD98*VLOOKUP('Données projet'!$B$11,Paramètres!$A$1:$I$89,3,0)*VLOOKUP('Données projet'!$B$11,Paramètres!$A$1:$I$89,5,0)</f>
        <v>-1.6671037883497774E-13</v>
      </c>
      <c r="BF98" s="14" t="e">
        <f t="shared" si="91"/>
        <v>#NUM!</v>
      </c>
      <c r="BG98" s="22" t="e">
        <f t="shared" si="61"/>
        <v>#NUM!</v>
      </c>
      <c r="BH98" s="62" t="e">
        <f t="shared" si="62"/>
        <v>#NUM!</v>
      </c>
      <c r="BI98" s="62">
        <f ca="1">AVERAGE(OFFSET($BH$3,0,0,'Données projet'!$E$11+1,1))-AVERAGE(OFFSET($H$3,0,0,'Données projet'!$E$11+1,1))</f>
        <v>368.54671978064204</v>
      </c>
      <c r="BJ98" s="62">
        <f t="shared" si="92"/>
        <v>395.83504504492237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5.6843418860808015E-14</v>
      </c>
      <c r="BZ98" s="14">
        <f>BY98*VLOOKUP('Données projet'!$B$12,Paramètres!$A$1:$I$89,3,0)*VLOOKUP('Données projet'!$B$12,Paramètres!$A$1:$I$89,5,0)</f>
        <v>4.4337866711430253E-14</v>
      </c>
      <c r="CA98" s="14">
        <f t="shared" si="93"/>
        <v>7.3222115536967035E-13</v>
      </c>
      <c r="CB98" s="22">
        <f t="shared" si="64"/>
        <v>1.3525069634579169E-12</v>
      </c>
      <c r="CC98" s="62">
        <f t="shared" si="65"/>
        <v>275.9474459187673</v>
      </c>
      <c r="CD98" s="62">
        <f ca="1">AVERAGE(OFFSET($CC$3,0,0,'Données projet'!$E$12+1,1))-AVERAGE(OFFSET($H$3,0,0,'Données projet'!$E$12+1,1))</f>
        <v>309.21625451786218</v>
      </c>
      <c r="CE98" s="62">
        <f t="shared" si="94"/>
        <v>302.59481222418219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>
        <f>VLOOKUP(A98,'Données projet'!$A$139:$I$159,2,0)</f>
        <v>285.25641025641022</v>
      </c>
      <c r="CR98" s="13">
        <f>VLOOKUP(A98,'Données projet'!$A$139:$I$159,9,0)</f>
        <v>4.1025641025640995</v>
      </c>
      <c r="CS98" s="13">
        <f t="array" ref="CS98">INDEX(CR:CR,MIN(IF(ISNUMBER(CR98:CR294),ROW(CR98:CR294),"")))</f>
        <v>4.1025641025640995</v>
      </c>
      <c r="CT98" s="13">
        <f>IF('Données projet'!$A$140&gt;35,CT97+CS98-DB97,IF(A98&lt;'Données projet'!$A$140,$CQ$205^A98,IF(A98='Données projet'!$A$140,'Données projet'!$B$140,CT97+CS98-DB97)))</f>
        <v>285.25641025641022</v>
      </c>
      <c r="CU98" s="18">
        <f>CT98*VLOOKUP('Données projet'!$B$13,Paramètres!$A$1:$I$89,3,0)*VLOOKUP('Données projet'!$B$13,Paramètres!$A$1:$I$89,5,0)</f>
        <v>271.44999999999993</v>
      </c>
      <c r="CV98" s="14">
        <f t="shared" si="95"/>
        <v>65.15689989340008</v>
      </c>
      <c r="CW98" s="22">
        <f t="shared" si="67"/>
        <v>586.25701731433821</v>
      </c>
      <c r="CX98" s="62">
        <f t="shared" si="68"/>
        <v>862.20446323310421</v>
      </c>
      <c r="CY98" s="62">
        <f ca="1">AVERAGE(OFFSET($CX$3,0,0,'Données projet'!$E$13+1,1))-AVERAGE(OFFSET($H$3,0,0,'Données projet'!$E$13+1,1))</f>
        <v>491.87038198656927</v>
      </c>
      <c r="CZ98" s="62">
        <f t="shared" si="96"/>
        <v>406.49261644949559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0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5.9</v>
      </c>
      <c r="DO98" s="13">
        <f>IF('Données projet'!$A$166&gt;35,DO97+DN98-DW97,IF(A98&lt;'Données projet'!$A$166,$DL$205^A98,IF(A98='Données projet'!$A$166,'Données projet'!$B$166,DO97+DN98-DW97)))</f>
        <v>331.50000000000011</v>
      </c>
      <c r="DP98" s="18">
        <f>DO98*VLOOKUP('Données projet'!$B$14,Paramètres!$A$1:$I$89,3,0)*VLOOKUP('Données projet'!$B$14,Paramètres!$A$1:$I$89,5,0)</f>
        <v>320.62680000000012</v>
      </c>
      <c r="DQ98" s="14">
        <f t="shared" si="97"/>
        <v>75.483756735990909</v>
      </c>
      <c r="DR98" s="22">
        <f t="shared" si="70"/>
        <v>689.89255298185105</v>
      </c>
      <c r="DS98" s="62">
        <f t="shared" si="71"/>
        <v>965.83999890061705</v>
      </c>
      <c r="DT98" s="62">
        <f ca="1">AVERAGE(OFFSET($DS$3,0,0,'Données projet'!$E$14+1,1))-AVERAGE(OFFSET($H$3,0,0,'Données projet'!$E$14+1,1))</f>
        <v>603.52431522262032</v>
      </c>
      <c r="DU98" s="62">
        <f t="shared" si="98"/>
        <v>313.56299786481338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projet'!$B$14,Paramètres!$A$1:$I$89,3,0)*0.475*44/12</f>
        <v>0</v>
      </c>
      <c r="EB98" s="23">
        <f>EXP(-LN(2)/25)*EB97+(1-EXP(-LN(2)/25))/(LN(2)/25)*Calculateur!DW98*Calculateur!DY98*VLOOKUP('Données projet'!$B$14,Paramètres!$A$1:$I$89,3,0)*0.475*44/12</f>
        <v>0</v>
      </c>
      <c r="EC98" s="23">
        <f>EXP(-LN(2)/2)*EC97+(1-EXP(-LN(2)/2))/(LN(2)/2)*DW98*DZ98*VLOOKUP('Données projet'!$B$14,Paramètres!$A$1:$I$89,3,0)*0.475*44/12</f>
        <v>0</v>
      </c>
      <c r="ED98" s="24">
        <f t="shared" si="72"/>
        <v>0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-1.1368683772161603E-13</v>
      </c>
      <c r="EK98" s="18">
        <f>EJ98*VLOOKUP('Données projet'!$B$15,Paramètres!$A$1:$I$89,3,0)*VLOOKUP('Données projet'!$B$15,Paramètres!$A$1:$I$89,5,0)</f>
        <v>-9.2222762759774927E-14</v>
      </c>
      <c r="EL98" s="14" t="e">
        <f t="shared" si="99"/>
        <v>#NUM!</v>
      </c>
      <c r="EM98" s="22" t="e">
        <f t="shared" si="73"/>
        <v>#NUM!</v>
      </c>
      <c r="EN98" s="62" t="e">
        <f t="shared" si="74"/>
        <v>#NUM!</v>
      </c>
      <c r="EO98" s="62">
        <f ca="1">AVERAGE(OFFSET($EN$3,0,0,'Données projet'!$E$15+1,1))-AVERAGE(OFFSET($H$3,0,0,'Données projet'!$E$15+1,1))</f>
        <v>272.69564942740931</v>
      </c>
      <c r="EP98" s="62">
        <f t="shared" si="100"/>
        <v>316.57989180609252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>
        <f>EXP(-LN(2)/35)*EV97+(1-EXP(-LN(2)/35))/(LN(2)/35)*ER98*ES98*VLOOKUP('Données projet'!$B$15,Paramètres!$A$1:$I$89,3,0)*0.475*44/12</f>
        <v>0</v>
      </c>
      <c r="EW98" s="23">
        <f>EXP(-LN(2)/25)*EW97+(1-EXP(-LN(2)/25))/(LN(2)/25)*Calculateur!ER98*Calculateur!ET98*VLOOKUP('Données projet'!$B$15,Paramètres!$A$1:$I$89,3,0)*0.475*44/12</f>
        <v>0</v>
      </c>
      <c r="EX98" s="23">
        <f>EXP(-LN(2)/2)*EX97+(1-EXP(-LN(2)/2))/(LN(2)/2)*ER98*EU98*VLOOKUP('Données projet'!$B$15,Paramètres!$A$1:$I$89,3,0)*0.475*44/12</f>
        <v>0</v>
      </c>
      <c r="EY98" s="24">
        <f t="shared" si="75"/>
        <v>0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>
        <f>VLOOKUP(A98,'Données projet'!$A$217:$I$237,2,0)</f>
        <v>376.28205128205127</v>
      </c>
      <c r="FC98" s="13">
        <f>VLOOKUP(A98,'Données projet'!$A$217:$I$237,9,0)</f>
        <v>4.4871794871794917</v>
      </c>
      <c r="FD98" s="13">
        <f t="array" ref="FD98">INDEX(FC:FC,MIN(IF(ISNUMBER(FC98:FC294),ROW(FC98:FC294),"")))</f>
        <v>4.4871794871794917</v>
      </c>
      <c r="FE98" s="13">
        <f>IF('Données projet'!$A$218&gt;35,FE97+FD98-FM97,IF(A98&lt;'Données projet'!$A$218,$FB$205^A98,IF(A98='Données projet'!$A$218,'Données projet'!$B$218,FE97+FD98-FM97)))</f>
        <v>376.2820512820511</v>
      </c>
      <c r="FF98" s="18">
        <f>FE98*VLOOKUP('Données projet'!$B$16,Paramètres!$A$1:$I$89,3,0)*VLOOKUP('Données projet'!$B$16,Paramètres!$A$1:$I$89,5,0)</f>
        <v>252.40999999999985</v>
      </c>
      <c r="FG98" s="14">
        <f t="shared" si="101"/>
        <v>61.101717576320787</v>
      </c>
      <c r="FH98" s="22">
        <f t="shared" si="76"/>
        <v>546.03290811209172</v>
      </c>
      <c r="FI98" s="62">
        <f t="shared" si="77"/>
        <v>821.9803540308576</v>
      </c>
      <c r="FJ98" s="62">
        <f ca="1">AVERAGE(OFFSET($FI$3,0,0,'Données projet'!$E$16+1,1))-AVERAGE(OFFSET($H$3,0,0,'Données projet'!$E$16+1,1))</f>
        <v>440.90856392064205</v>
      </c>
      <c r="FK98" s="62">
        <f t="shared" si="102"/>
        <v>373.33139300970629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>
        <f>EXP(-LN(2)/35)*FQ97+(1-EXP(-LN(2)/35))/(LN(2)/35)*FM98*FN98*VLOOKUP('Données projet'!$B$16,Paramètres!$A$1:$I$89,3,0)*0.475*44/12</f>
        <v>0</v>
      </c>
      <c r="FR98" s="23">
        <f>EXP(-LN(2)/25)*FR97+(1-EXP(-LN(2)/25))/(LN(2)/25)*Calculateur!FM98*Calculateur!FO98*VLOOKUP('Données projet'!$B$16,Paramètres!$A$1:$I$89,3,0)*0.475*44/12</f>
        <v>0</v>
      </c>
      <c r="FS98" s="23">
        <f>EXP(-LN(2)/2)*FS97+(1-EXP(-LN(2)/2))/(LN(2)/2)*FM98*FP98*VLOOKUP('Données projet'!$B$16,Paramètres!$A$1:$I$89,3,0)*0.475*44/12</f>
        <v>0</v>
      </c>
      <c r="FT98" s="24">
        <f t="shared" si="78"/>
        <v>0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70">
        <f t="shared" si="56"/>
        <v>183.33333333333334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5.9</v>
      </c>
      <c r="N99" s="14">
        <f>IF('Données projet'!$A$36&gt;35,N98+M99-V98,IF(A99&lt;'Données projet'!$A$36,$K$205^A99,IF(A99='Données projet'!$A$36,'Données projet'!$B$36,N98+M99-V98)))</f>
        <v>337.40000000000009</v>
      </c>
      <c r="O99" s="14">
        <f>N99*VLOOKUP('Données projet'!$B$9,Paramètres!$A$1:$I$89,3,0)*VLOOKUP('Données projet'!$B$9,Paramètres!$A$1:$I$89,5,0)</f>
        <v>305.27952000000005</v>
      </c>
      <c r="P99" s="14">
        <f t="shared" si="87"/>
        <v>72.282127407576866</v>
      </c>
      <c r="Q99" s="22">
        <f t="shared" ref="Q99:Q130" si="107">(O99+P99)*0.475*44/12</f>
        <v>657.58653590152971</v>
      </c>
      <c r="R99" s="62">
        <f t="shared" si="55"/>
        <v>933.83558809791714</v>
      </c>
      <c r="S99" s="62">
        <f ca="1">AVERAGE(OFFSET($R$3,0,0,'Données projet'!$E$9+1,1))-AVERAGE(OFFSET($H$3,0,0,'Données projet'!$E$9+1,1))</f>
        <v>570.08763950759544</v>
      </c>
      <c r="T99" s="62">
        <f t="shared" si="88"/>
        <v>297.32483725004136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-2.2737367544323206E-13</v>
      </c>
      <c r="AJ99" s="14">
        <f>AI99*VLOOKUP('Données projet'!$B$10,Paramètres!$A$1:$I$89,3,0)*VLOOKUP('Données projet'!$B$10,Paramètres!$A$1:$I$89,5,0)</f>
        <v>-1.8089849618263545E-13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394.70330963327166</v>
      </c>
      <c r="AO99" s="62">
        <f t="shared" si="90"/>
        <v>424.06445894109982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-2.2737367544323206E-13</v>
      </c>
      <c r="BE99" s="14">
        <f>BD99*VLOOKUP('Données projet'!$B$11,Paramètres!$A$1:$I$89,3,0)*VLOOKUP('Données projet'!$B$11,Paramètres!$A$1:$I$89,5,0)</f>
        <v>-1.6671037883497774E-13</v>
      </c>
      <c r="BF99" s="14" t="e">
        <f t="shared" si="91"/>
        <v>#NUM!</v>
      </c>
      <c r="BG99" s="22" t="e">
        <f t="shared" si="61"/>
        <v>#NUM!</v>
      </c>
      <c r="BH99" s="62" t="e">
        <f t="shared" si="62"/>
        <v>#NUM!</v>
      </c>
      <c r="BI99" s="62">
        <f ca="1">AVERAGE(OFFSET($BH$3,0,0,'Données projet'!$E$11+1,1))-AVERAGE(OFFSET($H$3,0,0,'Données projet'!$E$11+1,1))</f>
        <v>368.54671978064204</v>
      </c>
      <c r="BJ99" s="62">
        <f t="shared" si="92"/>
        <v>395.83504504492237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5.6843418860808015E-14</v>
      </c>
      <c r="BZ99" s="14">
        <f>BY99*VLOOKUP('Données projet'!$B$12,Paramètres!$A$1:$I$89,3,0)*VLOOKUP('Données projet'!$B$12,Paramètres!$A$1:$I$89,5,0)</f>
        <v>4.4337866711430253E-14</v>
      </c>
      <c r="CA99" s="14">
        <f t="shared" si="93"/>
        <v>7.3222115536967035E-13</v>
      </c>
      <c r="CB99" s="22">
        <f t="shared" si="64"/>
        <v>1.3525069634579169E-12</v>
      </c>
      <c r="CC99" s="62">
        <f t="shared" si="65"/>
        <v>276.24905219638879</v>
      </c>
      <c r="CD99" s="62">
        <f ca="1">AVERAGE(OFFSET($CC$3,0,0,'Données projet'!$E$12+1,1))-AVERAGE(OFFSET($H$3,0,0,'Données projet'!$E$12+1,1))</f>
        <v>309.21625451786218</v>
      </c>
      <c r="CE99" s="62">
        <f t="shared" si="94"/>
        <v>302.59481222418219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4.1025641025641111</v>
      </c>
      <c r="CT99" s="13">
        <f>IF('Données projet'!$A$140&gt;35,CT98+CS99-DB98,IF(A99&lt;'Données projet'!$A$140,$CQ$205^A99,IF(A99='Données projet'!$A$140,'Données projet'!$B$140,CT98+CS99-DB98)))</f>
        <v>289.35897435897431</v>
      </c>
      <c r="CU99" s="18">
        <f>CT99*VLOOKUP('Données projet'!$B$13,Paramètres!$A$1:$I$89,3,0)*VLOOKUP('Données projet'!$B$13,Paramètres!$A$1:$I$89,5,0)</f>
        <v>275.35399999999993</v>
      </c>
      <c r="CV99" s="14">
        <f t="shared" si="95"/>
        <v>65.984221457137295</v>
      </c>
      <c r="CW99" s="22">
        <f t="shared" si="67"/>
        <v>594.49740237118067</v>
      </c>
      <c r="CX99" s="62">
        <f t="shared" si="68"/>
        <v>870.74645456756809</v>
      </c>
      <c r="CY99" s="62">
        <f ca="1">AVERAGE(OFFSET($CX$3,0,0,'Données projet'!$E$13+1,1))-AVERAGE(OFFSET($H$3,0,0,'Données projet'!$E$13+1,1))</f>
        <v>491.87038198656927</v>
      </c>
      <c r="CZ99" s="62">
        <f t="shared" si="96"/>
        <v>406.49261644949559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0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5.9</v>
      </c>
      <c r="DO99" s="13">
        <f>IF('Données projet'!$A$166&gt;35,DO98+DN99-DW98,IF(A99&lt;'Données projet'!$A$166,$DL$205^A99,IF(A99='Données projet'!$A$166,'Données projet'!$B$166,DO98+DN99-DW98)))</f>
        <v>337.40000000000009</v>
      </c>
      <c r="DP99" s="18">
        <f>DO99*VLOOKUP('Données projet'!$B$14,Paramètres!$A$1:$I$89,3,0)*VLOOKUP('Données projet'!$B$14,Paramètres!$A$1:$I$89,5,0)</f>
        <v>326.33328000000006</v>
      </c>
      <c r="DQ99" s="14">
        <f t="shared" si="97"/>
        <v>76.669608914490098</v>
      </c>
      <c r="DR99" s="22">
        <f t="shared" si="70"/>
        <v>701.89669819273695</v>
      </c>
      <c r="DS99" s="62">
        <f t="shared" si="71"/>
        <v>978.14575038912437</v>
      </c>
      <c r="DT99" s="62">
        <f ca="1">AVERAGE(OFFSET($DS$3,0,0,'Données projet'!$E$14+1,1))-AVERAGE(OFFSET($H$3,0,0,'Données projet'!$E$14+1,1))</f>
        <v>603.52431522262032</v>
      </c>
      <c r="DU99" s="62">
        <f t="shared" si="98"/>
        <v>313.56299786481338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projet'!$B$14,Paramètres!$A$1:$I$89,3,0)*0.475*44/12</f>
        <v>0</v>
      </c>
      <c r="EB99" s="23">
        <f>EXP(-LN(2)/25)*EB98+(1-EXP(-LN(2)/25))/(LN(2)/25)*Calculateur!DW99*Calculateur!DY99*VLOOKUP('Données projet'!$B$14,Paramètres!$A$1:$I$89,3,0)*0.475*44/12</f>
        <v>0</v>
      </c>
      <c r="EC99" s="23">
        <f>EXP(-LN(2)/2)*EC98+(1-EXP(-LN(2)/2))/(LN(2)/2)*DW99*DZ99*VLOOKUP('Données projet'!$B$14,Paramètres!$A$1:$I$89,3,0)*0.475*44/12</f>
        <v>0</v>
      </c>
      <c r="ED99" s="24">
        <f t="shared" si="72"/>
        <v>0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-1.1368683772161603E-13</v>
      </c>
      <c r="EK99" s="18">
        <f>EJ99*VLOOKUP('Données projet'!$B$15,Paramètres!$A$1:$I$89,3,0)*VLOOKUP('Données projet'!$B$15,Paramètres!$A$1:$I$89,5,0)</f>
        <v>-9.2222762759774927E-14</v>
      </c>
      <c r="EL99" s="14" t="e">
        <f t="shared" si="99"/>
        <v>#NUM!</v>
      </c>
      <c r="EM99" s="22" t="e">
        <f t="shared" si="73"/>
        <v>#NUM!</v>
      </c>
      <c r="EN99" s="62" t="e">
        <f t="shared" si="74"/>
        <v>#NUM!</v>
      </c>
      <c r="EO99" s="62">
        <f ca="1">AVERAGE(OFFSET($EN$3,0,0,'Données projet'!$E$15+1,1))-AVERAGE(OFFSET($H$3,0,0,'Données projet'!$E$15+1,1))</f>
        <v>272.69564942740931</v>
      </c>
      <c r="EP99" s="62">
        <f t="shared" si="100"/>
        <v>316.57989180609252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>
        <f>EXP(-LN(2)/35)*EV98+(1-EXP(-LN(2)/35))/(LN(2)/35)*ER99*ES99*VLOOKUP('Données projet'!$B$15,Paramètres!$A$1:$I$89,3,0)*0.475*44/12</f>
        <v>0</v>
      </c>
      <c r="EW99" s="23">
        <f>EXP(-LN(2)/25)*EW98+(1-EXP(-LN(2)/25))/(LN(2)/25)*Calculateur!ER99*Calculateur!ET99*VLOOKUP('Données projet'!$B$15,Paramètres!$A$1:$I$89,3,0)*0.475*44/12</f>
        <v>0</v>
      </c>
      <c r="EX99" s="23">
        <f>EXP(-LN(2)/2)*EX98+(1-EXP(-LN(2)/2))/(LN(2)/2)*ER99*EU99*VLOOKUP('Données projet'!$B$15,Paramètres!$A$1:$I$89,3,0)*0.475*44/12</f>
        <v>0</v>
      </c>
      <c r="EY99" s="24">
        <f t="shared" si="75"/>
        <v>0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3.7179487179487181</v>
      </c>
      <c r="FE99" s="13">
        <f>IF('Données projet'!$A$218&gt;35,FE98+FD99-FM98,IF(A99&lt;'Données projet'!$A$218,$FB$205^A99,IF(A99='Données projet'!$A$218,'Données projet'!$B$218,FE98+FD99-FM98)))</f>
        <v>379.99999999999983</v>
      </c>
      <c r="FF99" s="18">
        <f>FE99*VLOOKUP('Données projet'!$B$16,Paramètres!$A$1:$I$89,3,0)*VLOOKUP('Données projet'!$B$16,Paramètres!$A$1:$I$89,5,0)</f>
        <v>254.90399999999988</v>
      </c>
      <c r="FG99" s="14">
        <f t="shared" si="101"/>
        <v>61.634868437438257</v>
      </c>
      <c r="FH99" s="22">
        <f t="shared" si="76"/>
        <v>551.30519586187143</v>
      </c>
      <c r="FI99" s="62">
        <f t="shared" si="77"/>
        <v>827.55424805825885</v>
      </c>
      <c r="FJ99" s="62">
        <f ca="1">AVERAGE(OFFSET($FI$3,0,0,'Données projet'!$E$16+1,1))-AVERAGE(OFFSET($H$3,0,0,'Données projet'!$E$16+1,1))</f>
        <v>440.90856392064205</v>
      </c>
      <c r="FK99" s="62">
        <f t="shared" si="102"/>
        <v>373.33139300970629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>
        <f>EXP(-LN(2)/35)*FQ98+(1-EXP(-LN(2)/35))/(LN(2)/35)*FM99*FN99*VLOOKUP('Données projet'!$B$16,Paramètres!$A$1:$I$89,3,0)*0.475*44/12</f>
        <v>0</v>
      </c>
      <c r="FR99" s="23">
        <f>EXP(-LN(2)/25)*FR98+(1-EXP(-LN(2)/25))/(LN(2)/25)*Calculateur!FM99*Calculateur!FO99*VLOOKUP('Données projet'!$B$16,Paramètres!$A$1:$I$89,3,0)*0.475*44/12</f>
        <v>0</v>
      </c>
      <c r="FS99" s="23">
        <f>EXP(-LN(2)/2)*FS98+(1-EXP(-LN(2)/2))/(LN(2)/2)*FM99*FP99*VLOOKUP('Données projet'!$B$16,Paramètres!$A$1:$I$89,3,0)*0.475*44/12</f>
        <v>0</v>
      </c>
      <c r="FT99" s="24">
        <f t="shared" si="78"/>
        <v>0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70">
        <f t="shared" si="56"/>
        <v>183.33333333333334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5.9</v>
      </c>
      <c r="N100" s="14">
        <f>IF('Données projet'!$A$36&gt;35,N99+M100-V99,IF(A100&lt;'Données projet'!$A$36,$K$205^A100,IF(A100='Données projet'!$A$36,'Données projet'!$B$36,N99+M100-V99)))</f>
        <v>343.30000000000007</v>
      </c>
      <c r="O100" s="14">
        <f>N100*VLOOKUP('Données projet'!$B$9,Paramètres!$A$1:$I$89,3,0)*VLOOKUP('Données projet'!$B$9,Paramètres!$A$1:$I$89,5,0)</f>
        <v>310.61784000000006</v>
      </c>
      <c r="P100" s="14">
        <f t="shared" si="87"/>
        <v>73.397844798859666</v>
      </c>
      <c r="Q100" s="22">
        <f t="shared" si="107"/>
        <v>668.82731769134739</v>
      </c>
      <c r="R100" s="62">
        <f t="shared" si="55"/>
        <v>945.3727439707302</v>
      </c>
      <c r="S100" s="62">
        <f ca="1">AVERAGE(OFFSET($R$3,0,0,'Données projet'!$E$9+1,1))-AVERAGE(OFFSET($H$3,0,0,'Données projet'!$E$9+1,1))</f>
        <v>570.08763950759544</v>
      </c>
      <c r="T100" s="62">
        <f t="shared" si="88"/>
        <v>297.32483725004136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-2.2737367544323206E-13</v>
      </c>
      <c r="AJ100" s="14">
        <f>AI100*VLOOKUP('Données projet'!$B$10,Paramètres!$A$1:$I$89,3,0)*VLOOKUP('Données projet'!$B$10,Paramètres!$A$1:$I$89,5,0)</f>
        <v>-1.8089849618263545E-13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394.70330963327166</v>
      </c>
      <c r="AO100" s="62">
        <f t="shared" si="90"/>
        <v>424.06445894109982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-2.2737367544323206E-13</v>
      </c>
      <c r="BE100" s="14">
        <f>BD100*VLOOKUP('Données projet'!$B$11,Paramètres!$A$1:$I$89,3,0)*VLOOKUP('Données projet'!$B$11,Paramètres!$A$1:$I$89,5,0)</f>
        <v>-1.6671037883497774E-13</v>
      </c>
      <c r="BF100" s="14" t="e">
        <f t="shared" si="91"/>
        <v>#NUM!</v>
      </c>
      <c r="BG100" s="22" t="e">
        <f t="shared" si="61"/>
        <v>#NUM!</v>
      </c>
      <c r="BH100" s="62" t="e">
        <f t="shared" si="62"/>
        <v>#NUM!</v>
      </c>
      <c r="BI100" s="62">
        <f ca="1">AVERAGE(OFFSET($BH$3,0,0,'Données projet'!$E$11+1,1))-AVERAGE(OFFSET($H$3,0,0,'Données projet'!$E$11+1,1))</f>
        <v>368.54671978064204</v>
      </c>
      <c r="BJ100" s="62">
        <f t="shared" si="92"/>
        <v>395.83504504492237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5.6843418860808015E-14</v>
      </c>
      <c r="BZ100" s="14">
        <f>BY100*VLOOKUP('Données projet'!$B$12,Paramètres!$A$1:$I$89,3,0)*VLOOKUP('Données projet'!$B$12,Paramètres!$A$1:$I$89,5,0)</f>
        <v>4.4337866711430253E-14</v>
      </c>
      <c r="CA100" s="14">
        <f t="shared" si="93"/>
        <v>7.3222115536967035E-13</v>
      </c>
      <c r="CB100" s="22">
        <f t="shared" si="64"/>
        <v>1.3525069634579169E-12</v>
      </c>
      <c r="CC100" s="62">
        <f t="shared" si="65"/>
        <v>276.54542627938417</v>
      </c>
      <c r="CD100" s="62">
        <f ca="1">AVERAGE(OFFSET($CC$3,0,0,'Données projet'!$E$12+1,1))-AVERAGE(OFFSET($H$3,0,0,'Données projet'!$E$12+1,1))</f>
        <v>309.21625451786218</v>
      </c>
      <c r="CE100" s="62">
        <f t="shared" si="94"/>
        <v>302.59481222418219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4.1025641025641111</v>
      </c>
      <c r="CT100" s="13">
        <f>IF('Données projet'!$A$140&gt;35,CT99+CS100-DB99,IF(A100&lt;'Données projet'!$A$140,$CQ$205^A100,IF(A100='Données projet'!$A$140,'Données projet'!$B$140,CT99+CS100-DB99)))</f>
        <v>293.4615384615384</v>
      </c>
      <c r="CU100" s="18">
        <f>CT100*VLOOKUP('Données projet'!$B$13,Paramètres!$A$1:$I$89,3,0)*VLOOKUP('Données projet'!$B$13,Paramètres!$A$1:$I$89,5,0)</f>
        <v>279.25799999999992</v>
      </c>
      <c r="CV100" s="14">
        <f t="shared" si="95"/>
        <v>66.810178743071162</v>
      </c>
      <c r="CW100" s="22">
        <f t="shared" si="67"/>
        <v>602.7354113108488</v>
      </c>
      <c r="CX100" s="62">
        <f t="shared" si="68"/>
        <v>879.28083759023161</v>
      </c>
      <c r="CY100" s="62">
        <f ca="1">AVERAGE(OFFSET($CX$3,0,0,'Données projet'!$E$13+1,1))-AVERAGE(OFFSET($H$3,0,0,'Données projet'!$E$13+1,1))</f>
        <v>491.87038198656927</v>
      </c>
      <c r="CZ100" s="62">
        <f t="shared" si="96"/>
        <v>406.49261644949559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0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5.9</v>
      </c>
      <c r="DO100" s="13">
        <f>IF('Données projet'!$A$166&gt;35,DO99+DN100-DW99,IF(A100&lt;'Données projet'!$A$166,$DL$205^A100,IF(A100='Données projet'!$A$166,'Données projet'!$B$166,DO99+DN100-DW99)))</f>
        <v>343.30000000000007</v>
      </c>
      <c r="DP100" s="18">
        <f>DO100*VLOOKUP('Données projet'!$B$14,Paramètres!$A$1:$I$89,3,0)*VLOOKUP('Données projet'!$B$14,Paramètres!$A$1:$I$89,5,0)</f>
        <v>332.03976000000006</v>
      </c>
      <c r="DQ100" s="14">
        <f t="shared" si="97"/>
        <v>77.853049678019573</v>
      </c>
      <c r="DR100" s="22">
        <f t="shared" si="70"/>
        <v>713.89664352255079</v>
      </c>
      <c r="DS100" s="62">
        <f t="shared" si="71"/>
        <v>990.4420698019336</v>
      </c>
      <c r="DT100" s="62">
        <f ca="1">AVERAGE(OFFSET($DS$3,0,0,'Données projet'!$E$14+1,1))-AVERAGE(OFFSET($H$3,0,0,'Données projet'!$E$14+1,1))</f>
        <v>603.52431522262032</v>
      </c>
      <c r="DU100" s="62">
        <f t="shared" si="98"/>
        <v>313.56299786481338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projet'!$B$14,Paramètres!$A$1:$I$89,3,0)*0.475*44/12</f>
        <v>0</v>
      </c>
      <c r="EB100" s="23">
        <f>EXP(-LN(2)/25)*EB99+(1-EXP(-LN(2)/25))/(LN(2)/25)*Calculateur!DW100*Calculateur!DY100*VLOOKUP('Données projet'!$B$14,Paramètres!$A$1:$I$89,3,0)*0.475*44/12</f>
        <v>0</v>
      </c>
      <c r="EC100" s="23">
        <f>EXP(-LN(2)/2)*EC99+(1-EXP(-LN(2)/2))/(LN(2)/2)*DW100*DZ100*VLOOKUP('Données projet'!$B$14,Paramètres!$A$1:$I$89,3,0)*0.475*44/12</f>
        <v>0</v>
      </c>
      <c r="ED100" s="24">
        <f t="shared" si="72"/>
        <v>0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-1.1368683772161603E-13</v>
      </c>
      <c r="EK100" s="18">
        <f>EJ100*VLOOKUP('Données projet'!$B$15,Paramètres!$A$1:$I$89,3,0)*VLOOKUP('Données projet'!$B$15,Paramètres!$A$1:$I$89,5,0)</f>
        <v>-9.2222762759774927E-14</v>
      </c>
      <c r="EL100" s="14" t="e">
        <f t="shared" si="99"/>
        <v>#NUM!</v>
      </c>
      <c r="EM100" s="22" t="e">
        <f t="shared" si="73"/>
        <v>#NUM!</v>
      </c>
      <c r="EN100" s="62" t="e">
        <f t="shared" si="74"/>
        <v>#NUM!</v>
      </c>
      <c r="EO100" s="62">
        <f ca="1">AVERAGE(OFFSET($EN$3,0,0,'Données projet'!$E$15+1,1))-AVERAGE(OFFSET($H$3,0,0,'Données projet'!$E$15+1,1))</f>
        <v>272.69564942740931</v>
      </c>
      <c r="EP100" s="62">
        <f t="shared" si="100"/>
        <v>316.57989180609252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>
        <f>EXP(-LN(2)/35)*EV99+(1-EXP(-LN(2)/35))/(LN(2)/35)*ER100*ES100*VLOOKUP('Données projet'!$B$15,Paramètres!$A$1:$I$89,3,0)*0.475*44/12</f>
        <v>0</v>
      </c>
      <c r="EW100" s="23">
        <f>EXP(-LN(2)/25)*EW99+(1-EXP(-LN(2)/25))/(LN(2)/25)*Calculateur!ER100*Calculateur!ET100*VLOOKUP('Données projet'!$B$15,Paramètres!$A$1:$I$89,3,0)*0.475*44/12</f>
        <v>0</v>
      </c>
      <c r="EX100" s="23">
        <f>EXP(-LN(2)/2)*EX99+(1-EXP(-LN(2)/2))/(LN(2)/2)*ER100*EU100*VLOOKUP('Données projet'!$B$15,Paramètres!$A$1:$I$89,3,0)*0.475*44/12</f>
        <v>0</v>
      </c>
      <c r="EY100" s="24">
        <f t="shared" si="75"/>
        <v>0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3.7179487179487181</v>
      </c>
      <c r="FE100" s="13">
        <f>IF('Données projet'!$A$218&gt;35,FE99+FD100-FM99,IF(A100&lt;'Données projet'!$A$218,$FB$205^A100,IF(A100='Données projet'!$A$218,'Données projet'!$B$218,FE99+FD100-FM99)))</f>
        <v>383.71794871794856</v>
      </c>
      <c r="FF100" s="18">
        <f>FE100*VLOOKUP('Données projet'!$B$16,Paramètres!$A$1:$I$89,3,0)*VLOOKUP('Données projet'!$B$16,Paramètres!$A$1:$I$89,5,0)</f>
        <v>257.39799999999991</v>
      </c>
      <c r="FG100" s="14">
        <f t="shared" si="101"/>
        <v>62.167412446337089</v>
      </c>
      <c r="FH100" s="22">
        <f t="shared" si="76"/>
        <v>556.57642667737025</v>
      </c>
      <c r="FI100" s="62">
        <f t="shared" si="77"/>
        <v>833.12185295675306</v>
      </c>
      <c r="FJ100" s="62">
        <f ca="1">AVERAGE(OFFSET($FI$3,0,0,'Données projet'!$E$16+1,1))-AVERAGE(OFFSET($H$3,0,0,'Données projet'!$E$16+1,1))</f>
        <v>440.90856392064205</v>
      </c>
      <c r="FK100" s="62">
        <f t="shared" si="102"/>
        <v>373.33139300970629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>
        <f>EXP(-LN(2)/35)*FQ99+(1-EXP(-LN(2)/35))/(LN(2)/35)*FM100*FN100*VLOOKUP('Données projet'!$B$16,Paramètres!$A$1:$I$89,3,0)*0.475*44/12</f>
        <v>0</v>
      </c>
      <c r="FR100" s="23">
        <f>EXP(-LN(2)/25)*FR99+(1-EXP(-LN(2)/25))/(LN(2)/25)*Calculateur!FM100*Calculateur!FO100*VLOOKUP('Données projet'!$B$16,Paramètres!$A$1:$I$89,3,0)*0.475*44/12</f>
        <v>0</v>
      </c>
      <c r="FS100" s="23">
        <f>EXP(-LN(2)/2)*FS99+(1-EXP(-LN(2)/2))/(LN(2)/2)*FM100*FP100*VLOOKUP('Données projet'!$B$16,Paramètres!$A$1:$I$89,3,0)*0.475*44/12</f>
        <v>0</v>
      </c>
      <c r="FT100" s="24">
        <f t="shared" si="78"/>
        <v>0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70">
        <f t="shared" si="56"/>
        <v>183.33333333333334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5.9</v>
      </c>
      <c r="N101" s="14">
        <f>IF('Données projet'!$A$36&gt;35,N100+M101-V100,IF(A101&lt;'Données projet'!$A$36,$K$205^A101,IF(A101='Données projet'!$A$36,'Données projet'!$B$36,N100+M101-V100)))</f>
        <v>349.20000000000005</v>
      </c>
      <c r="O101" s="14">
        <f>N101*VLOOKUP('Données projet'!$B$9,Paramètres!$A$1:$I$89,3,0)*VLOOKUP('Données projet'!$B$9,Paramètres!$A$1:$I$89,5,0)</f>
        <v>315.95616000000001</v>
      </c>
      <c r="P101" s="14">
        <f t="shared" si="87"/>
        <v>74.511332350301046</v>
      </c>
      <c r="Q101" s="22">
        <f t="shared" si="107"/>
        <v>680.06421584344105</v>
      </c>
      <c r="R101" s="62">
        <f t="shared" si="55"/>
        <v>956.90087477807242</v>
      </c>
      <c r="S101" s="62">
        <f ca="1">AVERAGE(OFFSET($R$3,0,0,'Données projet'!$E$9+1,1))-AVERAGE(OFFSET($H$3,0,0,'Données projet'!$E$9+1,1))</f>
        <v>570.08763950759544</v>
      </c>
      <c r="T101" s="62">
        <f t="shared" si="88"/>
        <v>297.32483725004136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-2.2737367544323206E-13</v>
      </c>
      <c r="AJ101" s="14">
        <f>AI101*VLOOKUP('Données projet'!$B$10,Paramètres!$A$1:$I$89,3,0)*VLOOKUP('Données projet'!$B$10,Paramètres!$A$1:$I$89,5,0)</f>
        <v>-1.8089849618263545E-13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394.70330963327166</v>
      </c>
      <c r="AO101" s="62">
        <f t="shared" si="90"/>
        <v>424.06445894109982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-2.2737367544323206E-13</v>
      </c>
      <c r="BE101" s="14">
        <f>BD101*VLOOKUP('Données projet'!$B$11,Paramètres!$A$1:$I$89,3,0)*VLOOKUP('Données projet'!$B$11,Paramètres!$A$1:$I$89,5,0)</f>
        <v>-1.6671037883497774E-13</v>
      </c>
      <c r="BF101" s="14" t="e">
        <f t="shared" si="91"/>
        <v>#NUM!</v>
      </c>
      <c r="BG101" s="22" t="e">
        <f t="shared" si="61"/>
        <v>#NUM!</v>
      </c>
      <c r="BH101" s="62" t="e">
        <f t="shared" si="62"/>
        <v>#NUM!</v>
      </c>
      <c r="BI101" s="62">
        <f ca="1">AVERAGE(OFFSET($BH$3,0,0,'Données projet'!$E$11+1,1))-AVERAGE(OFFSET($H$3,0,0,'Données projet'!$E$11+1,1))</f>
        <v>368.54671978064204</v>
      </c>
      <c r="BJ101" s="62">
        <f t="shared" si="92"/>
        <v>395.83504504492237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5.6843418860808015E-14</v>
      </c>
      <c r="BZ101" s="14">
        <f>BY101*VLOOKUP('Données projet'!$B$12,Paramètres!$A$1:$I$89,3,0)*VLOOKUP('Données projet'!$B$12,Paramètres!$A$1:$I$89,5,0)</f>
        <v>4.4337866711430253E-14</v>
      </c>
      <c r="CA101" s="14">
        <f t="shared" si="93"/>
        <v>7.3222115536967035E-13</v>
      </c>
      <c r="CB101" s="22">
        <f t="shared" si="64"/>
        <v>1.3525069634579169E-12</v>
      </c>
      <c r="CC101" s="62">
        <f t="shared" si="65"/>
        <v>276.83665893463274</v>
      </c>
      <c r="CD101" s="62">
        <f ca="1">AVERAGE(OFFSET($CC$3,0,0,'Données projet'!$E$12+1,1))-AVERAGE(OFFSET($H$3,0,0,'Données projet'!$E$12+1,1))</f>
        <v>309.21625451786218</v>
      </c>
      <c r="CE101" s="62">
        <f t="shared" si="94"/>
        <v>302.59481222418219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4.1025641025641111</v>
      </c>
      <c r="CT101" s="13">
        <f>IF('Données projet'!$A$140&gt;35,CT100+CS101-DB100,IF(A101&lt;'Données projet'!$A$140,$CQ$205^A101,IF(A101='Données projet'!$A$140,'Données projet'!$B$140,CT100+CS101-DB100)))</f>
        <v>297.56410256410248</v>
      </c>
      <c r="CU101" s="18">
        <f>CT101*VLOOKUP('Données projet'!$B$13,Paramètres!$A$1:$I$89,3,0)*VLOOKUP('Données projet'!$B$13,Paramètres!$A$1:$I$89,5,0)</f>
        <v>283.16199999999992</v>
      </c>
      <c r="CV101" s="14">
        <f t="shared" si="95"/>
        <v>67.634793027790025</v>
      </c>
      <c r="CW101" s="22">
        <f t="shared" si="67"/>
        <v>610.97108119006737</v>
      </c>
      <c r="CX101" s="62">
        <f t="shared" si="68"/>
        <v>887.80774012469874</v>
      </c>
      <c r="CY101" s="62">
        <f ca="1">AVERAGE(OFFSET($CX$3,0,0,'Données projet'!$E$13+1,1))-AVERAGE(OFFSET($H$3,0,0,'Données projet'!$E$13+1,1))</f>
        <v>491.87038198656927</v>
      </c>
      <c r="CZ101" s="62">
        <f t="shared" si="96"/>
        <v>406.49261644949559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0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5.9</v>
      </c>
      <c r="DO101" s="13">
        <f>IF('Données projet'!$A$166&gt;35,DO100+DN101-DW100,IF(A101&lt;'Données projet'!$A$166,$DL$205^A101,IF(A101='Données projet'!$A$166,'Données projet'!$B$166,DO100+DN101-DW100)))</f>
        <v>349.20000000000005</v>
      </c>
      <c r="DP101" s="18">
        <f>DO101*VLOOKUP('Données projet'!$B$14,Paramètres!$A$1:$I$89,3,0)*VLOOKUP('Données projet'!$B$14,Paramètres!$A$1:$I$89,5,0)</f>
        <v>337.74624000000006</v>
      </c>
      <c r="DQ101" s="14">
        <f t="shared" si="97"/>
        <v>79.034125251774896</v>
      </c>
      <c r="DR101" s="22">
        <f t="shared" si="70"/>
        <v>725.89246948017455</v>
      </c>
      <c r="DS101" s="62">
        <f t="shared" si="71"/>
        <v>1002.7291284148059</v>
      </c>
      <c r="DT101" s="62">
        <f ca="1">AVERAGE(OFFSET($DS$3,0,0,'Données projet'!$E$14+1,1))-AVERAGE(OFFSET($H$3,0,0,'Données projet'!$E$14+1,1))</f>
        <v>603.52431522262032</v>
      </c>
      <c r="DU101" s="62">
        <f t="shared" si="98"/>
        <v>313.56299786481338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projet'!$B$14,Paramètres!$A$1:$I$89,3,0)*0.475*44/12</f>
        <v>0</v>
      </c>
      <c r="EB101" s="23">
        <f>EXP(-LN(2)/25)*EB100+(1-EXP(-LN(2)/25))/(LN(2)/25)*Calculateur!DW101*Calculateur!DY101*VLOOKUP('Données projet'!$B$14,Paramètres!$A$1:$I$89,3,0)*0.475*44/12</f>
        <v>0</v>
      </c>
      <c r="EC101" s="23">
        <f>EXP(-LN(2)/2)*EC100+(1-EXP(-LN(2)/2))/(LN(2)/2)*DW101*DZ101*VLOOKUP('Données projet'!$B$14,Paramètres!$A$1:$I$89,3,0)*0.475*44/12</f>
        <v>0</v>
      </c>
      <c r="ED101" s="24">
        <f t="shared" si="72"/>
        <v>0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-1.1368683772161603E-13</v>
      </c>
      <c r="EK101" s="18">
        <f>EJ101*VLOOKUP('Données projet'!$B$15,Paramètres!$A$1:$I$89,3,0)*VLOOKUP('Données projet'!$B$15,Paramètres!$A$1:$I$89,5,0)</f>
        <v>-9.2222762759774927E-14</v>
      </c>
      <c r="EL101" s="14" t="e">
        <f t="shared" si="99"/>
        <v>#NUM!</v>
      </c>
      <c r="EM101" s="22" t="e">
        <f t="shared" si="73"/>
        <v>#NUM!</v>
      </c>
      <c r="EN101" s="62" t="e">
        <f t="shared" si="74"/>
        <v>#NUM!</v>
      </c>
      <c r="EO101" s="62">
        <f ca="1">AVERAGE(OFFSET($EN$3,0,0,'Données projet'!$E$15+1,1))-AVERAGE(OFFSET($H$3,0,0,'Données projet'!$E$15+1,1))</f>
        <v>272.69564942740931</v>
      </c>
      <c r="EP101" s="62">
        <f t="shared" si="100"/>
        <v>316.57989180609252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>
        <f>EXP(-LN(2)/35)*EV100+(1-EXP(-LN(2)/35))/(LN(2)/35)*ER101*ES101*VLOOKUP('Données projet'!$B$15,Paramètres!$A$1:$I$89,3,0)*0.475*44/12</f>
        <v>0</v>
      </c>
      <c r="EW101" s="23">
        <f>EXP(-LN(2)/25)*EW100+(1-EXP(-LN(2)/25))/(LN(2)/25)*Calculateur!ER101*Calculateur!ET101*VLOOKUP('Données projet'!$B$15,Paramètres!$A$1:$I$89,3,0)*0.475*44/12</f>
        <v>0</v>
      </c>
      <c r="EX101" s="23">
        <f>EXP(-LN(2)/2)*EX100+(1-EXP(-LN(2)/2))/(LN(2)/2)*ER101*EU101*VLOOKUP('Données projet'!$B$15,Paramètres!$A$1:$I$89,3,0)*0.475*44/12</f>
        <v>0</v>
      </c>
      <c r="EY101" s="24">
        <f t="shared" si="75"/>
        <v>0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3.7179487179487181</v>
      </c>
      <c r="FE101" s="13">
        <f>IF('Données projet'!$A$218&gt;35,FE100+FD101-FM100,IF(A101&lt;'Données projet'!$A$218,$FB$205^A101,IF(A101='Données projet'!$A$218,'Données projet'!$B$218,FE100+FD101-FM100)))</f>
        <v>387.43589743589729</v>
      </c>
      <c r="FF101" s="18">
        <f>FE101*VLOOKUP('Données projet'!$B$16,Paramètres!$A$1:$I$89,3,0)*VLOOKUP('Données projet'!$B$16,Paramètres!$A$1:$I$89,5,0)</f>
        <v>259.89199999999994</v>
      </c>
      <c r="FG101" s="14">
        <f t="shared" si="101"/>
        <v>62.699356163908249</v>
      </c>
      <c r="FH101" s="22">
        <f t="shared" si="76"/>
        <v>561.84661198547337</v>
      </c>
      <c r="FI101" s="62">
        <f t="shared" si="77"/>
        <v>838.68327092010475</v>
      </c>
      <c r="FJ101" s="62">
        <f ca="1">AVERAGE(OFFSET($FI$3,0,0,'Données projet'!$E$16+1,1))-AVERAGE(OFFSET($H$3,0,0,'Données projet'!$E$16+1,1))</f>
        <v>440.90856392064205</v>
      </c>
      <c r="FK101" s="62">
        <f t="shared" si="102"/>
        <v>373.33139300970629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>
        <f>EXP(-LN(2)/35)*FQ100+(1-EXP(-LN(2)/35))/(LN(2)/35)*FM101*FN101*VLOOKUP('Données projet'!$B$16,Paramètres!$A$1:$I$89,3,0)*0.475*44/12</f>
        <v>0</v>
      </c>
      <c r="FR101" s="23">
        <f>EXP(-LN(2)/25)*FR100+(1-EXP(-LN(2)/25))/(LN(2)/25)*Calculateur!FM101*Calculateur!FO101*VLOOKUP('Données projet'!$B$16,Paramètres!$A$1:$I$89,3,0)*0.475*44/12</f>
        <v>0</v>
      </c>
      <c r="FS101" s="23">
        <f>EXP(-LN(2)/2)*FS100+(1-EXP(-LN(2)/2))/(LN(2)/2)*FM101*FP101*VLOOKUP('Données projet'!$B$16,Paramètres!$A$1:$I$89,3,0)*0.475*44/12</f>
        <v>0</v>
      </c>
      <c r="FT101" s="24">
        <f t="shared" si="78"/>
        <v>0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70">
        <f t="shared" si="56"/>
        <v>183.33333333333334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5.9</v>
      </c>
      <c r="N102" s="14">
        <f>IF('Données projet'!$A$36&gt;35,N101+M102-V101,IF(A102&lt;'Données projet'!$A$36,$K$205^A102,IF(A102='Données projet'!$A$36,'Données projet'!$B$36,N101+M102-V101)))</f>
        <v>355.1</v>
      </c>
      <c r="O102" s="14">
        <f>N102*VLOOKUP('Données projet'!$B$9,Paramètres!$A$1:$I$89,3,0)*VLOOKUP('Données projet'!$B$9,Paramètres!$A$1:$I$89,5,0)</f>
        <v>321.29448000000002</v>
      </c>
      <c r="P102" s="14">
        <f t="shared" si="87"/>
        <v>75.622632084792471</v>
      </c>
      <c r="Q102" s="22">
        <f t="shared" si="107"/>
        <v>691.29730354768026</v>
      </c>
      <c r="R102" s="62">
        <f t="shared" si="55"/>
        <v>968.42014290209045</v>
      </c>
      <c r="S102" s="62">
        <f ca="1">AVERAGE(OFFSET($R$3,0,0,'Données projet'!$E$9+1,1))-AVERAGE(OFFSET($H$3,0,0,'Données projet'!$E$9+1,1))</f>
        <v>570.08763950759544</v>
      </c>
      <c r="T102" s="62">
        <f t="shared" si="88"/>
        <v>297.32483725004136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-2.2737367544323206E-13</v>
      </c>
      <c r="AJ102" s="14">
        <f>AI102*VLOOKUP('Données projet'!$B$10,Paramètres!$A$1:$I$89,3,0)*VLOOKUP('Données projet'!$B$10,Paramètres!$A$1:$I$89,5,0)</f>
        <v>-1.8089849618263545E-13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394.70330963327166</v>
      </c>
      <c r="AO102" s="62">
        <f t="shared" si="90"/>
        <v>424.06445894109982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-2.2737367544323206E-13</v>
      </c>
      <c r="BE102" s="14">
        <f>BD102*VLOOKUP('Données projet'!$B$11,Paramètres!$A$1:$I$89,3,0)*VLOOKUP('Données projet'!$B$11,Paramètres!$A$1:$I$89,5,0)</f>
        <v>-1.6671037883497774E-13</v>
      </c>
      <c r="BF102" s="14" t="e">
        <f t="shared" si="91"/>
        <v>#NUM!</v>
      </c>
      <c r="BG102" s="22" t="e">
        <f t="shared" si="61"/>
        <v>#NUM!</v>
      </c>
      <c r="BH102" s="62" t="e">
        <f t="shared" si="62"/>
        <v>#NUM!</v>
      </c>
      <c r="BI102" s="62">
        <f ca="1">AVERAGE(OFFSET($BH$3,0,0,'Données projet'!$E$11+1,1))-AVERAGE(OFFSET($H$3,0,0,'Données projet'!$E$11+1,1))</f>
        <v>368.54671978064204</v>
      </c>
      <c r="BJ102" s="62">
        <f t="shared" si="92"/>
        <v>395.83504504492237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5.6843418860808015E-14</v>
      </c>
      <c r="BZ102" s="14">
        <f>BY102*VLOOKUP('Données projet'!$B$12,Paramètres!$A$1:$I$89,3,0)*VLOOKUP('Données projet'!$B$12,Paramètres!$A$1:$I$89,5,0)</f>
        <v>4.4337866711430253E-14</v>
      </c>
      <c r="CA102" s="14">
        <f t="shared" si="93"/>
        <v>7.3222115536967035E-13</v>
      </c>
      <c r="CB102" s="22">
        <f t="shared" si="64"/>
        <v>1.3525069634579169E-12</v>
      </c>
      <c r="CC102" s="62">
        <f t="shared" si="65"/>
        <v>277.1228393544115</v>
      </c>
      <c r="CD102" s="62">
        <f ca="1">AVERAGE(OFFSET($CC$3,0,0,'Données projet'!$E$12+1,1))-AVERAGE(OFFSET($H$3,0,0,'Données projet'!$E$12+1,1))</f>
        <v>309.21625451786218</v>
      </c>
      <c r="CE102" s="62">
        <f t="shared" si="94"/>
        <v>302.59481222418219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4.1025641025641111</v>
      </c>
      <c r="CT102" s="13">
        <f>IF('Données projet'!$A$140&gt;35,CT101+CS102-DB101,IF(A102&lt;'Données projet'!$A$140,$CQ$205^A102,IF(A102='Données projet'!$A$140,'Données projet'!$B$140,CT101+CS102-DB101)))</f>
        <v>301.66666666666657</v>
      </c>
      <c r="CU102" s="18">
        <f>CT102*VLOOKUP('Données projet'!$B$13,Paramètres!$A$1:$I$89,3,0)*VLOOKUP('Données projet'!$B$13,Paramètres!$A$1:$I$89,5,0)</f>
        <v>287.06599999999992</v>
      </c>
      <c r="CV102" s="14">
        <f t="shared" si="95"/>
        <v>68.458084967488887</v>
      </c>
      <c r="CW102" s="22">
        <f t="shared" si="67"/>
        <v>619.20444798504298</v>
      </c>
      <c r="CX102" s="62">
        <f t="shared" si="68"/>
        <v>896.32728733945305</v>
      </c>
      <c r="CY102" s="62">
        <f ca="1">AVERAGE(OFFSET($CX$3,0,0,'Données projet'!$E$13+1,1))-AVERAGE(OFFSET($H$3,0,0,'Données projet'!$E$13+1,1))</f>
        <v>491.87038198656927</v>
      </c>
      <c r="CZ102" s="62">
        <f t="shared" si="96"/>
        <v>406.49261644949559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0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5.9</v>
      </c>
      <c r="DO102" s="13">
        <f>IF('Données projet'!$A$166&gt;35,DO101+DN102-DW101,IF(A102&lt;'Données projet'!$A$166,$DL$205^A102,IF(A102='Données projet'!$A$166,'Données projet'!$B$166,DO101+DN102-DW101)))</f>
        <v>355.1</v>
      </c>
      <c r="DP102" s="18">
        <f>DO102*VLOOKUP('Données projet'!$B$14,Paramètres!$A$1:$I$89,3,0)*VLOOKUP('Données projet'!$B$14,Paramètres!$A$1:$I$89,5,0)</f>
        <v>343.45272</v>
      </c>
      <c r="DQ102" s="14">
        <f t="shared" si="97"/>
        <v>80.212880209411935</v>
      </c>
      <c r="DR102" s="22">
        <f t="shared" si="70"/>
        <v>737.88425369805907</v>
      </c>
      <c r="DS102" s="62">
        <f t="shared" si="71"/>
        <v>1015.0070930524691</v>
      </c>
      <c r="DT102" s="62">
        <f ca="1">AVERAGE(OFFSET($DS$3,0,0,'Données projet'!$E$14+1,1))-AVERAGE(OFFSET($H$3,0,0,'Données projet'!$E$14+1,1))</f>
        <v>603.52431522262032</v>
      </c>
      <c r="DU102" s="62">
        <f t="shared" si="98"/>
        <v>313.56299786481338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projet'!$B$14,Paramètres!$A$1:$I$89,3,0)*0.475*44/12</f>
        <v>0</v>
      </c>
      <c r="EB102" s="23">
        <f>EXP(-LN(2)/25)*EB101+(1-EXP(-LN(2)/25))/(LN(2)/25)*Calculateur!DW102*Calculateur!DY102*VLOOKUP('Données projet'!$B$14,Paramètres!$A$1:$I$89,3,0)*0.475*44/12</f>
        <v>0</v>
      </c>
      <c r="EC102" s="23">
        <f>EXP(-LN(2)/2)*EC101+(1-EXP(-LN(2)/2))/(LN(2)/2)*DW102*DZ102*VLOOKUP('Données projet'!$B$14,Paramètres!$A$1:$I$89,3,0)*0.475*44/12</f>
        <v>0</v>
      </c>
      <c r="ED102" s="24">
        <f t="shared" si="72"/>
        <v>0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-1.1368683772161603E-13</v>
      </c>
      <c r="EK102" s="18">
        <f>EJ102*VLOOKUP('Données projet'!$B$15,Paramètres!$A$1:$I$89,3,0)*VLOOKUP('Données projet'!$B$15,Paramètres!$A$1:$I$89,5,0)</f>
        <v>-9.2222762759774927E-14</v>
      </c>
      <c r="EL102" s="14" t="e">
        <f t="shared" si="99"/>
        <v>#NUM!</v>
      </c>
      <c r="EM102" s="22" t="e">
        <f t="shared" si="73"/>
        <v>#NUM!</v>
      </c>
      <c r="EN102" s="62" t="e">
        <f t="shared" si="74"/>
        <v>#NUM!</v>
      </c>
      <c r="EO102" s="62">
        <f ca="1">AVERAGE(OFFSET($EN$3,0,0,'Données projet'!$E$15+1,1))-AVERAGE(OFFSET($H$3,0,0,'Données projet'!$E$15+1,1))</f>
        <v>272.69564942740931</v>
      </c>
      <c r="EP102" s="62">
        <f t="shared" si="100"/>
        <v>316.57989180609252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>
        <f>EXP(-LN(2)/35)*EV101+(1-EXP(-LN(2)/35))/(LN(2)/35)*ER102*ES102*VLOOKUP('Données projet'!$B$15,Paramètres!$A$1:$I$89,3,0)*0.475*44/12</f>
        <v>0</v>
      </c>
      <c r="EW102" s="23">
        <f>EXP(-LN(2)/25)*EW101+(1-EXP(-LN(2)/25))/(LN(2)/25)*Calculateur!ER102*Calculateur!ET102*VLOOKUP('Données projet'!$B$15,Paramètres!$A$1:$I$89,3,0)*0.475*44/12</f>
        <v>0</v>
      </c>
      <c r="EX102" s="23">
        <f>EXP(-LN(2)/2)*EX101+(1-EXP(-LN(2)/2))/(LN(2)/2)*ER102*EU102*VLOOKUP('Données projet'!$B$15,Paramètres!$A$1:$I$89,3,0)*0.475*44/12</f>
        <v>0</v>
      </c>
      <c r="EY102" s="24">
        <f t="shared" si="75"/>
        <v>0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3.7179487179487181</v>
      </c>
      <c r="FE102" s="13">
        <f>IF('Données projet'!$A$218&gt;35,FE101+FD102-FM101,IF(A102&lt;'Données projet'!$A$218,$FB$205^A102,IF(A102='Données projet'!$A$218,'Données projet'!$B$218,FE101+FD102-FM101)))</f>
        <v>391.15384615384602</v>
      </c>
      <c r="FF102" s="18">
        <f>FE102*VLOOKUP('Données projet'!$B$16,Paramètres!$A$1:$I$89,3,0)*VLOOKUP('Données projet'!$B$16,Paramètres!$A$1:$I$89,5,0)</f>
        <v>262.38599999999991</v>
      </c>
      <c r="FG102" s="14">
        <f t="shared" si="101"/>
        <v>63.230706017861955</v>
      </c>
      <c r="FH102" s="22">
        <f t="shared" si="76"/>
        <v>567.11576298110947</v>
      </c>
      <c r="FI102" s="62">
        <f t="shared" si="77"/>
        <v>844.23860233551954</v>
      </c>
      <c r="FJ102" s="62">
        <f ca="1">AVERAGE(OFFSET($FI$3,0,0,'Données projet'!$E$16+1,1))-AVERAGE(OFFSET($H$3,0,0,'Données projet'!$E$16+1,1))</f>
        <v>440.90856392064205</v>
      </c>
      <c r="FK102" s="62">
        <f t="shared" si="102"/>
        <v>373.33139300970629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>
        <f>EXP(-LN(2)/35)*FQ101+(1-EXP(-LN(2)/35))/(LN(2)/35)*FM102*FN102*VLOOKUP('Données projet'!$B$16,Paramètres!$A$1:$I$89,3,0)*0.475*44/12</f>
        <v>0</v>
      </c>
      <c r="FR102" s="23">
        <f>EXP(-LN(2)/25)*FR101+(1-EXP(-LN(2)/25))/(LN(2)/25)*Calculateur!FM102*Calculateur!FO102*VLOOKUP('Données projet'!$B$16,Paramètres!$A$1:$I$89,3,0)*0.475*44/12</f>
        <v>0</v>
      </c>
      <c r="FS102" s="23">
        <f>EXP(-LN(2)/2)*FS101+(1-EXP(-LN(2)/2))/(LN(2)/2)*FM102*FP102*VLOOKUP('Données projet'!$B$16,Paramètres!$A$1:$I$89,3,0)*0.475*44/12</f>
        <v>0</v>
      </c>
      <c r="FT102" s="24">
        <f t="shared" si="78"/>
        <v>0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70">
        <f t="shared" si="56"/>
        <v>183.33333333333334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361</v>
      </c>
      <c r="L103" s="13">
        <f>VLOOKUP(A103,'Données projet'!$A$35:$I$55,9,0)</f>
        <v>5.9</v>
      </c>
      <c r="M103" s="13">
        <f t="array" ref="M103">INDEX(L:L,MIN(IF(ISNUMBER(L103:L299),ROW(L103:L299),"")))</f>
        <v>5.9</v>
      </c>
      <c r="N103" s="14">
        <f>IF('Données projet'!$A$36&gt;35,N102+M103-V102,IF(A103&lt;'Données projet'!$A$36,$K$205^A103,IF(A103='Données projet'!$A$36,'Données projet'!$B$36,N102+M103-V102)))</f>
        <v>361</v>
      </c>
      <c r="O103" s="14">
        <f>N103*VLOOKUP('Données projet'!$B$9,Paramètres!$A$1:$I$89,3,0)*VLOOKUP('Données projet'!$B$9,Paramètres!$A$1:$I$89,5,0)</f>
        <v>326.63280000000003</v>
      </c>
      <c r="P103" s="14">
        <f t="shared" si="87"/>
        <v>76.731784548754845</v>
      </c>
      <c r="Q103" s="22">
        <f t="shared" si="107"/>
        <v>702.52665142241483</v>
      </c>
      <c r="R103" s="62">
        <f t="shared" si="55"/>
        <v>979.93070660612398</v>
      </c>
      <c r="S103" s="62">
        <f ca="1">AVERAGE(OFFSET($R$3,0,0,'Données projet'!$E$9+1,1))-AVERAGE(OFFSET($H$3,0,0,'Données projet'!$E$9+1,1))</f>
        <v>570.08763950759544</v>
      </c>
      <c r="T103" s="62">
        <f t="shared" si="88"/>
        <v>297.32483725004136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-2.2737367544323206E-13</v>
      </c>
      <c r="AJ103" s="14">
        <f>AI103*VLOOKUP('Données projet'!$B$10,Paramètres!$A$1:$I$89,3,0)*VLOOKUP('Données projet'!$B$10,Paramètres!$A$1:$I$89,5,0)</f>
        <v>-1.8089849618263545E-13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394.70330963327166</v>
      </c>
      <c r="AO103" s="62">
        <f t="shared" si="90"/>
        <v>424.06445894109982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-2.2737367544323206E-13</v>
      </c>
      <c r="BE103" s="14">
        <f>BD103*VLOOKUP('Données projet'!$B$11,Paramètres!$A$1:$I$89,3,0)*VLOOKUP('Données projet'!$B$11,Paramètres!$A$1:$I$89,5,0)</f>
        <v>-1.6671037883497774E-13</v>
      </c>
      <c r="BF103" s="14" t="e">
        <f t="shared" si="91"/>
        <v>#NUM!</v>
      </c>
      <c r="BG103" s="22" t="e">
        <f t="shared" si="61"/>
        <v>#NUM!</v>
      </c>
      <c r="BH103" s="62" t="e">
        <f t="shared" si="62"/>
        <v>#NUM!</v>
      </c>
      <c r="BI103" s="62">
        <f ca="1">AVERAGE(OFFSET($BH$3,0,0,'Données projet'!$E$11+1,1))-AVERAGE(OFFSET($H$3,0,0,'Données projet'!$E$11+1,1))</f>
        <v>368.54671978064204</v>
      </c>
      <c r="BJ103" s="62">
        <f t="shared" si="92"/>
        <v>395.83504504492237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5.6843418860808015E-14</v>
      </c>
      <c r="BZ103" s="14">
        <f>BY103*VLOOKUP('Données projet'!$B$12,Paramètres!$A$1:$I$89,3,0)*VLOOKUP('Données projet'!$B$12,Paramètres!$A$1:$I$89,5,0)</f>
        <v>4.4337866711430253E-14</v>
      </c>
      <c r="CA103" s="14">
        <f t="shared" si="93"/>
        <v>7.3222115536967035E-13</v>
      </c>
      <c r="CB103" s="22">
        <f t="shared" si="64"/>
        <v>1.3525069634579169E-12</v>
      </c>
      <c r="CC103" s="62">
        <f t="shared" si="65"/>
        <v>277.40405518371057</v>
      </c>
      <c r="CD103" s="62">
        <f ca="1">AVERAGE(OFFSET($CC$3,0,0,'Données projet'!$E$12+1,1))-AVERAGE(OFFSET($H$3,0,0,'Données projet'!$E$12+1,1))</f>
        <v>309.21625451786218</v>
      </c>
      <c r="CE103" s="62">
        <f t="shared" si="94"/>
        <v>302.59481222418219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>
        <f>VLOOKUP(A103,'Données projet'!$A$139:$I$159,2,0)</f>
        <v>305.76923076923077</v>
      </c>
      <c r="CR103" s="13">
        <f>VLOOKUP(A103,'Données projet'!$A$139:$I$159,9,0)</f>
        <v>4.1025641025641111</v>
      </c>
      <c r="CS103" s="13">
        <f t="array" ref="CS103">INDEX(CR:CR,MIN(IF(ISNUMBER(CR103:CR299),ROW(CR103:CR299),"")))</f>
        <v>4.1025641025641111</v>
      </c>
      <c r="CT103" s="13">
        <f>IF('Données projet'!$A$140&gt;35,CT102+CS103-DB102,IF(A103&lt;'Données projet'!$A$140,$CQ$205^A103,IF(A103='Données projet'!$A$140,'Données projet'!$B$140,CT102+CS103-DB102)))</f>
        <v>305.76923076923066</v>
      </c>
      <c r="CU103" s="18">
        <f>CT103*VLOOKUP('Données projet'!$B$13,Paramètres!$A$1:$I$89,3,0)*VLOOKUP('Données projet'!$B$13,Paramètres!$A$1:$I$89,5,0)</f>
        <v>290.96999999999986</v>
      </c>
      <c r="CV103" s="14">
        <f t="shared" si="95"/>
        <v>69.280074624245245</v>
      </c>
      <c r="CW103" s="22">
        <f t="shared" si="67"/>
        <v>627.43554663722682</v>
      </c>
      <c r="CX103" s="62">
        <f t="shared" si="68"/>
        <v>904.83960182093597</v>
      </c>
      <c r="CY103" s="62">
        <f ca="1">AVERAGE(OFFSET($CX$3,0,0,'Données projet'!$E$13+1,1))-AVERAGE(OFFSET($H$3,0,0,'Données projet'!$E$13+1,1))</f>
        <v>491.87038198656927</v>
      </c>
      <c r="CZ103" s="62">
        <f t="shared" si="96"/>
        <v>406.49261644949559</v>
      </c>
      <c r="DA103" s="16">
        <f>IF(ISNA(VLOOKUP(A103,'Données projet'!$A$139:$I$159,3,0)),0,VLOOKUP(A103,'Données projet'!$A$139:$I$159,3,0))</f>
        <v>9</v>
      </c>
      <c r="DB103" s="16">
        <f>IF(ISNA(VLOOKUP(A103,'Données projet'!$A$139:$I$159,4,0)),0,VLOOKUP(A103,'Données projet'!$A$139:$I$159,4,0))</f>
        <v>30.128205128205128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0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>
        <f>VLOOKUP(A103,'Données projet'!$A$165:$I$185,2,0)</f>
        <v>361</v>
      </c>
      <c r="DM103" s="13">
        <f>VLOOKUP(A103,'Données projet'!$A$165:$I$185,9,0)</f>
        <v>5.9</v>
      </c>
      <c r="DN103" s="13">
        <f t="array" ref="DN103">INDEX(DM:DM,MIN(IF(ISNUMBER(DM103:DM299),ROW(DM103:DM299),"")))</f>
        <v>5.9</v>
      </c>
      <c r="DO103" s="13">
        <f>IF('Données projet'!$A$166&gt;35,DO102+DN103-DW102,IF(A103&lt;'Données projet'!$A$166,$DL$205^A103,IF(A103='Données projet'!$A$166,'Données projet'!$B$166,DO102+DN103-DW102)))</f>
        <v>361</v>
      </c>
      <c r="DP103" s="18">
        <f>DO103*VLOOKUP('Données projet'!$B$14,Paramètres!$A$1:$I$89,3,0)*VLOOKUP('Données projet'!$B$14,Paramètres!$A$1:$I$89,5,0)</f>
        <v>349.1592</v>
      </c>
      <c r="DQ103" s="14">
        <f t="shared" si="97"/>
        <v>81.389357558494837</v>
      </c>
      <c r="DR103" s="22">
        <f t="shared" si="70"/>
        <v>749.87207108104519</v>
      </c>
      <c r="DS103" s="62">
        <f t="shared" si="71"/>
        <v>1027.2761262647543</v>
      </c>
      <c r="DT103" s="62">
        <f ca="1">AVERAGE(OFFSET($DS$3,0,0,'Données projet'!$E$14+1,1))-AVERAGE(OFFSET($H$3,0,0,'Données projet'!$E$14+1,1))</f>
        <v>603.52431522262032</v>
      </c>
      <c r="DU103" s="62">
        <f t="shared" si="98"/>
        <v>313.56299786481338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projet'!$B$14,Paramètres!$A$1:$I$89,3,0)*0.475*44/12</f>
        <v>0</v>
      </c>
      <c r="EB103" s="23">
        <f>EXP(-LN(2)/25)*EB102+(1-EXP(-LN(2)/25))/(LN(2)/25)*Calculateur!DW103*Calculateur!DY103*VLOOKUP('Données projet'!$B$14,Paramètres!$A$1:$I$89,3,0)*0.475*44/12</f>
        <v>0</v>
      </c>
      <c r="EC103" s="23">
        <f>EXP(-LN(2)/2)*EC102+(1-EXP(-LN(2)/2))/(LN(2)/2)*DW103*DZ103*VLOOKUP('Données projet'!$B$14,Paramètres!$A$1:$I$89,3,0)*0.475*44/12</f>
        <v>0</v>
      </c>
      <c r="ED103" s="24">
        <f t="shared" si="72"/>
        <v>0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-1.1368683772161603E-13</v>
      </c>
      <c r="EK103" s="18">
        <f>EJ103*VLOOKUP('Données projet'!$B$15,Paramètres!$A$1:$I$89,3,0)*VLOOKUP('Données projet'!$B$15,Paramètres!$A$1:$I$89,5,0)</f>
        <v>-9.2222762759774927E-14</v>
      </c>
      <c r="EL103" s="14" t="e">
        <f t="shared" si="99"/>
        <v>#NUM!</v>
      </c>
      <c r="EM103" s="22" t="e">
        <f t="shared" si="73"/>
        <v>#NUM!</v>
      </c>
      <c r="EN103" s="62" t="e">
        <f t="shared" si="74"/>
        <v>#NUM!</v>
      </c>
      <c r="EO103" s="62">
        <f ca="1">AVERAGE(OFFSET($EN$3,0,0,'Données projet'!$E$15+1,1))-AVERAGE(OFFSET($H$3,0,0,'Données projet'!$E$15+1,1))</f>
        <v>272.69564942740931</v>
      </c>
      <c r="EP103" s="62">
        <f t="shared" si="100"/>
        <v>316.57989180609252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>
        <f>EXP(-LN(2)/35)*EV102+(1-EXP(-LN(2)/35))/(LN(2)/35)*ER103*ES103*VLOOKUP('Données projet'!$B$15,Paramètres!$A$1:$I$89,3,0)*0.475*44/12</f>
        <v>0</v>
      </c>
      <c r="EW103" s="23">
        <f>EXP(-LN(2)/25)*EW102+(1-EXP(-LN(2)/25))/(LN(2)/25)*Calculateur!ER103*Calculateur!ET103*VLOOKUP('Données projet'!$B$15,Paramètres!$A$1:$I$89,3,0)*0.475*44/12</f>
        <v>0</v>
      </c>
      <c r="EX103" s="23">
        <f>EXP(-LN(2)/2)*EX102+(1-EXP(-LN(2)/2))/(LN(2)/2)*ER103*EU103*VLOOKUP('Données projet'!$B$15,Paramètres!$A$1:$I$89,3,0)*0.475*44/12</f>
        <v>0</v>
      </c>
      <c r="EY103" s="24">
        <f t="shared" si="75"/>
        <v>0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>
        <f>VLOOKUP(A103,'Données projet'!$A$217:$I$237,2,0)</f>
        <v>394.87179487179486</v>
      </c>
      <c r="FC103" s="13">
        <f>VLOOKUP(A103,'Données projet'!$A$217:$I$237,9,0)</f>
        <v>3.7179487179487181</v>
      </c>
      <c r="FD103" s="13">
        <f t="array" ref="FD103">INDEX(FC:FC,MIN(IF(ISNUMBER(FC103:FC299),ROW(FC103:FC299),"")))</f>
        <v>3.7179487179487181</v>
      </c>
      <c r="FE103" s="13">
        <f>IF('Données projet'!$A$218&gt;35,FE102+FD103-FM102,IF(A103&lt;'Données projet'!$A$218,$FB$205^A103,IF(A103='Données projet'!$A$218,'Données projet'!$B$218,FE102+FD103-FM102)))</f>
        <v>394.87179487179475</v>
      </c>
      <c r="FF103" s="18">
        <f>FE103*VLOOKUP('Données projet'!$B$16,Paramètres!$A$1:$I$89,3,0)*VLOOKUP('Données projet'!$B$16,Paramètres!$A$1:$I$89,5,0)</f>
        <v>264.87999999999994</v>
      </c>
      <c r="FG103" s="14">
        <f t="shared" si="101"/>
        <v>63.761468306670913</v>
      </c>
      <c r="FH103" s="22">
        <f t="shared" si="76"/>
        <v>572.38389063411842</v>
      </c>
      <c r="FI103" s="62">
        <f t="shared" si="77"/>
        <v>849.78794581782768</v>
      </c>
      <c r="FJ103" s="62">
        <f ca="1">AVERAGE(OFFSET($FI$3,0,0,'Données projet'!$E$16+1,1))-AVERAGE(OFFSET($H$3,0,0,'Données projet'!$E$16+1,1))</f>
        <v>440.90856392064205</v>
      </c>
      <c r="FK103" s="62">
        <f t="shared" si="102"/>
        <v>373.33139300970629</v>
      </c>
      <c r="FL103" s="16">
        <f>IF(ISNA(VLOOKUP(A103,'Données projet'!$A$217:$I$237,3,0)),0,VLOOKUP(A103,'Données projet'!$A$217:$I$237,3,0))</f>
        <v>9</v>
      </c>
      <c r="FM103" s="16">
        <f>IF(ISNA(VLOOKUP(A103,'Données projet'!$A$217:$I$237,4,0)),0,VLOOKUP(A103,'Données projet'!$A$217:$I$237,4,0))</f>
        <v>27.564102564102562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>
        <f>EXP(-LN(2)/35)*FQ102+(1-EXP(-LN(2)/35))/(LN(2)/35)*FM103*FN103*VLOOKUP('Données projet'!$B$16,Paramètres!$A$1:$I$89,3,0)*0.475*44/12</f>
        <v>0</v>
      </c>
      <c r="FR103" s="23">
        <f>EXP(-LN(2)/25)*FR102+(1-EXP(-LN(2)/25))/(LN(2)/25)*Calculateur!FM103*Calculateur!FO103*VLOOKUP('Données projet'!$B$16,Paramètres!$A$1:$I$89,3,0)*0.475*44/12</f>
        <v>0</v>
      </c>
      <c r="FS103" s="23">
        <f>EXP(-LN(2)/2)*FS102+(1-EXP(-LN(2)/2))/(LN(2)/2)*FM103*FP103*VLOOKUP('Données projet'!$B$16,Paramètres!$A$1:$I$89,3,0)*0.475*44/12</f>
        <v>0</v>
      </c>
      <c r="FT103" s="24">
        <f t="shared" si="78"/>
        <v>0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70">
        <f t="shared" si="56"/>
        <v>183.33333333333334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5.2</v>
      </c>
      <c r="N104" s="14">
        <f>IF('Données projet'!$A$36&gt;35,N103+M104-V103,IF(A104&lt;'Données projet'!$A$36,$K$205^A104,IF(A104='Données projet'!$A$36,'Données projet'!$B$36,N103+M104-V103)))</f>
        <v>366.2</v>
      </c>
      <c r="O104" s="14">
        <f>N104*VLOOKUP('Données projet'!$B$9,Paramètres!$A$1:$I$89,3,0)*VLOOKUP('Données projet'!$B$9,Paramètres!$A$1:$I$89,5,0)</f>
        <v>331.33776</v>
      </c>
      <c r="P104" s="14">
        <f t="shared" si="87"/>
        <v>77.707593612890619</v>
      </c>
      <c r="Q104" s="22">
        <f t="shared" si="107"/>
        <v>712.42065754245107</v>
      </c>
      <c r="R104" s="62">
        <f t="shared" si="55"/>
        <v>990.10105008952542</v>
      </c>
      <c r="S104" s="62">
        <f ca="1">AVERAGE(OFFSET($R$3,0,0,'Données projet'!$E$9+1,1))-AVERAGE(OFFSET($H$3,0,0,'Données projet'!$E$9+1,1))</f>
        <v>570.08763950759544</v>
      </c>
      <c r="T104" s="62">
        <f t="shared" si="88"/>
        <v>297.32483725004136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-2.2737367544323206E-13</v>
      </c>
      <c r="AJ104" s="14">
        <f>AI104*VLOOKUP('Données projet'!$B$10,Paramètres!$A$1:$I$89,3,0)*VLOOKUP('Données projet'!$B$10,Paramètres!$A$1:$I$89,5,0)</f>
        <v>-1.8089849618263545E-13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394.70330963327166</v>
      </c>
      <c r="AO104" s="62">
        <f t="shared" si="90"/>
        <v>424.06445894109982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-2.2737367544323206E-13</v>
      </c>
      <c r="BE104" s="14">
        <f>BD104*VLOOKUP('Données projet'!$B$11,Paramètres!$A$1:$I$89,3,0)*VLOOKUP('Données projet'!$B$11,Paramètres!$A$1:$I$89,5,0)</f>
        <v>-1.6671037883497774E-13</v>
      </c>
      <c r="BF104" s="14" t="e">
        <f t="shared" si="91"/>
        <v>#NUM!</v>
      </c>
      <c r="BG104" s="22" t="e">
        <f t="shared" si="61"/>
        <v>#NUM!</v>
      </c>
      <c r="BH104" s="62" t="e">
        <f t="shared" si="62"/>
        <v>#NUM!</v>
      </c>
      <c r="BI104" s="62">
        <f ca="1">AVERAGE(OFFSET($BH$3,0,0,'Données projet'!$E$11+1,1))-AVERAGE(OFFSET($H$3,0,0,'Données projet'!$E$11+1,1))</f>
        <v>368.54671978064204</v>
      </c>
      <c r="BJ104" s="62">
        <f t="shared" si="92"/>
        <v>395.83504504492237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5.6843418860808015E-14</v>
      </c>
      <c r="BZ104" s="14">
        <f>BY104*VLOOKUP('Données projet'!$B$12,Paramètres!$A$1:$I$89,3,0)*VLOOKUP('Données projet'!$B$12,Paramètres!$A$1:$I$89,5,0)</f>
        <v>4.4337866711430253E-14</v>
      </c>
      <c r="CA104" s="14">
        <f t="shared" si="93"/>
        <v>7.3222115536967035E-13</v>
      </c>
      <c r="CB104" s="22">
        <f t="shared" si="64"/>
        <v>1.3525069634579169E-12</v>
      </c>
      <c r="CC104" s="62">
        <f t="shared" si="65"/>
        <v>277.68039254707577</v>
      </c>
      <c r="CD104" s="62">
        <f ca="1">AVERAGE(OFFSET($CC$3,0,0,'Données projet'!$E$12+1,1))-AVERAGE(OFFSET($H$3,0,0,'Données projet'!$E$12+1,1))</f>
        <v>309.21625451786218</v>
      </c>
      <c r="CE104" s="62">
        <f t="shared" si="94"/>
        <v>302.59481222418219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3.7179487179487181</v>
      </c>
      <c r="CT104" s="13">
        <f>IF('Données projet'!$A$140&gt;35,CT103+CS104-DB103,IF(A104&lt;'Données projet'!$A$140,$CQ$205^A104,IF(A104='Données projet'!$A$140,'Données projet'!$B$140,CT103+CS104-DB103)))</f>
        <v>279.35897435897425</v>
      </c>
      <c r="CU104" s="18">
        <f>CT104*VLOOKUP('Données projet'!$B$13,Paramètres!$A$1:$I$89,3,0)*VLOOKUP('Données projet'!$B$13,Paramètres!$A$1:$I$89,5,0)</f>
        <v>265.83799999999991</v>
      </c>
      <c r="CV104" s="14">
        <f t="shared" si="95"/>
        <v>63.965190833833894</v>
      </c>
      <c r="CW104" s="22">
        <f t="shared" si="67"/>
        <v>574.40722403559391</v>
      </c>
      <c r="CX104" s="62">
        <f t="shared" si="68"/>
        <v>852.08761658266826</v>
      </c>
      <c r="CY104" s="62">
        <f ca="1">AVERAGE(OFFSET($CX$3,0,0,'Données projet'!$E$13+1,1))-AVERAGE(OFFSET($H$3,0,0,'Données projet'!$E$13+1,1))</f>
        <v>491.87038198656927</v>
      </c>
      <c r="CZ104" s="62">
        <f t="shared" si="96"/>
        <v>406.49261644949559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0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5.2</v>
      </c>
      <c r="DO104" s="13">
        <f>IF('Données projet'!$A$166&gt;35,DO103+DN104-DW103,IF(A104&lt;'Données projet'!$A$166,$DL$205^A104,IF(A104='Données projet'!$A$166,'Données projet'!$B$166,DO103+DN104-DW103)))</f>
        <v>366.2</v>
      </c>
      <c r="DP104" s="18">
        <f>DO104*VLOOKUP('Données projet'!$B$14,Paramètres!$A$1:$I$89,3,0)*VLOOKUP('Données projet'!$B$14,Paramètres!$A$1:$I$89,5,0)</f>
        <v>354.18863999999996</v>
      </c>
      <c r="DQ104" s="14">
        <f t="shared" si="97"/>
        <v>82.424397643862633</v>
      </c>
      <c r="DR104" s="22">
        <f t="shared" si="70"/>
        <v>760.43437389639394</v>
      </c>
      <c r="DS104" s="62">
        <f t="shared" si="71"/>
        <v>1038.1147664434684</v>
      </c>
      <c r="DT104" s="62">
        <f ca="1">AVERAGE(OFFSET($DS$3,0,0,'Données projet'!$E$14+1,1))-AVERAGE(OFFSET($H$3,0,0,'Données projet'!$E$14+1,1))</f>
        <v>603.52431522262032</v>
      </c>
      <c r="DU104" s="62">
        <f t="shared" si="98"/>
        <v>313.56299786481338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projet'!$B$14,Paramètres!$A$1:$I$89,3,0)*0.475*44/12</f>
        <v>0</v>
      </c>
      <c r="EB104" s="23">
        <f>EXP(-LN(2)/25)*EB103+(1-EXP(-LN(2)/25))/(LN(2)/25)*Calculateur!DW104*Calculateur!DY104*VLOOKUP('Données projet'!$B$14,Paramètres!$A$1:$I$89,3,0)*0.475*44/12</f>
        <v>0</v>
      </c>
      <c r="EC104" s="23">
        <f>EXP(-LN(2)/2)*EC103+(1-EXP(-LN(2)/2))/(LN(2)/2)*DW104*DZ104*VLOOKUP('Données projet'!$B$14,Paramètres!$A$1:$I$89,3,0)*0.475*44/12</f>
        <v>0</v>
      </c>
      <c r="ED104" s="24">
        <f t="shared" si="72"/>
        <v>0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-1.1368683772161603E-13</v>
      </c>
      <c r="EK104" s="18">
        <f>EJ104*VLOOKUP('Données projet'!$B$15,Paramètres!$A$1:$I$89,3,0)*VLOOKUP('Données projet'!$B$15,Paramètres!$A$1:$I$89,5,0)</f>
        <v>-9.2222762759774927E-14</v>
      </c>
      <c r="EL104" s="14" t="e">
        <f t="shared" si="99"/>
        <v>#NUM!</v>
      </c>
      <c r="EM104" s="22" t="e">
        <f t="shared" si="73"/>
        <v>#NUM!</v>
      </c>
      <c r="EN104" s="62" t="e">
        <f t="shared" si="74"/>
        <v>#NUM!</v>
      </c>
      <c r="EO104" s="62">
        <f ca="1">AVERAGE(OFFSET($EN$3,0,0,'Données projet'!$E$15+1,1))-AVERAGE(OFFSET($H$3,0,0,'Données projet'!$E$15+1,1))</f>
        <v>272.69564942740931</v>
      </c>
      <c r="EP104" s="62">
        <f t="shared" si="100"/>
        <v>316.57989180609252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>
        <f>EXP(-LN(2)/35)*EV103+(1-EXP(-LN(2)/35))/(LN(2)/35)*ER104*ES104*VLOOKUP('Données projet'!$B$15,Paramètres!$A$1:$I$89,3,0)*0.475*44/12</f>
        <v>0</v>
      </c>
      <c r="EW104" s="23">
        <f>EXP(-LN(2)/25)*EW103+(1-EXP(-LN(2)/25))/(LN(2)/25)*Calculateur!ER104*Calculateur!ET104*VLOOKUP('Données projet'!$B$15,Paramètres!$A$1:$I$89,3,0)*0.475*44/12</f>
        <v>0</v>
      </c>
      <c r="EX104" s="23">
        <f>EXP(-LN(2)/2)*EX103+(1-EXP(-LN(2)/2))/(LN(2)/2)*ER104*EU104*VLOOKUP('Données projet'!$B$15,Paramètres!$A$1:$I$89,3,0)*0.475*44/12</f>
        <v>0</v>
      </c>
      <c r="EY104" s="24">
        <f t="shared" si="75"/>
        <v>0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4.2948717948717903</v>
      </c>
      <c r="FE104" s="13">
        <f>IF('Données projet'!$A$218&gt;35,FE103+FD104-FM103,IF(A104&lt;'Données projet'!$A$218,$FB$205^A104,IF(A104='Données projet'!$A$218,'Données projet'!$B$218,FE103+FD104-FM103)))</f>
        <v>371.60256410256397</v>
      </c>
      <c r="FF104" s="18">
        <f>FE104*VLOOKUP('Données projet'!$B$16,Paramètres!$A$1:$I$89,3,0)*VLOOKUP('Données projet'!$B$16,Paramètres!$A$1:$I$89,5,0)</f>
        <v>249.27099999999993</v>
      </c>
      <c r="FG104" s="14">
        <f t="shared" si="101"/>
        <v>60.429809952815667</v>
      </c>
      <c r="FH104" s="22">
        <f t="shared" si="76"/>
        <v>539.39557733448703</v>
      </c>
      <c r="FI104" s="62">
        <f t="shared" si="77"/>
        <v>817.07596988156138</v>
      </c>
      <c r="FJ104" s="62">
        <f ca="1">AVERAGE(OFFSET($FI$3,0,0,'Données projet'!$E$16+1,1))-AVERAGE(OFFSET($H$3,0,0,'Données projet'!$E$16+1,1))</f>
        <v>440.90856392064205</v>
      </c>
      <c r="FK104" s="62">
        <f t="shared" si="102"/>
        <v>373.33139300970629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>
        <f>EXP(-LN(2)/35)*FQ103+(1-EXP(-LN(2)/35))/(LN(2)/35)*FM104*FN104*VLOOKUP('Données projet'!$B$16,Paramètres!$A$1:$I$89,3,0)*0.475*44/12</f>
        <v>0</v>
      </c>
      <c r="FR104" s="23">
        <f>EXP(-LN(2)/25)*FR103+(1-EXP(-LN(2)/25))/(LN(2)/25)*Calculateur!FM104*Calculateur!FO104*VLOOKUP('Données projet'!$B$16,Paramètres!$A$1:$I$89,3,0)*0.475*44/12</f>
        <v>0</v>
      </c>
      <c r="FS104" s="23">
        <f>EXP(-LN(2)/2)*FS103+(1-EXP(-LN(2)/2))/(LN(2)/2)*FM104*FP104*VLOOKUP('Données projet'!$B$16,Paramètres!$A$1:$I$89,3,0)*0.475*44/12</f>
        <v>0</v>
      </c>
      <c r="FT104" s="24">
        <f t="shared" si="78"/>
        <v>0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70">
        <f t="shared" si="56"/>
        <v>183.33333333333334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5.2</v>
      </c>
      <c r="N105" s="14">
        <f>IF('Données projet'!$A$36&gt;35,N104+M105-V104,IF(A105&lt;'Données projet'!$A$36,$K$205^A105,IF(A105='Données projet'!$A$36,'Données projet'!$B$36,N104+M105-V104)))</f>
        <v>371.4</v>
      </c>
      <c r="O105" s="14">
        <f>N105*VLOOKUP('Données projet'!$B$9,Paramètres!$A$1:$I$89,3,0)*VLOOKUP('Données projet'!$B$9,Paramètres!$A$1:$I$89,5,0)</f>
        <v>336.04271999999997</v>
      </c>
      <c r="P105" s="14">
        <f t="shared" si="87"/>
        <v>78.681791069086316</v>
      </c>
      <c r="Q105" s="22">
        <f t="shared" si="107"/>
        <v>722.31185677865858</v>
      </c>
      <c r="R105" s="62">
        <f t="shared" si="55"/>
        <v>1000.2637928536415</v>
      </c>
      <c r="S105" s="62">
        <f ca="1">AVERAGE(OFFSET($R$3,0,0,'Données projet'!$E$9+1,1))-AVERAGE(OFFSET($H$3,0,0,'Données projet'!$E$9+1,1))</f>
        <v>570.08763950759544</v>
      </c>
      <c r="T105" s="62">
        <f t="shared" si="88"/>
        <v>297.32483725004136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-2.2737367544323206E-13</v>
      </c>
      <c r="AJ105" s="14">
        <f>AI105*VLOOKUP('Données projet'!$B$10,Paramètres!$A$1:$I$89,3,0)*VLOOKUP('Données projet'!$B$10,Paramètres!$A$1:$I$89,5,0)</f>
        <v>-1.8089849618263545E-13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394.70330963327166</v>
      </c>
      <c r="AO105" s="62">
        <f t="shared" si="90"/>
        <v>424.06445894109982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-2.2737367544323206E-13</v>
      </c>
      <c r="BE105" s="14">
        <f>BD105*VLOOKUP('Données projet'!$B$11,Paramètres!$A$1:$I$89,3,0)*VLOOKUP('Données projet'!$B$11,Paramètres!$A$1:$I$89,5,0)</f>
        <v>-1.6671037883497774E-13</v>
      </c>
      <c r="BF105" s="14" t="e">
        <f t="shared" si="91"/>
        <v>#NUM!</v>
      </c>
      <c r="BG105" s="22" t="e">
        <f t="shared" si="61"/>
        <v>#NUM!</v>
      </c>
      <c r="BH105" s="62" t="e">
        <f t="shared" si="62"/>
        <v>#NUM!</v>
      </c>
      <c r="BI105" s="62">
        <f ca="1">AVERAGE(OFFSET($BH$3,0,0,'Données projet'!$E$11+1,1))-AVERAGE(OFFSET($H$3,0,0,'Données projet'!$E$11+1,1))</f>
        <v>368.54671978064204</v>
      </c>
      <c r="BJ105" s="62">
        <f t="shared" si="92"/>
        <v>395.83504504492237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5.6843418860808015E-14</v>
      </c>
      <c r="BZ105" s="14">
        <f>BY105*VLOOKUP('Données projet'!$B$12,Paramètres!$A$1:$I$89,3,0)*VLOOKUP('Données projet'!$B$12,Paramètres!$A$1:$I$89,5,0)</f>
        <v>4.4337866711430253E-14</v>
      </c>
      <c r="CA105" s="14">
        <f t="shared" si="93"/>
        <v>7.3222115536967035E-13</v>
      </c>
      <c r="CB105" s="22">
        <f t="shared" si="64"/>
        <v>1.3525069634579169E-12</v>
      </c>
      <c r="CC105" s="62">
        <f t="shared" si="65"/>
        <v>277.9519360749843</v>
      </c>
      <c r="CD105" s="62">
        <f ca="1">AVERAGE(OFFSET($CC$3,0,0,'Données projet'!$E$12+1,1))-AVERAGE(OFFSET($H$3,0,0,'Données projet'!$E$12+1,1))</f>
        <v>309.21625451786218</v>
      </c>
      <c r="CE105" s="62">
        <f t="shared" si="94"/>
        <v>302.59481222418219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3.7179487179487181</v>
      </c>
      <c r="CT105" s="13">
        <f>IF('Données projet'!$A$140&gt;35,CT104+CS105-DB104,IF(A105&lt;'Données projet'!$A$140,$CQ$205^A105,IF(A105='Données projet'!$A$140,'Données projet'!$B$140,CT104+CS105-DB104)))</f>
        <v>283.07692307692298</v>
      </c>
      <c r="CU105" s="18">
        <f>CT105*VLOOKUP('Données projet'!$B$13,Paramètres!$A$1:$I$89,3,0)*VLOOKUP('Données projet'!$B$13,Paramètres!$A$1:$I$89,5,0)</f>
        <v>269.37599999999992</v>
      </c>
      <c r="CV105" s="14">
        <f t="shared" si="95"/>
        <v>64.716822911274548</v>
      </c>
      <c r="CW105" s="22">
        <f t="shared" si="67"/>
        <v>581.8783332371363</v>
      </c>
      <c r="CX105" s="62">
        <f t="shared" si="68"/>
        <v>859.8302693121193</v>
      </c>
      <c r="CY105" s="62">
        <f ca="1">AVERAGE(OFFSET($CX$3,0,0,'Données projet'!$E$13+1,1))-AVERAGE(OFFSET($H$3,0,0,'Données projet'!$E$13+1,1))</f>
        <v>491.87038198656927</v>
      </c>
      <c r="CZ105" s="62">
        <f t="shared" si="96"/>
        <v>406.49261644949559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0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5.2</v>
      </c>
      <c r="DO105" s="13">
        <f>IF('Données projet'!$A$166&gt;35,DO104+DN105-DW104,IF(A105&lt;'Données projet'!$A$166,$DL$205^A105,IF(A105='Données projet'!$A$166,'Données projet'!$B$166,DO104+DN105-DW104)))</f>
        <v>371.4</v>
      </c>
      <c r="DP105" s="18">
        <f>DO105*VLOOKUP('Données projet'!$B$14,Paramètres!$A$1:$I$89,3,0)*VLOOKUP('Données projet'!$B$14,Paramètres!$A$1:$I$89,5,0)</f>
        <v>359.21807999999999</v>
      </c>
      <c r="DQ105" s="14">
        <f t="shared" si="97"/>
        <v>83.457728297661106</v>
      </c>
      <c r="DR105" s="22">
        <f t="shared" si="70"/>
        <v>770.99369945175965</v>
      </c>
      <c r="DS105" s="62">
        <f t="shared" si="71"/>
        <v>1048.9456355267425</v>
      </c>
      <c r="DT105" s="62">
        <f ca="1">AVERAGE(OFFSET($DS$3,0,0,'Données projet'!$E$14+1,1))-AVERAGE(OFFSET($H$3,0,0,'Données projet'!$E$14+1,1))</f>
        <v>603.52431522262032</v>
      </c>
      <c r="DU105" s="62">
        <f t="shared" si="98"/>
        <v>313.56299786481338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projet'!$B$14,Paramètres!$A$1:$I$89,3,0)*0.475*44/12</f>
        <v>0</v>
      </c>
      <c r="EB105" s="23">
        <f>EXP(-LN(2)/25)*EB104+(1-EXP(-LN(2)/25))/(LN(2)/25)*Calculateur!DW105*Calculateur!DY105*VLOOKUP('Données projet'!$B$14,Paramètres!$A$1:$I$89,3,0)*0.475*44/12</f>
        <v>0</v>
      </c>
      <c r="EC105" s="23">
        <f>EXP(-LN(2)/2)*EC104+(1-EXP(-LN(2)/2))/(LN(2)/2)*DW105*DZ105*VLOOKUP('Données projet'!$B$14,Paramètres!$A$1:$I$89,3,0)*0.475*44/12</f>
        <v>0</v>
      </c>
      <c r="ED105" s="24">
        <f t="shared" si="72"/>
        <v>0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-1.1368683772161603E-13</v>
      </c>
      <c r="EK105" s="18">
        <f>EJ105*VLOOKUP('Données projet'!$B$15,Paramètres!$A$1:$I$89,3,0)*VLOOKUP('Données projet'!$B$15,Paramètres!$A$1:$I$89,5,0)</f>
        <v>-9.2222762759774927E-14</v>
      </c>
      <c r="EL105" s="14" t="e">
        <f t="shared" si="99"/>
        <v>#NUM!</v>
      </c>
      <c r="EM105" s="22" t="e">
        <f t="shared" si="73"/>
        <v>#NUM!</v>
      </c>
      <c r="EN105" s="62" t="e">
        <f t="shared" si="74"/>
        <v>#NUM!</v>
      </c>
      <c r="EO105" s="62">
        <f ca="1">AVERAGE(OFFSET($EN$3,0,0,'Données projet'!$E$15+1,1))-AVERAGE(OFFSET($H$3,0,0,'Données projet'!$E$15+1,1))</f>
        <v>272.69564942740931</v>
      </c>
      <c r="EP105" s="62">
        <f t="shared" si="100"/>
        <v>316.57989180609252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>
        <f>EXP(-LN(2)/35)*EV104+(1-EXP(-LN(2)/35))/(LN(2)/35)*ER105*ES105*VLOOKUP('Données projet'!$B$15,Paramètres!$A$1:$I$89,3,0)*0.475*44/12</f>
        <v>0</v>
      </c>
      <c r="EW105" s="23">
        <f>EXP(-LN(2)/25)*EW104+(1-EXP(-LN(2)/25))/(LN(2)/25)*Calculateur!ER105*Calculateur!ET105*VLOOKUP('Données projet'!$B$15,Paramètres!$A$1:$I$89,3,0)*0.475*44/12</f>
        <v>0</v>
      </c>
      <c r="EX105" s="23">
        <f>EXP(-LN(2)/2)*EX104+(1-EXP(-LN(2)/2))/(LN(2)/2)*ER105*EU105*VLOOKUP('Données projet'!$B$15,Paramètres!$A$1:$I$89,3,0)*0.475*44/12</f>
        <v>0</v>
      </c>
      <c r="EY105" s="24">
        <f t="shared" si="75"/>
        <v>0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4.2948717948717903</v>
      </c>
      <c r="FE105" s="13">
        <f>IF('Données projet'!$A$218&gt;35,FE104+FD105-FM104,IF(A105&lt;'Données projet'!$A$218,$FB$205^A105,IF(A105='Données projet'!$A$218,'Données projet'!$B$218,FE104+FD105-FM104)))</f>
        <v>375.89743589743574</v>
      </c>
      <c r="FF105" s="18">
        <f>FE105*VLOOKUP('Données projet'!$B$16,Paramètres!$A$1:$I$89,3,0)*VLOOKUP('Données projet'!$B$16,Paramètres!$A$1:$I$89,5,0)</f>
        <v>252.1519999999999</v>
      </c>
      <c r="FG105" s="14">
        <f t="shared" si="101"/>
        <v>61.046529136134595</v>
      </c>
      <c r="FH105" s="22">
        <f t="shared" si="76"/>
        <v>545.48743824543419</v>
      </c>
      <c r="FI105" s="62">
        <f t="shared" si="77"/>
        <v>823.43937432041707</v>
      </c>
      <c r="FJ105" s="62">
        <f ca="1">AVERAGE(OFFSET($FI$3,0,0,'Données projet'!$E$16+1,1))-AVERAGE(OFFSET($H$3,0,0,'Données projet'!$E$16+1,1))</f>
        <v>440.90856392064205</v>
      </c>
      <c r="FK105" s="62">
        <f t="shared" si="102"/>
        <v>373.33139300970629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>
        <f>EXP(-LN(2)/35)*FQ104+(1-EXP(-LN(2)/35))/(LN(2)/35)*FM105*FN105*VLOOKUP('Données projet'!$B$16,Paramètres!$A$1:$I$89,3,0)*0.475*44/12</f>
        <v>0</v>
      </c>
      <c r="FR105" s="23">
        <f>EXP(-LN(2)/25)*FR104+(1-EXP(-LN(2)/25))/(LN(2)/25)*Calculateur!FM105*Calculateur!FO105*VLOOKUP('Données projet'!$B$16,Paramètres!$A$1:$I$89,3,0)*0.475*44/12</f>
        <v>0</v>
      </c>
      <c r="FS105" s="23">
        <f>EXP(-LN(2)/2)*FS104+(1-EXP(-LN(2)/2))/(LN(2)/2)*FM105*FP105*VLOOKUP('Données projet'!$B$16,Paramètres!$A$1:$I$89,3,0)*0.475*44/12</f>
        <v>0</v>
      </c>
      <c r="FT105" s="24">
        <f t="shared" si="78"/>
        <v>0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70">
        <f t="shared" si="56"/>
        <v>183.33333333333334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5.2</v>
      </c>
      <c r="N106" s="14">
        <f>IF('Données projet'!$A$36&gt;35,N105+M106-V105,IF(A106&lt;'Données projet'!$A$36,$K$205^A106,IF(A106='Données projet'!$A$36,'Données projet'!$B$36,N105+M106-V105)))</f>
        <v>376.59999999999997</v>
      </c>
      <c r="O106" s="14">
        <f>N106*VLOOKUP('Données projet'!$B$9,Paramètres!$A$1:$I$89,3,0)*VLOOKUP('Données projet'!$B$9,Paramètres!$A$1:$I$89,5,0)</f>
        <v>340.74767999999995</v>
      </c>
      <c r="P106" s="14">
        <f t="shared" si="87"/>
        <v>79.654402089206556</v>
      </c>
      <c r="Q106" s="22">
        <f t="shared" si="107"/>
        <v>732.20029297203462</v>
      </c>
      <c r="R106" s="62">
        <f t="shared" si="55"/>
        <v>1010.4190619017972</v>
      </c>
      <c r="S106" s="62">
        <f ca="1">AVERAGE(OFFSET($R$3,0,0,'Données projet'!$E$9+1,1))-AVERAGE(OFFSET($H$3,0,0,'Données projet'!$E$9+1,1))</f>
        <v>570.08763950759544</v>
      </c>
      <c r="T106" s="62">
        <f t="shared" si="88"/>
        <v>297.32483725004136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-2.2737367544323206E-13</v>
      </c>
      <c r="AJ106" s="14">
        <f>AI106*VLOOKUP('Données projet'!$B$10,Paramètres!$A$1:$I$89,3,0)*VLOOKUP('Données projet'!$B$10,Paramètres!$A$1:$I$89,5,0)</f>
        <v>-1.8089849618263545E-13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394.70330963327166</v>
      </c>
      <c r="AO106" s="62">
        <f t="shared" si="90"/>
        <v>424.06445894109982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-2.2737367544323206E-13</v>
      </c>
      <c r="BE106" s="14">
        <f>BD106*VLOOKUP('Données projet'!$B$11,Paramètres!$A$1:$I$89,3,0)*VLOOKUP('Données projet'!$B$11,Paramètres!$A$1:$I$89,5,0)</f>
        <v>-1.6671037883497774E-13</v>
      </c>
      <c r="BF106" s="14" t="e">
        <f t="shared" si="91"/>
        <v>#NUM!</v>
      </c>
      <c r="BG106" s="22" t="e">
        <f t="shared" si="61"/>
        <v>#NUM!</v>
      </c>
      <c r="BH106" s="62" t="e">
        <f t="shared" si="62"/>
        <v>#NUM!</v>
      </c>
      <c r="BI106" s="62">
        <f ca="1">AVERAGE(OFFSET($BH$3,0,0,'Données projet'!$E$11+1,1))-AVERAGE(OFFSET($H$3,0,0,'Données projet'!$E$11+1,1))</f>
        <v>368.54671978064204</v>
      </c>
      <c r="BJ106" s="62">
        <f t="shared" si="92"/>
        <v>395.83504504492237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5.6843418860808015E-14</v>
      </c>
      <c r="BZ106" s="14">
        <f>BY106*VLOOKUP('Données projet'!$B$12,Paramètres!$A$1:$I$89,3,0)*VLOOKUP('Données projet'!$B$12,Paramètres!$A$1:$I$89,5,0)</f>
        <v>4.4337866711430253E-14</v>
      </c>
      <c r="CA106" s="14">
        <f t="shared" si="93"/>
        <v>7.3222115536967035E-13</v>
      </c>
      <c r="CB106" s="22">
        <f t="shared" si="64"/>
        <v>1.3525069634579169E-12</v>
      </c>
      <c r="CC106" s="62">
        <f t="shared" si="65"/>
        <v>278.21876892976405</v>
      </c>
      <c r="CD106" s="62">
        <f ca="1">AVERAGE(OFFSET($CC$3,0,0,'Données projet'!$E$12+1,1))-AVERAGE(OFFSET($H$3,0,0,'Données projet'!$E$12+1,1))</f>
        <v>309.21625451786218</v>
      </c>
      <c r="CE106" s="62">
        <f t="shared" si="94"/>
        <v>302.59481222418219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3.7179487179487181</v>
      </c>
      <c r="CT106" s="13">
        <f>IF('Données projet'!$A$140&gt;35,CT105+CS106-DB105,IF(A106&lt;'Données projet'!$A$140,$CQ$205^A106,IF(A106='Données projet'!$A$140,'Données projet'!$B$140,CT105+CS106-DB105)))</f>
        <v>286.79487179487171</v>
      </c>
      <c r="CU106" s="18">
        <f>CT106*VLOOKUP('Données projet'!$B$13,Paramètres!$A$1:$I$89,3,0)*VLOOKUP('Données projet'!$B$13,Paramètres!$A$1:$I$89,5,0)</f>
        <v>272.91399999999993</v>
      </c>
      <c r="CV106" s="14">
        <f t="shared" si="95"/>
        <v>65.467306733344003</v>
      </c>
      <c r="CW106" s="22">
        <f t="shared" si="67"/>
        <v>589.347442560574</v>
      </c>
      <c r="CX106" s="62">
        <f t="shared" si="68"/>
        <v>867.56621149033663</v>
      </c>
      <c r="CY106" s="62">
        <f ca="1">AVERAGE(OFFSET($CX$3,0,0,'Données projet'!$E$13+1,1))-AVERAGE(OFFSET($H$3,0,0,'Données projet'!$E$13+1,1))</f>
        <v>491.87038198656927</v>
      </c>
      <c r="CZ106" s="62">
        <f t="shared" si="96"/>
        <v>406.49261644949559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0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5.2</v>
      </c>
      <c r="DO106" s="13">
        <f>IF('Données projet'!$A$166&gt;35,DO105+DN106-DW105,IF(A106&lt;'Données projet'!$A$166,$DL$205^A106,IF(A106='Données projet'!$A$166,'Données projet'!$B$166,DO105+DN106-DW105)))</f>
        <v>376.59999999999997</v>
      </c>
      <c r="DP106" s="18">
        <f>DO106*VLOOKUP('Données projet'!$B$14,Paramètres!$A$1:$I$89,3,0)*VLOOKUP('Données projet'!$B$14,Paramètres!$A$1:$I$89,5,0)</f>
        <v>364.24752000000001</v>
      </c>
      <c r="DQ106" s="14">
        <f t="shared" si="97"/>
        <v>84.489376219671925</v>
      </c>
      <c r="DR106" s="22">
        <f t="shared" si="70"/>
        <v>781.55009424926186</v>
      </c>
      <c r="DS106" s="62">
        <f t="shared" si="71"/>
        <v>1059.7688631790245</v>
      </c>
      <c r="DT106" s="62">
        <f ca="1">AVERAGE(OFFSET($DS$3,0,0,'Données projet'!$E$14+1,1))-AVERAGE(OFFSET($H$3,0,0,'Données projet'!$E$14+1,1))</f>
        <v>603.52431522262032</v>
      </c>
      <c r="DU106" s="62">
        <f t="shared" si="98"/>
        <v>313.56299786481338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projet'!$B$14,Paramètres!$A$1:$I$89,3,0)*0.475*44/12</f>
        <v>0</v>
      </c>
      <c r="EB106" s="23">
        <f>EXP(-LN(2)/25)*EB105+(1-EXP(-LN(2)/25))/(LN(2)/25)*Calculateur!DW106*Calculateur!DY106*VLOOKUP('Données projet'!$B$14,Paramètres!$A$1:$I$89,3,0)*0.475*44/12</f>
        <v>0</v>
      </c>
      <c r="EC106" s="23">
        <f>EXP(-LN(2)/2)*EC105+(1-EXP(-LN(2)/2))/(LN(2)/2)*DW106*DZ106*VLOOKUP('Données projet'!$B$14,Paramètres!$A$1:$I$89,3,0)*0.475*44/12</f>
        <v>0</v>
      </c>
      <c r="ED106" s="24">
        <f t="shared" si="72"/>
        <v>0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-1.1368683772161603E-13</v>
      </c>
      <c r="EK106" s="18">
        <f>EJ106*VLOOKUP('Données projet'!$B$15,Paramètres!$A$1:$I$89,3,0)*VLOOKUP('Données projet'!$B$15,Paramètres!$A$1:$I$89,5,0)</f>
        <v>-9.2222762759774927E-14</v>
      </c>
      <c r="EL106" s="14" t="e">
        <f t="shared" si="99"/>
        <v>#NUM!</v>
      </c>
      <c r="EM106" s="22" t="e">
        <f t="shared" si="73"/>
        <v>#NUM!</v>
      </c>
      <c r="EN106" s="62" t="e">
        <f t="shared" si="74"/>
        <v>#NUM!</v>
      </c>
      <c r="EO106" s="62">
        <f ca="1">AVERAGE(OFFSET($EN$3,0,0,'Données projet'!$E$15+1,1))-AVERAGE(OFFSET($H$3,0,0,'Données projet'!$E$15+1,1))</f>
        <v>272.69564942740931</v>
      </c>
      <c r="EP106" s="62">
        <f t="shared" si="100"/>
        <v>316.57989180609252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>
        <f>EXP(-LN(2)/35)*EV105+(1-EXP(-LN(2)/35))/(LN(2)/35)*ER106*ES106*VLOOKUP('Données projet'!$B$15,Paramètres!$A$1:$I$89,3,0)*0.475*44/12</f>
        <v>0</v>
      </c>
      <c r="EW106" s="23">
        <f>EXP(-LN(2)/25)*EW105+(1-EXP(-LN(2)/25))/(LN(2)/25)*Calculateur!ER106*Calculateur!ET106*VLOOKUP('Données projet'!$B$15,Paramètres!$A$1:$I$89,3,0)*0.475*44/12</f>
        <v>0</v>
      </c>
      <c r="EX106" s="23">
        <f>EXP(-LN(2)/2)*EX105+(1-EXP(-LN(2)/2))/(LN(2)/2)*ER106*EU106*VLOOKUP('Données projet'!$B$15,Paramètres!$A$1:$I$89,3,0)*0.475*44/12</f>
        <v>0</v>
      </c>
      <c r="EY106" s="24">
        <f t="shared" si="75"/>
        <v>0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4.2948717948717903</v>
      </c>
      <c r="FE106" s="13">
        <f>IF('Données projet'!$A$218&gt;35,FE105+FD106-FM105,IF(A106&lt;'Données projet'!$A$218,$FB$205^A106,IF(A106='Données projet'!$A$218,'Données projet'!$B$218,FE105+FD106-FM105)))</f>
        <v>380.19230769230751</v>
      </c>
      <c r="FF106" s="18">
        <f>FE106*VLOOKUP('Données projet'!$B$16,Paramètres!$A$1:$I$89,3,0)*VLOOKUP('Données projet'!$B$16,Paramètres!$A$1:$I$89,5,0)</f>
        <v>255.03299999999987</v>
      </c>
      <c r="FG106" s="14">
        <f t="shared" si="101"/>
        <v>61.662428642904892</v>
      </c>
      <c r="FH106" s="22">
        <f t="shared" si="76"/>
        <v>551.57787155305903</v>
      </c>
      <c r="FI106" s="62">
        <f t="shared" si="77"/>
        <v>829.79664048282166</v>
      </c>
      <c r="FJ106" s="62">
        <f ca="1">AVERAGE(OFFSET($FI$3,0,0,'Données projet'!$E$16+1,1))-AVERAGE(OFFSET($H$3,0,0,'Données projet'!$E$16+1,1))</f>
        <v>440.90856392064205</v>
      </c>
      <c r="FK106" s="62">
        <f t="shared" si="102"/>
        <v>373.33139300970629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>
        <f>EXP(-LN(2)/35)*FQ105+(1-EXP(-LN(2)/35))/(LN(2)/35)*FM106*FN106*VLOOKUP('Données projet'!$B$16,Paramètres!$A$1:$I$89,3,0)*0.475*44/12</f>
        <v>0</v>
      </c>
      <c r="FR106" s="23">
        <f>EXP(-LN(2)/25)*FR105+(1-EXP(-LN(2)/25))/(LN(2)/25)*Calculateur!FM106*Calculateur!FO106*VLOOKUP('Données projet'!$B$16,Paramètres!$A$1:$I$89,3,0)*0.475*44/12</f>
        <v>0</v>
      </c>
      <c r="FS106" s="23">
        <f>EXP(-LN(2)/2)*FS105+(1-EXP(-LN(2)/2))/(LN(2)/2)*FM106*FP106*VLOOKUP('Données projet'!$B$16,Paramètres!$A$1:$I$89,3,0)*0.475*44/12</f>
        <v>0</v>
      </c>
      <c r="FT106" s="24">
        <f t="shared" si="78"/>
        <v>0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70">
        <f t="shared" si="56"/>
        <v>183.33333333333334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5.2</v>
      </c>
      <c r="N107" s="14">
        <f>IF('Données projet'!$A$36&gt;35,N106+M107-V106,IF(A107&lt;'Données projet'!$A$36,$K$205^A107,IF(A107='Données projet'!$A$36,'Données projet'!$B$36,N106+M107-V106)))</f>
        <v>381.79999999999995</v>
      </c>
      <c r="O107" s="14">
        <f>N107*VLOOKUP('Données projet'!$B$9,Paramètres!$A$1:$I$89,3,0)*VLOOKUP('Données projet'!$B$9,Paramètres!$A$1:$I$89,5,0)</f>
        <v>345.45263999999997</v>
      </c>
      <c r="P107" s="14">
        <f t="shared" si="87"/>
        <v>80.625451110046569</v>
      </c>
      <c r="Q107" s="22">
        <f t="shared" si="107"/>
        <v>742.08600868333099</v>
      </c>
      <c r="R107" s="62">
        <f t="shared" si="55"/>
        <v>1020.566981514392</v>
      </c>
      <c r="S107" s="62">
        <f ca="1">AVERAGE(OFFSET($R$3,0,0,'Données projet'!$E$9+1,1))-AVERAGE(OFFSET($H$3,0,0,'Données projet'!$E$9+1,1))</f>
        <v>570.08763950759544</v>
      </c>
      <c r="T107" s="62">
        <f t="shared" si="88"/>
        <v>297.32483725004136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-2.2737367544323206E-13</v>
      </c>
      <c r="AJ107" s="14">
        <f>AI107*VLOOKUP('Données projet'!$B$10,Paramètres!$A$1:$I$89,3,0)*VLOOKUP('Données projet'!$B$10,Paramètres!$A$1:$I$89,5,0)</f>
        <v>-1.8089849618263545E-13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394.70330963327166</v>
      </c>
      <c r="AO107" s="62">
        <f t="shared" si="90"/>
        <v>424.06445894109982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-2.2737367544323206E-13</v>
      </c>
      <c r="BE107" s="14">
        <f>BD107*VLOOKUP('Données projet'!$B$11,Paramètres!$A$1:$I$89,3,0)*VLOOKUP('Données projet'!$B$11,Paramètres!$A$1:$I$89,5,0)</f>
        <v>-1.6671037883497774E-13</v>
      </c>
      <c r="BF107" s="14" t="e">
        <f t="shared" si="91"/>
        <v>#NUM!</v>
      </c>
      <c r="BG107" s="22" t="e">
        <f t="shared" si="61"/>
        <v>#NUM!</v>
      </c>
      <c r="BH107" s="62" t="e">
        <f t="shared" si="62"/>
        <v>#NUM!</v>
      </c>
      <c r="BI107" s="62">
        <f ca="1">AVERAGE(OFFSET($BH$3,0,0,'Données projet'!$E$11+1,1))-AVERAGE(OFFSET($H$3,0,0,'Données projet'!$E$11+1,1))</f>
        <v>368.54671978064204</v>
      </c>
      <c r="BJ107" s="62">
        <f t="shared" si="92"/>
        <v>395.83504504492237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5.6843418860808015E-14</v>
      </c>
      <c r="BZ107" s="14">
        <f>BY107*VLOOKUP('Données projet'!$B$12,Paramètres!$A$1:$I$89,3,0)*VLOOKUP('Données projet'!$B$12,Paramètres!$A$1:$I$89,5,0)</f>
        <v>4.4337866711430253E-14</v>
      </c>
      <c r="CA107" s="14">
        <f t="shared" si="93"/>
        <v>7.3222115536967035E-13</v>
      </c>
      <c r="CB107" s="22">
        <f t="shared" si="64"/>
        <v>1.3525069634579169E-12</v>
      </c>
      <c r="CC107" s="62">
        <f t="shared" si="65"/>
        <v>278.48097283106227</v>
      </c>
      <c r="CD107" s="62">
        <f ca="1">AVERAGE(OFFSET($CC$3,0,0,'Données projet'!$E$12+1,1))-AVERAGE(OFFSET($H$3,0,0,'Données projet'!$E$12+1,1))</f>
        <v>309.21625451786218</v>
      </c>
      <c r="CE107" s="62">
        <f t="shared" si="94"/>
        <v>302.59481222418219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3.7179487179487181</v>
      </c>
      <c r="CT107" s="13">
        <f>IF('Données projet'!$A$140&gt;35,CT106+CS107-DB106,IF(A107&lt;'Données projet'!$A$140,$CQ$205^A107,IF(A107='Données projet'!$A$140,'Données projet'!$B$140,CT106+CS107-DB106)))</f>
        <v>290.51282051282044</v>
      </c>
      <c r="CU107" s="18">
        <f>CT107*VLOOKUP('Données projet'!$B$13,Paramètres!$A$1:$I$89,3,0)*VLOOKUP('Données projet'!$B$13,Paramètres!$A$1:$I$89,5,0)</f>
        <v>276.45199999999994</v>
      </c>
      <c r="CV107" s="14">
        <f t="shared" si="95"/>
        <v>66.216658906888583</v>
      </c>
      <c r="CW107" s="22">
        <f t="shared" si="67"/>
        <v>596.81458092949754</v>
      </c>
      <c r="CX107" s="62">
        <f t="shared" si="68"/>
        <v>875.29555376055851</v>
      </c>
      <c r="CY107" s="62">
        <f ca="1">AVERAGE(OFFSET($CX$3,0,0,'Données projet'!$E$13+1,1))-AVERAGE(OFFSET($H$3,0,0,'Données projet'!$E$13+1,1))</f>
        <v>491.87038198656927</v>
      </c>
      <c r="CZ107" s="62">
        <f t="shared" si="96"/>
        <v>406.49261644949559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0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5.2</v>
      </c>
      <c r="DO107" s="13">
        <f>IF('Données projet'!$A$166&gt;35,DO106+DN107-DW106,IF(A107&lt;'Données projet'!$A$166,$DL$205^A107,IF(A107='Données projet'!$A$166,'Données projet'!$B$166,DO106+DN107-DW106)))</f>
        <v>381.79999999999995</v>
      </c>
      <c r="DP107" s="18">
        <f>DO107*VLOOKUP('Données projet'!$B$14,Paramètres!$A$1:$I$89,3,0)*VLOOKUP('Données projet'!$B$14,Paramètres!$A$1:$I$89,5,0)</f>
        <v>369.27695999999997</v>
      </c>
      <c r="DQ107" s="14">
        <f t="shared" si="97"/>
        <v>85.519367329988739</v>
      </c>
      <c r="DR107" s="22">
        <f t="shared" si="70"/>
        <v>792.10360343306365</v>
      </c>
      <c r="DS107" s="62">
        <f t="shared" si="71"/>
        <v>1070.5845762641245</v>
      </c>
      <c r="DT107" s="62">
        <f ca="1">AVERAGE(OFFSET($DS$3,0,0,'Données projet'!$E$14+1,1))-AVERAGE(OFFSET($H$3,0,0,'Données projet'!$E$14+1,1))</f>
        <v>603.52431522262032</v>
      </c>
      <c r="DU107" s="62">
        <f t="shared" si="98"/>
        <v>313.56299786481338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projet'!$B$14,Paramètres!$A$1:$I$89,3,0)*0.475*44/12</f>
        <v>0</v>
      </c>
      <c r="EB107" s="23">
        <f>EXP(-LN(2)/25)*EB106+(1-EXP(-LN(2)/25))/(LN(2)/25)*Calculateur!DW107*Calculateur!DY107*VLOOKUP('Données projet'!$B$14,Paramètres!$A$1:$I$89,3,0)*0.475*44/12</f>
        <v>0</v>
      </c>
      <c r="EC107" s="23">
        <f>EXP(-LN(2)/2)*EC106+(1-EXP(-LN(2)/2))/(LN(2)/2)*DW107*DZ107*VLOOKUP('Données projet'!$B$14,Paramètres!$A$1:$I$89,3,0)*0.475*44/12</f>
        <v>0</v>
      </c>
      <c r="ED107" s="24">
        <f t="shared" si="72"/>
        <v>0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-1.1368683772161603E-13</v>
      </c>
      <c r="EK107" s="18">
        <f>EJ107*VLOOKUP('Données projet'!$B$15,Paramètres!$A$1:$I$89,3,0)*VLOOKUP('Données projet'!$B$15,Paramètres!$A$1:$I$89,5,0)</f>
        <v>-9.2222762759774927E-14</v>
      </c>
      <c r="EL107" s="14" t="e">
        <f t="shared" si="99"/>
        <v>#NUM!</v>
      </c>
      <c r="EM107" s="22" t="e">
        <f t="shared" si="73"/>
        <v>#NUM!</v>
      </c>
      <c r="EN107" s="62" t="e">
        <f t="shared" si="74"/>
        <v>#NUM!</v>
      </c>
      <c r="EO107" s="62">
        <f ca="1">AVERAGE(OFFSET($EN$3,0,0,'Données projet'!$E$15+1,1))-AVERAGE(OFFSET($H$3,0,0,'Données projet'!$E$15+1,1))</f>
        <v>272.69564942740931</v>
      </c>
      <c r="EP107" s="62">
        <f t="shared" si="100"/>
        <v>316.57989180609252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>
        <f>EXP(-LN(2)/35)*EV106+(1-EXP(-LN(2)/35))/(LN(2)/35)*ER107*ES107*VLOOKUP('Données projet'!$B$15,Paramètres!$A$1:$I$89,3,0)*0.475*44/12</f>
        <v>0</v>
      </c>
      <c r="EW107" s="23">
        <f>EXP(-LN(2)/25)*EW106+(1-EXP(-LN(2)/25))/(LN(2)/25)*Calculateur!ER107*Calculateur!ET107*VLOOKUP('Données projet'!$B$15,Paramètres!$A$1:$I$89,3,0)*0.475*44/12</f>
        <v>0</v>
      </c>
      <c r="EX107" s="23">
        <f>EXP(-LN(2)/2)*EX106+(1-EXP(-LN(2)/2))/(LN(2)/2)*ER107*EU107*VLOOKUP('Données projet'!$B$15,Paramètres!$A$1:$I$89,3,0)*0.475*44/12</f>
        <v>0</v>
      </c>
      <c r="EY107" s="24">
        <f t="shared" si="75"/>
        <v>0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4.2948717948717903</v>
      </c>
      <c r="FE107" s="13">
        <f>IF('Données projet'!$A$218&gt;35,FE106+FD107-FM106,IF(A107&lt;'Données projet'!$A$218,$FB$205^A107,IF(A107='Données projet'!$A$218,'Données projet'!$B$218,FE106+FD107-FM106)))</f>
        <v>384.48717948717928</v>
      </c>
      <c r="FF107" s="18">
        <f>FE107*VLOOKUP('Données projet'!$B$16,Paramètres!$A$1:$I$89,3,0)*VLOOKUP('Données projet'!$B$16,Paramètres!$A$1:$I$89,5,0)</f>
        <v>257.91399999999982</v>
      </c>
      <c r="FG107" s="14">
        <f t="shared" si="101"/>
        <v>62.277518804124711</v>
      </c>
      <c r="FH107" s="22">
        <f t="shared" si="76"/>
        <v>557.66689525051686</v>
      </c>
      <c r="FI107" s="62">
        <f t="shared" si="77"/>
        <v>836.14786808157783</v>
      </c>
      <c r="FJ107" s="62">
        <f ca="1">AVERAGE(OFFSET($FI$3,0,0,'Données projet'!$E$16+1,1))-AVERAGE(OFFSET($H$3,0,0,'Données projet'!$E$16+1,1))</f>
        <v>440.90856392064205</v>
      </c>
      <c r="FK107" s="62">
        <f t="shared" si="102"/>
        <v>373.33139300970629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>
        <f>EXP(-LN(2)/35)*FQ106+(1-EXP(-LN(2)/35))/(LN(2)/35)*FM107*FN107*VLOOKUP('Données projet'!$B$16,Paramètres!$A$1:$I$89,3,0)*0.475*44/12</f>
        <v>0</v>
      </c>
      <c r="FR107" s="23">
        <f>EXP(-LN(2)/25)*FR106+(1-EXP(-LN(2)/25))/(LN(2)/25)*Calculateur!FM107*Calculateur!FO107*VLOOKUP('Données projet'!$B$16,Paramètres!$A$1:$I$89,3,0)*0.475*44/12</f>
        <v>0</v>
      </c>
      <c r="FS107" s="23">
        <f>EXP(-LN(2)/2)*FS106+(1-EXP(-LN(2)/2))/(LN(2)/2)*FM107*FP107*VLOOKUP('Données projet'!$B$16,Paramètres!$A$1:$I$89,3,0)*0.475*44/12</f>
        <v>0</v>
      </c>
      <c r="FT107" s="24">
        <f t="shared" si="78"/>
        <v>0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70">
        <f t="shared" si="56"/>
        <v>183.33333333333334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5.2</v>
      </c>
      <c r="N108" s="14">
        <f>IF('Données projet'!$A$36&gt;35,N107+M108-V107,IF(A108&lt;'Données projet'!$A$36,$K$205^A108,IF(A108='Données projet'!$A$36,'Données projet'!$B$36,N107+M108-V107)))</f>
        <v>386.99999999999994</v>
      </c>
      <c r="O108" s="14">
        <f>N108*VLOOKUP('Données projet'!$B$9,Paramètres!$A$1:$I$89,3,0)*VLOOKUP('Données projet'!$B$9,Paramètres!$A$1:$I$89,5,0)</f>
        <v>350.15759999999995</v>
      </c>
      <c r="P108" s="14">
        <f t="shared" si="87"/>
        <v>81.59496186451068</v>
      </c>
      <c r="Q108" s="22">
        <f t="shared" si="107"/>
        <v>751.96904524735601</v>
      </c>
      <c r="R108" s="62">
        <f t="shared" si="55"/>
        <v>1030.7076733282279</v>
      </c>
      <c r="S108" s="62">
        <f ca="1">AVERAGE(OFFSET($R$3,0,0,'Données projet'!$E$9+1,1))-AVERAGE(OFFSET($H$3,0,0,'Données projet'!$E$9+1,1))</f>
        <v>570.08763950759544</v>
      </c>
      <c r="T108" s="62">
        <f t="shared" si="88"/>
        <v>297.32483725004136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-2.2737367544323206E-13</v>
      </c>
      <c r="AJ108" s="14">
        <f>AI108*VLOOKUP('Données projet'!$B$10,Paramètres!$A$1:$I$89,3,0)*VLOOKUP('Données projet'!$B$10,Paramètres!$A$1:$I$89,5,0)</f>
        <v>-1.8089849618263545E-13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394.70330963327166</v>
      </c>
      <c r="AO108" s="62">
        <f t="shared" si="90"/>
        <v>424.06445894109982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-2.2737367544323206E-13</v>
      </c>
      <c r="BE108" s="14">
        <f>BD108*VLOOKUP('Données projet'!$B$11,Paramètres!$A$1:$I$89,3,0)*VLOOKUP('Données projet'!$B$11,Paramètres!$A$1:$I$89,5,0)</f>
        <v>-1.6671037883497774E-13</v>
      </c>
      <c r="BF108" s="14" t="e">
        <f t="shared" si="91"/>
        <v>#NUM!</v>
      </c>
      <c r="BG108" s="22" t="e">
        <f t="shared" si="61"/>
        <v>#NUM!</v>
      </c>
      <c r="BH108" s="62" t="e">
        <f t="shared" si="62"/>
        <v>#NUM!</v>
      </c>
      <c r="BI108" s="62">
        <f ca="1">AVERAGE(OFFSET($BH$3,0,0,'Données projet'!$E$11+1,1))-AVERAGE(OFFSET($H$3,0,0,'Données projet'!$E$11+1,1))</f>
        <v>368.54671978064204</v>
      </c>
      <c r="BJ108" s="62">
        <f t="shared" si="92"/>
        <v>395.83504504492237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5.6843418860808015E-14</v>
      </c>
      <c r="BZ108" s="14">
        <f>BY108*VLOOKUP('Données projet'!$B$12,Paramètres!$A$1:$I$89,3,0)*VLOOKUP('Données projet'!$B$12,Paramètres!$A$1:$I$89,5,0)</f>
        <v>4.4337866711430253E-14</v>
      </c>
      <c r="CA108" s="14">
        <f t="shared" si="93"/>
        <v>7.3222115536967035E-13</v>
      </c>
      <c r="CB108" s="22">
        <f t="shared" si="64"/>
        <v>1.3525069634579169E-12</v>
      </c>
      <c r="CC108" s="62">
        <f t="shared" si="65"/>
        <v>278.73862808087313</v>
      </c>
      <c r="CD108" s="62">
        <f ca="1">AVERAGE(OFFSET($CC$3,0,0,'Données projet'!$E$12+1,1))-AVERAGE(OFFSET($H$3,0,0,'Données projet'!$E$12+1,1))</f>
        <v>309.21625451786218</v>
      </c>
      <c r="CE108" s="62">
        <f t="shared" si="94"/>
        <v>302.59481222418219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3.7179487179487181</v>
      </c>
      <c r="CT108" s="13">
        <f>IF('Données projet'!$A$140&gt;35,CT107+CS108-DB107,IF(A108&lt;'Données projet'!$A$140,$CQ$205^A108,IF(A108='Données projet'!$A$140,'Données projet'!$B$140,CT107+CS108-DB107)))</f>
        <v>294.23076923076917</v>
      </c>
      <c r="CU108" s="18">
        <f>CT108*VLOOKUP('Données projet'!$B$13,Paramètres!$A$1:$I$89,3,0)*VLOOKUP('Données projet'!$B$13,Paramètres!$A$1:$I$89,5,0)</f>
        <v>279.98999999999995</v>
      </c>
      <c r="CV108" s="14">
        <f t="shared" si="95"/>
        <v>66.964895589249323</v>
      </c>
      <c r="CW108" s="22">
        <f t="shared" si="67"/>
        <v>604.27977648460922</v>
      </c>
      <c r="CX108" s="62">
        <f t="shared" si="68"/>
        <v>883.01840456548098</v>
      </c>
      <c r="CY108" s="62">
        <f ca="1">AVERAGE(OFFSET($CX$3,0,0,'Données projet'!$E$13+1,1))-AVERAGE(OFFSET($H$3,0,0,'Données projet'!$E$13+1,1))</f>
        <v>491.87038198656927</v>
      </c>
      <c r="CZ108" s="62">
        <f t="shared" si="96"/>
        <v>406.49261644949559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0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5.2</v>
      </c>
      <c r="DO108" s="13">
        <f>IF('Données projet'!$A$166&gt;35,DO107+DN108-DW107,IF(A108&lt;'Données projet'!$A$166,$DL$205^A108,IF(A108='Données projet'!$A$166,'Données projet'!$B$166,DO107+DN108-DW107)))</f>
        <v>386.99999999999994</v>
      </c>
      <c r="DP108" s="18">
        <f>DO108*VLOOKUP('Données projet'!$B$14,Paramètres!$A$1:$I$89,3,0)*VLOOKUP('Données projet'!$B$14,Paramètres!$A$1:$I$89,5,0)</f>
        <v>374.30639999999994</v>
      </c>
      <c r="DQ108" s="14">
        <f t="shared" si="97"/>
        <v>86.547726802089201</v>
      </c>
      <c r="DR108" s="22">
        <f t="shared" si="70"/>
        <v>802.65427084697183</v>
      </c>
      <c r="DS108" s="62">
        <f t="shared" si="71"/>
        <v>1081.3928989278436</v>
      </c>
      <c r="DT108" s="62">
        <f ca="1">AVERAGE(OFFSET($DS$3,0,0,'Données projet'!$E$14+1,1))-AVERAGE(OFFSET($H$3,0,0,'Données projet'!$E$14+1,1))</f>
        <v>603.52431522262032</v>
      </c>
      <c r="DU108" s="62">
        <f t="shared" si="98"/>
        <v>313.56299786481338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projet'!$B$14,Paramètres!$A$1:$I$89,3,0)*0.475*44/12</f>
        <v>0</v>
      </c>
      <c r="EB108" s="23">
        <f>EXP(-LN(2)/25)*EB107+(1-EXP(-LN(2)/25))/(LN(2)/25)*Calculateur!DW108*Calculateur!DY108*VLOOKUP('Données projet'!$B$14,Paramètres!$A$1:$I$89,3,0)*0.475*44/12</f>
        <v>0</v>
      </c>
      <c r="EC108" s="23">
        <f>EXP(-LN(2)/2)*EC107+(1-EXP(-LN(2)/2))/(LN(2)/2)*DW108*DZ108*VLOOKUP('Données projet'!$B$14,Paramètres!$A$1:$I$89,3,0)*0.475*44/12</f>
        <v>0</v>
      </c>
      <c r="ED108" s="24">
        <f t="shared" si="72"/>
        <v>0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-1.1368683772161603E-13</v>
      </c>
      <c r="EK108" s="18">
        <f>EJ108*VLOOKUP('Données projet'!$B$15,Paramètres!$A$1:$I$89,3,0)*VLOOKUP('Données projet'!$B$15,Paramètres!$A$1:$I$89,5,0)</f>
        <v>-9.2222762759774927E-14</v>
      </c>
      <c r="EL108" s="14" t="e">
        <f t="shared" si="99"/>
        <v>#NUM!</v>
      </c>
      <c r="EM108" s="22" t="e">
        <f t="shared" si="73"/>
        <v>#NUM!</v>
      </c>
      <c r="EN108" s="62" t="e">
        <f t="shared" si="74"/>
        <v>#NUM!</v>
      </c>
      <c r="EO108" s="62">
        <f ca="1">AVERAGE(OFFSET($EN$3,0,0,'Données projet'!$E$15+1,1))-AVERAGE(OFFSET($H$3,0,0,'Données projet'!$E$15+1,1))</f>
        <v>272.69564942740931</v>
      </c>
      <c r="EP108" s="62">
        <f t="shared" si="100"/>
        <v>316.57989180609252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>
        <f>EXP(-LN(2)/35)*EV107+(1-EXP(-LN(2)/35))/(LN(2)/35)*ER108*ES108*VLOOKUP('Données projet'!$B$15,Paramètres!$A$1:$I$89,3,0)*0.475*44/12</f>
        <v>0</v>
      </c>
      <c r="EW108" s="23">
        <f>EXP(-LN(2)/25)*EW107+(1-EXP(-LN(2)/25))/(LN(2)/25)*Calculateur!ER108*Calculateur!ET108*VLOOKUP('Données projet'!$B$15,Paramètres!$A$1:$I$89,3,0)*0.475*44/12</f>
        <v>0</v>
      </c>
      <c r="EX108" s="23">
        <f>EXP(-LN(2)/2)*EX107+(1-EXP(-LN(2)/2))/(LN(2)/2)*ER108*EU108*VLOOKUP('Données projet'!$B$15,Paramètres!$A$1:$I$89,3,0)*0.475*44/12</f>
        <v>0</v>
      </c>
      <c r="EY108" s="24">
        <f t="shared" si="75"/>
        <v>0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4.2948717948717903</v>
      </c>
      <c r="FE108" s="13">
        <f>IF('Données projet'!$A$218&gt;35,FE107+FD108-FM107,IF(A108&lt;'Données projet'!$A$218,$FB$205^A108,IF(A108='Données projet'!$A$218,'Données projet'!$B$218,FE107+FD108-FM107)))</f>
        <v>388.78205128205104</v>
      </c>
      <c r="FF108" s="18">
        <f>FE108*VLOOKUP('Données projet'!$B$16,Paramètres!$A$1:$I$89,3,0)*VLOOKUP('Données projet'!$B$16,Paramètres!$A$1:$I$89,5,0)</f>
        <v>260.79499999999985</v>
      </c>
      <c r="FG108" s="14">
        <f t="shared" si="101"/>
        <v>62.891809706700556</v>
      </c>
      <c r="FH108" s="22">
        <f t="shared" si="76"/>
        <v>563.75452690583643</v>
      </c>
      <c r="FI108" s="62">
        <f t="shared" si="77"/>
        <v>842.49315498670819</v>
      </c>
      <c r="FJ108" s="62">
        <f ca="1">AVERAGE(OFFSET($FI$3,0,0,'Données projet'!$E$16+1,1))-AVERAGE(OFFSET($H$3,0,0,'Données projet'!$E$16+1,1))</f>
        <v>440.90856392064205</v>
      </c>
      <c r="FK108" s="62">
        <f t="shared" si="102"/>
        <v>373.33139300970629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>
        <f>EXP(-LN(2)/35)*FQ107+(1-EXP(-LN(2)/35))/(LN(2)/35)*FM108*FN108*VLOOKUP('Données projet'!$B$16,Paramètres!$A$1:$I$89,3,0)*0.475*44/12</f>
        <v>0</v>
      </c>
      <c r="FR108" s="23">
        <f>EXP(-LN(2)/25)*FR107+(1-EXP(-LN(2)/25))/(LN(2)/25)*Calculateur!FM108*Calculateur!FO108*VLOOKUP('Données projet'!$B$16,Paramètres!$A$1:$I$89,3,0)*0.475*44/12</f>
        <v>0</v>
      </c>
      <c r="FS108" s="23">
        <f>EXP(-LN(2)/2)*FS107+(1-EXP(-LN(2)/2))/(LN(2)/2)*FM108*FP108*VLOOKUP('Données projet'!$B$16,Paramètres!$A$1:$I$89,3,0)*0.475*44/12</f>
        <v>0</v>
      </c>
      <c r="FT108" s="24">
        <f t="shared" si="78"/>
        <v>0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70">
        <f t="shared" si="56"/>
        <v>183.33333333333334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5.2</v>
      </c>
      <c r="N109" s="14">
        <f>IF('Données projet'!$A$36&gt;35,N108+M109-V108,IF(A109&lt;'Données projet'!$A$36,$K$205^A109,IF(A109='Données projet'!$A$36,'Données projet'!$B$36,N108+M109-V108)))</f>
        <v>392.19999999999993</v>
      </c>
      <c r="O109" s="14">
        <f>N109*VLOOKUP('Données projet'!$B$9,Paramètres!$A$1:$I$89,3,0)*VLOOKUP('Données projet'!$B$9,Paramètres!$A$1:$I$89,5,0)</f>
        <v>354.86255999999992</v>
      </c>
      <c r="P109" s="14">
        <f t="shared" si="87"/>
        <v>82.56295741106787</v>
      </c>
      <c r="Q109" s="22">
        <f t="shared" si="107"/>
        <v>761.84944282427648</v>
      </c>
      <c r="R109" s="62">
        <f t="shared" si="55"/>
        <v>1040.8412564124055</v>
      </c>
      <c r="S109" s="62">
        <f ca="1">AVERAGE(OFFSET($R$3,0,0,'Données projet'!$E$9+1,1))-AVERAGE(OFFSET($H$3,0,0,'Données projet'!$E$9+1,1))</f>
        <v>570.08763950759544</v>
      </c>
      <c r="T109" s="62">
        <f t="shared" si="88"/>
        <v>297.32483725004136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-2.2737367544323206E-13</v>
      </c>
      <c r="AJ109" s="14">
        <f>AI109*VLOOKUP('Données projet'!$B$10,Paramètres!$A$1:$I$89,3,0)*VLOOKUP('Données projet'!$B$10,Paramètres!$A$1:$I$89,5,0)</f>
        <v>-1.8089849618263545E-13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394.70330963327166</v>
      </c>
      <c r="AO109" s="62">
        <f t="shared" si="90"/>
        <v>424.06445894109982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-2.2737367544323206E-13</v>
      </c>
      <c r="BE109" s="14">
        <f>BD109*VLOOKUP('Données projet'!$B$11,Paramètres!$A$1:$I$89,3,0)*VLOOKUP('Données projet'!$B$11,Paramètres!$A$1:$I$89,5,0)</f>
        <v>-1.6671037883497774E-13</v>
      </c>
      <c r="BF109" s="14" t="e">
        <f t="shared" si="91"/>
        <v>#NUM!</v>
      </c>
      <c r="BG109" s="22" t="e">
        <f t="shared" si="61"/>
        <v>#NUM!</v>
      </c>
      <c r="BH109" s="62" t="e">
        <f t="shared" si="62"/>
        <v>#NUM!</v>
      </c>
      <c r="BI109" s="62">
        <f ca="1">AVERAGE(OFFSET($BH$3,0,0,'Données projet'!$E$11+1,1))-AVERAGE(OFFSET($H$3,0,0,'Données projet'!$E$11+1,1))</f>
        <v>368.54671978064204</v>
      </c>
      <c r="BJ109" s="62">
        <f t="shared" si="92"/>
        <v>395.83504504492237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5.6843418860808015E-14</v>
      </c>
      <c r="BZ109" s="14">
        <f>BY109*VLOOKUP('Données projet'!$B$12,Paramètres!$A$1:$I$89,3,0)*VLOOKUP('Données projet'!$B$12,Paramètres!$A$1:$I$89,5,0)</f>
        <v>4.4337866711430253E-14</v>
      </c>
      <c r="CA109" s="14">
        <f t="shared" si="93"/>
        <v>7.3222115536967035E-13</v>
      </c>
      <c r="CB109" s="22">
        <f t="shared" si="64"/>
        <v>1.3525069634579169E-12</v>
      </c>
      <c r="CC109" s="62">
        <f t="shared" si="65"/>
        <v>278.99181358813047</v>
      </c>
      <c r="CD109" s="62">
        <f ca="1">AVERAGE(OFFSET($CC$3,0,0,'Données projet'!$E$12+1,1))-AVERAGE(OFFSET($H$3,0,0,'Données projet'!$E$12+1,1))</f>
        <v>309.21625451786218</v>
      </c>
      <c r="CE109" s="62">
        <f t="shared" si="94"/>
        <v>302.59481222418219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3.7179487179487181</v>
      </c>
      <c r="CT109" s="13">
        <f>IF('Données projet'!$A$140&gt;35,CT108+CS109-DB108,IF(A109&lt;'Données projet'!$A$140,$CQ$205^A109,IF(A109='Données projet'!$A$140,'Données projet'!$B$140,CT108+CS109-DB108)))</f>
        <v>297.9487179487179</v>
      </c>
      <c r="CU109" s="18">
        <f>CT109*VLOOKUP('Données projet'!$B$13,Paramètres!$A$1:$I$89,3,0)*VLOOKUP('Données projet'!$B$13,Paramètres!$A$1:$I$89,5,0)</f>
        <v>283.52799999999996</v>
      </c>
      <c r="CV109" s="14">
        <f t="shared" si="95"/>
        <v>67.712032505951981</v>
      </c>
      <c r="CW109" s="22">
        <f t="shared" si="67"/>
        <v>611.74305661453297</v>
      </c>
      <c r="CX109" s="62">
        <f t="shared" si="68"/>
        <v>890.73487020266202</v>
      </c>
      <c r="CY109" s="62">
        <f ca="1">AVERAGE(OFFSET($CX$3,0,0,'Données projet'!$E$13+1,1))-AVERAGE(OFFSET($H$3,0,0,'Données projet'!$E$13+1,1))</f>
        <v>491.87038198656927</v>
      </c>
      <c r="CZ109" s="62">
        <f t="shared" si="96"/>
        <v>406.49261644949559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0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5.2</v>
      </c>
      <c r="DO109" s="13">
        <f>IF('Données projet'!$A$166&gt;35,DO108+DN109-DW108,IF(A109&lt;'Données projet'!$A$166,$DL$205^A109,IF(A109='Données projet'!$A$166,'Données projet'!$B$166,DO108+DN109-DW108)))</f>
        <v>392.19999999999993</v>
      </c>
      <c r="DP109" s="18">
        <f>DO109*VLOOKUP('Données projet'!$B$14,Paramètres!$A$1:$I$89,3,0)*VLOOKUP('Données projet'!$B$14,Paramètres!$A$1:$I$89,5,0)</f>
        <v>379.33583999999996</v>
      </c>
      <c r="DQ109" s="14">
        <f t="shared" si="97"/>
        <v>87.574479094077503</v>
      </c>
      <c r="DR109" s="22">
        <f t="shared" si="70"/>
        <v>813.2021390888516</v>
      </c>
      <c r="DS109" s="62">
        <f t="shared" si="71"/>
        <v>1092.1939526769806</v>
      </c>
      <c r="DT109" s="62">
        <f ca="1">AVERAGE(OFFSET($DS$3,0,0,'Données projet'!$E$14+1,1))-AVERAGE(OFFSET($H$3,0,0,'Données projet'!$E$14+1,1))</f>
        <v>603.52431522262032</v>
      </c>
      <c r="DU109" s="62">
        <f t="shared" si="98"/>
        <v>313.56299786481338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projet'!$B$14,Paramètres!$A$1:$I$89,3,0)*0.475*44/12</f>
        <v>0</v>
      </c>
      <c r="EB109" s="23">
        <f>EXP(-LN(2)/25)*EB108+(1-EXP(-LN(2)/25))/(LN(2)/25)*Calculateur!DW109*Calculateur!DY109*VLOOKUP('Données projet'!$B$14,Paramètres!$A$1:$I$89,3,0)*0.475*44/12</f>
        <v>0</v>
      </c>
      <c r="EC109" s="23">
        <f>EXP(-LN(2)/2)*EC108+(1-EXP(-LN(2)/2))/(LN(2)/2)*DW109*DZ109*VLOOKUP('Données projet'!$B$14,Paramètres!$A$1:$I$89,3,0)*0.475*44/12</f>
        <v>0</v>
      </c>
      <c r="ED109" s="24">
        <f t="shared" si="72"/>
        <v>0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-1.1368683772161603E-13</v>
      </c>
      <c r="EK109" s="18">
        <f>EJ109*VLOOKUP('Données projet'!$B$15,Paramètres!$A$1:$I$89,3,0)*VLOOKUP('Données projet'!$B$15,Paramètres!$A$1:$I$89,5,0)</f>
        <v>-9.2222762759774927E-14</v>
      </c>
      <c r="EL109" s="14" t="e">
        <f t="shared" si="99"/>
        <v>#NUM!</v>
      </c>
      <c r="EM109" s="22" t="e">
        <f t="shared" si="73"/>
        <v>#NUM!</v>
      </c>
      <c r="EN109" s="62" t="e">
        <f t="shared" si="74"/>
        <v>#NUM!</v>
      </c>
      <c r="EO109" s="62">
        <f ca="1">AVERAGE(OFFSET($EN$3,0,0,'Données projet'!$E$15+1,1))-AVERAGE(OFFSET($H$3,0,0,'Données projet'!$E$15+1,1))</f>
        <v>272.69564942740931</v>
      </c>
      <c r="EP109" s="62">
        <f t="shared" si="100"/>
        <v>316.57989180609252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>
        <f>EXP(-LN(2)/35)*EV108+(1-EXP(-LN(2)/35))/(LN(2)/35)*ER109*ES109*VLOOKUP('Données projet'!$B$15,Paramètres!$A$1:$I$89,3,0)*0.475*44/12</f>
        <v>0</v>
      </c>
      <c r="EW109" s="23">
        <f>EXP(-LN(2)/25)*EW108+(1-EXP(-LN(2)/25))/(LN(2)/25)*Calculateur!ER109*Calculateur!ET109*VLOOKUP('Données projet'!$B$15,Paramètres!$A$1:$I$89,3,0)*0.475*44/12</f>
        <v>0</v>
      </c>
      <c r="EX109" s="23">
        <f>EXP(-LN(2)/2)*EX108+(1-EXP(-LN(2)/2))/(LN(2)/2)*ER109*EU109*VLOOKUP('Données projet'!$B$15,Paramètres!$A$1:$I$89,3,0)*0.475*44/12</f>
        <v>0</v>
      </c>
      <c r="EY109" s="24">
        <f t="shared" si="75"/>
        <v>0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4.2948717948717903</v>
      </c>
      <c r="FE109" s="13">
        <f>IF('Données projet'!$A$218&gt;35,FE108+FD109-FM108,IF(A109&lt;'Données projet'!$A$218,$FB$205^A109,IF(A109='Données projet'!$A$218,'Données projet'!$B$218,FE108+FD109-FM108)))</f>
        <v>393.07692307692281</v>
      </c>
      <c r="FF109" s="18">
        <f>FE109*VLOOKUP('Données projet'!$B$16,Paramètres!$A$1:$I$89,3,0)*VLOOKUP('Données projet'!$B$16,Paramètres!$A$1:$I$89,5,0)</f>
        <v>263.67599999999982</v>
      </c>
      <c r="FG109" s="14">
        <f t="shared" si="101"/>
        <v>63.505311201845885</v>
      </c>
      <c r="FH109" s="22">
        <f t="shared" si="76"/>
        <v>569.84078367654786</v>
      </c>
      <c r="FI109" s="62">
        <f t="shared" si="77"/>
        <v>848.83259726467691</v>
      </c>
      <c r="FJ109" s="62">
        <f ca="1">AVERAGE(OFFSET($FI$3,0,0,'Données projet'!$E$16+1,1))-AVERAGE(OFFSET($H$3,0,0,'Données projet'!$E$16+1,1))</f>
        <v>440.90856392064205</v>
      </c>
      <c r="FK109" s="62">
        <f t="shared" si="102"/>
        <v>373.33139300970629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>
        <f>EXP(-LN(2)/35)*FQ108+(1-EXP(-LN(2)/35))/(LN(2)/35)*FM109*FN109*VLOOKUP('Données projet'!$B$16,Paramètres!$A$1:$I$89,3,0)*0.475*44/12</f>
        <v>0</v>
      </c>
      <c r="FR109" s="23">
        <f>EXP(-LN(2)/25)*FR108+(1-EXP(-LN(2)/25))/(LN(2)/25)*Calculateur!FM109*Calculateur!FO109*VLOOKUP('Données projet'!$B$16,Paramètres!$A$1:$I$89,3,0)*0.475*44/12</f>
        <v>0</v>
      </c>
      <c r="FS109" s="23">
        <f>EXP(-LN(2)/2)*FS108+(1-EXP(-LN(2)/2))/(LN(2)/2)*FM109*FP109*VLOOKUP('Données projet'!$B$16,Paramètres!$A$1:$I$89,3,0)*0.475*44/12</f>
        <v>0</v>
      </c>
      <c r="FT109" s="24">
        <f t="shared" si="78"/>
        <v>0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70">
        <f t="shared" si="56"/>
        <v>183.33333333333334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5.2</v>
      </c>
      <c r="N110" s="14">
        <f>IF('Données projet'!$A$36&gt;35,N109+M110-V109,IF(A110&lt;'Données projet'!$A$36,$K$205^A110,IF(A110='Données projet'!$A$36,'Données projet'!$B$36,N109+M110-V109)))</f>
        <v>397.39999999999992</v>
      </c>
      <c r="O110" s="14">
        <f>N110*VLOOKUP('Données projet'!$B$9,Paramètres!$A$1:$I$89,3,0)*VLOOKUP('Données projet'!$B$9,Paramètres!$A$1:$I$89,5,0)</f>
        <v>359.56751999999989</v>
      </c>
      <c r="P110" s="14">
        <f t="shared" si="87"/>
        <v>83.529460161600639</v>
      </c>
      <c r="Q110" s="22">
        <f t="shared" si="107"/>
        <v>771.72724044812094</v>
      </c>
      <c r="R110" s="62">
        <f t="shared" si="55"/>
        <v>1050.9678473409945</v>
      </c>
      <c r="S110" s="62">
        <f ca="1">AVERAGE(OFFSET($R$3,0,0,'Données projet'!$E$9+1,1))-AVERAGE(OFFSET($H$3,0,0,'Données projet'!$E$9+1,1))</f>
        <v>570.08763950759544</v>
      </c>
      <c r="T110" s="62">
        <f t="shared" si="88"/>
        <v>297.32483725004136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-2.2737367544323206E-13</v>
      </c>
      <c r="AJ110" s="14">
        <f>AI110*VLOOKUP('Données projet'!$B$10,Paramètres!$A$1:$I$89,3,0)*VLOOKUP('Données projet'!$B$10,Paramètres!$A$1:$I$89,5,0)</f>
        <v>-1.8089849618263545E-13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394.70330963327166</v>
      </c>
      <c r="AO110" s="62">
        <f t="shared" si="90"/>
        <v>424.06445894109982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-2.2737367544323206E-13</v>
      </c>
      <c r="BE110" s="14">
        <f>BD110*VLOOKUP('Données projet'!$B$11,Paramètres!$A$1:$I$89,3,0)*VLOOKUP('Données projet'!$B$11,Paramètres!$A$1:$I$89,5,0)</f>
        <v>-1.6671037883497774E-13</v>
      </c>
      <c r="BF110" s="14" t="e">
        <f t="shared" si="91"/>
        <v>#NUM!</v>
      </c>
      <c r="BG110" s="22" t="e">
        <f t="shared" si="61"/>
        <v>#NUM!</v>
      </c>
      <c r="BH110" s="62" t="e">
        <f t="shared" si="62"/>
        <v>#NUM!</v>
      </c>
      <c r="BI110" s="62">
        <f ca="1">AVERAGE(OFFSET($BH$3,0,0,'Données projet'!$E$11+1,1))-AVERAGE(OFFSET($H$3,0,0,'Données projet'!$E$11+1,1))</f>
        <v>368.54671978064204</v>
      </c>
      <c r="BJ110" s="62">
        <f t="shared" si="92"/>
        <v>395.83504504492237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5.6843418860808015E-14</v>
      </c>
      <c r="BZ110" s="14">
        <f>BY110*VLOOKUP('Données projet'!$B$12,Paramètres!$A$1:$I$89,3,0)*VLOOKUP('Données projet'!$B$12,Paramètres!$A$1:$I$89,5,0)</f>
        <v>4.4337866711430253E-14</v>
      </c>
      <c r="CA110" s="14">
        <f t="shared" si="93"/>
        <v>7.3222115536967035E-13</v>
      </c>
      <c r="CB110" s="22">
        <f t="shared" si="64"/>
        <v>1.3525069634579169E-12</v>
      </c>
      <c r="CC110" s="62">
        <f t="shared" si="65"/>
        <v>279.24060689287501</v>
      </c>
      <c r="CD110" s="62">
        <f ca="1">AVERAGE(OFFSET($CC$3,0,0,'Données projet'!$E$12+1,1))-AVERAGE(OFFSET($H$3,0,0,'Données projet'!$E$12+1,1))</f>
        <v>309.21625451786218</v>
      </c>
      <c r="CE110" s="62">
        <f t="shared" si="94"/>
        <v>302.59481222418219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3.7179487179487181</v>
      </c>
      <c r="CT110" s="13">
        <f>IF('Données projet'!$A$140&gt;35,CT109+CS110-DB109,IF(A110&lt;'Données projet'!$A$140,$CQ$205^A110,IF(A110='Données projet'!$A$140,'Données projet'!$B$140,CT109+CS110-DB109)))</f>
        <v>301.66666666666663</v>
      </c>
      <c r="CU110" s="18">
        <f>CT110*VLOOKUP('Données projet'!$B$13,Paramètres!$A$1:$I$89,3,0)*VLOOKUP('Données projet'!$B$13,Paramètres!$A$1:$I$89,5,0)</f>
        <v>287.06599999999997</v>
      </c>
      <c r="CV110" s="14">
        <f t="shared" si="95"/>
        <v>68.458084967488944</v>
      </c>
      <c r="CW110" s="22">
        <f t="shared" si="67"/>
        <v>619.2044479850432</v>
      </c>
      <c r="CX110" s="62">
        <f t="shared" si="68"/>
        <v>898.44505487791685</v>
      </c>
      <c r="CY110" s="62">
        <f ca="1">AVERAGE(OFFSET($CX$3,0,0,'Données projet'!$E$13+1,1))-AVERAGE(OFFSET($H$3,0,0,'Données projet'!$E$13+1,1))</f>
        <v>491.87038198656927</v>
      </c>
      <c r="CZ110" s="62">
        <f t="shared" si="96"/>
        <v>406.49261644949559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0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5.2</v>
      </c>
      <c r="DO110" s="13">
        <f>IF('Données projet'!$A$166&gt;35,DO109+DN110-DW109,IF(A110&lt;'Données projet'!$A$166,$DL$205^A110,IF(A110='Données projet'!$A$166,'Données projet'!$B$166,DO109+DN110-DW109)))</f>
        <v>397.39999999999992</v>
      </c>
      <c r="DP110" s="18">
        <f>DO110*VLOOKUP('Données projet'!$B$14,Paramètres!$A$1:$I$89,3,0)*VLOOKUP('Données projet'!$B$14,Paramètres!$A$1:$I$89,5,0)</f>
        <v>384.36527999999993</v>
      </c>
      <c r="DQ110" s="14">
        <f t="shared" si="97"/>
        <v>88.599647978223373</v>
      </c>
      <c r="DR110" s="22">
        <f t="shared" si="70"/>
        <v>823.74724956207217</v>
      </c>
      <c r="DS110" s="62">
        <f t="shared" si="71"/>
        <v>1102.9878564549458</v>
      </c>
      <c r="DT110" s="62">
        <f ca="1">AVERAGE(OFFSET($DS$3,0,0,'Données projet'!$E$14+1,1))-AVERAGE(OFFSET($H$3,0,0,'Données projet'!$E$14+1,1))</f>
        <v>603.52431522262032</v>
      </c>
      <c r="DU110" s="62">
        <f t="shared" si="98"/>
        <v>313.56299786481338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projet'!$B$14,Paramètres!$A$1:$I$89,3,0)*0.475*44/12</f>
        <v>0</v>
      </c>
      <c r="EB110" s="23">
        <f>EXP(-LN(2)/25)*EB109+(1-EXP(-LN(2)/25))/(LN(2)/25)*Calculateur!DW110*Calculateur!DY110*VLOOKUP('Données projet'!$B$14,Paramètres!$A$1:$I$89,3,0)*0.475*44/12</f>
        <v>0</v>
      </c>
      <c r="EC110" s="23">
        <f>EXP(-LN(2)/2)*EC109+(1-EXP(-LN(2)/2))/(LN(2)/2)*DW110*DZ110*VLOOKUP('Données projet'!$B$14,Paramètres!$A$1:$I$89,3,0)*0.475*44/12</f>
        <v>0</v>
      </c>
      <c r="ED110" s="24">
        <f t="shared" si="72"/>
        <v>0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-1.1368683772161603E-13</v>
      </c>
      <c r="EK110" s="18">
        <f>EJ110*VLOOKUP('Données projet'!$B$15,Paramètres!$A$1:$I$89,3,0)*VLOOKUP('Données projet'!$B$15,Paramètres!$A$1:$I$89,5,0)</f>
        <v>-9.2222762759774927E-14</v>
      </c>
      <c r="EL110" s="14" t="e">
        <f t="shared" si="99"/>
        <v>#NUM!</v>
      </c>
      <c r="EM110" s="22" t="e">
        <f t="shared" si="73"/>
        <v>#NUM!</v>
      </c>
      <c r="EN110" s="62" t="e">
        <f t="shared" si="74"/>
        <v>#NUM!</v>
      </c>
      <c r="EO110" s="62">
        <f ca="1">AVERAGE(OFFSET($EN$3,0,0,'Données projet'!$E$15+1,1))-AVERAGE(OFFSET($H$3,0,0,'Données projet'!$E$15+1,1))</f>
        <v>272.69564942740931</v>
      </c>
      <c r="EP110" s="62">
        <f t="shared" si="100"/>
        <v>316.57989180609252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>
        <f>EXP(-LN(2)/35)*EV109+(1-EXP(-LN(2)/35))/(LN(2)/35)*ER110*ES110*VLOOKUP('Données projet'!$B$15,Paramètres!$A$1:$I$89,3,0)*0.475*44/12</f>
        <v>0</v>
      </c>
      <c r="EW110" s="23">
        <f>EXP(-LN(2)/25)*EW109+(1-EXP(-LN(2)/25))/(LN(2)/25)*Calculateur!ER110*Calculateur!ET110*VLOOKUP('Données projet'!$B$15,Paramètres!$A$1:$I$89,3,0)*0.475*44/12</f>
        <v>0</v>
      </c>
      <c r="EX110" s="23">
        <f>EXP(-LN(2)/2)*EX109+(1-EXP(-LN(2)/2))/(LN(2)/2)*ER110*EU110*VLOOKUP('Données projet'!$B$15,Paramètres!$A$1:$I$89,3,0)*0.475*44/12</f>
        <v>0</v>
      </c>
      <c r="EY110" s="24">
        <f t="shared" si="75"/>
        <v>0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4.2948717948717903</v>
      </c>
      <c r="FE110" s="13">
        <f>IF('Données projet'!$A$218&gt;35,FE109+FD110-FM109,IF(A110&lt;'Données projet'!$A$218,$FB$205^A110,IF(A110='Données projet'!$A$218,'Données projet'!$B$218,FE109+FD110-FM109)))</f>
        <v>397.37179487179458</v>
      </c>
      <c r="FF110" s="18">
        <f>FE110*VLOOKUP('Données projet'!$B$16,Paramètres!$A$1:$I$89,3,0)*VLOOKUP('Données projet'!$B$16,Paramètres!$A$1:$I$89,5,0)</f>
        <v>266.55699999999979</v>
      </c>
      <c r="FG110" s="14">
        <f t="shared" si="101"/>
        <v>64.118032913102013</v>
      </c>
      <c r="FH110" s="22">
        <f t="shared" si="76"/>
        <v>575.92568232365227</v>
      </c>
      <c r="FI110" s="62">
        <f t="shared" si="77"/>
        <v>855.16628921652591</v>
      </c>
      <c r="FJ110" s="62">
        <f ca="1">AVERAGE(OFFSET($FI$3,0,0,'Données projet'!$E$16+1,1))-AVERAGE(OFFSET($H$3,0,0,'Données projet'!$E$16+1,1))</f>
        <v>440.90856392064205</v>
      </c>
      <c r="FK110" s="62">
        <f t="shared" si="102"/>
        <v>373.33139300970629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>
        <f>EXP(-LN(2)/35)*FQ109+(1-EXP(-LN(2)/35))/(LN(2)/35)*FM110*FN110*VLOOKUP('Données projet'!$B$16,Paramètres!$A$1:$I$89,3,0)*0.475*44/12</f>
        <v>0</v>
      </c>
      <c r="FR110" s="23">
        <f>EXP(-LN(2)/25)*FR109+(1-EXP(-LN(2)/25))/(LN(2)/25)*Calculateur!FM110*Calculateur!FO110*VLOOKUP('Données projet'!$B$16,Paramètres!$A$1:$I$89,3,0)*0.475*44/12</f>
        <v>0</v>
      </c>
      <c r="FS110" s="23">
        <f>EXP(-LN(2)/2)*FS109+(1-EXP(-LN(2)/2))/(LN(2)/2)*FM110*FP110*VLOOKUP('Données projet'!$B$16,Paramètres!$A$1:$I$89,3,0)*0.475*44/12</f>
        <v>0</v>
      </c>
      <c r="FT110" s="24">
        <f t="shared" si="78"/>
        <v>0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70">
        <f t="shared" si="56"/>
        <v>183.33333333333334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5.2</v>
      </c>
      <c r="N111" s="14">
        <f>IF('Données projet'!$A$36&gt;35,N110+M111-V110,IF(A111&lt;'Données projet'!$A$36,$K$205^A111,IF(A111='Données projet'!$A$36,'Données projet'!$B$36,N110+M111-V110)))</f>
        <v>402.59999999999991</v>
      </c>
      <c r="O111" s="14">
        <f>N111*VLOOKUP('Données projet'!$B$9,Paramètres!$A$1:$I$89,3,0)*VLOOKUP('Données projet'!$B$9,Paramètres!$A$1:$I$89,5,0)</f>
        <v>364.27247999999992</v>
      </c>
      <c r="P111" s="14">
        <f t="shared" si="87"/>
        <v>84.494491907753741</v>
      </c>
      <c r="Q111" s="22">
        <f t="shared" si="107"/>
        <v>781.60247607267092</v>
      </c>
      <c r="R111" s="62">
        <f t="shared" si="55"/>
        <v>1061.0875602626702</v>
      </c>
      <c r="S111" s="62">
        <f ca="1">AVERAGE(OFFSET($R$3,0,0,'Données projet'!$E$9+1,1))-AVERAGE(OFFSET($H$3,0,0,'Données projet'!$E$9+1,1))</f>
        <v>570.08763950759544</v>
      </c>
      <c r="T111" s="62">
        <f t="shared" si="88"/>
        <v>297.32483725004136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-2.2737367544323206E-13</v>
      </c>
      <c r="AJ111" s="14">
        <f>AI111*VLOOKUP('Données projet'!$B$10,Paramètres!$A$1:$I$89,3,0)*VLOOKUP('Données projet'!$B$10,Paramètres!$A$1:$I$89,5,0)</f>
        <v>-1.8089849618263545E-13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394.70330963327166</v>
      </c>
      <c r="AO111" s="62">
        <f t="shared" si="90"/>
        <v>424.06445894109982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-2.2737367544323206E-13</v>
      </c>
      <c r="BE111" s="14">
        <f>BD111*VLOOKUP('Données projet'!$B$11,Paramètres!$A$1:$I$89,3,0)*VLOOKUP('Données projet'!$B$11,Paramètres!$A$1:$I$89,5,0)</f>
        <v>-1.6671037883497774E-13</v>
      </c>
      <c r="BF111" s="14" t="e">
        <f t="shared" si="91"/>
        <v>#NUM!</v>
      </c>
      <c r="BG111" s="22" t="e">
        <f t="shared" si="61"/>
        <v>#NUM!</v>
      </c>
      <c r="BH111" s="62" t="e">
        <f t="shared" si="62"/>
        <v>#NUM!</v>
      </c>
      <c r="BI111" s="62">
        <f ca="1">AVERAGE(OFFSET($BH$3,0,0,'Données projet'!$E$11+1,1))-AVERAGE(OFFSET($H$3,0,0,'Données projet'!$E$11+1,1))</f>
        <v>368.54671978064204</v>
      </c>
      <c r="BJ111" s="62">
        <f t="shared" si="92"/>
        <v>395.83504504492237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5.6843418860808015E-14</v>
      </c>
      <c r="BZ111" s="14">
        <f>BY111*VLOOKUP('Données projet'!$B$12,Paramètres!$A$1:$I$89,3,0)*VLOOKUP('Données projet'!$B$12,Paramètres!$A$1:$I$89,5,0)</f>
        <v>4.4337866711430253E-14</v>
      </c>
      <c r="CA111" s="14">
        <f t="shared" si="93"/>
        <v>7.3222115536967035E-13</v>
      </c>
      <c r="CB111" s="22">
        <f t="shared" si="64"/>
        <v>1.3525069634579169E-12</v>
      </c>
      <c r="CC111" s="62">
        <f t="shared" si="65"/>
        <v>279.48508419000069</v>
      </c>
      <c r="CD111" s="62">
        <f ca="1">AVERAGE(OFFSET($CC$3,0,0,'Données projet'!$E$12+1,1))-AVERAGE(OFFSET($H$3,0,0,'Données projet'!$E$12+1,1))</f>
        <v>309.21625451786218</v>
      </c>
      <c r="CE111" s="62">
        <f t="shared" si="94"/>
        <v>302.59481222418219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3.7179487179487181</v>
      </c>
      <c r="CT111" s="13">
        <f>IF('Données projet'!$A$140&gt;35,CT110+CS111-DB110,IF(A111&lt;'Données projet'!$A$140,$CQ$205^A111,IF(A111='Données projet'!$A$140,'Données projet'!$B$140,CT110+CS111-DB110)))</f>
        <v>305.38461538461536</v>
      </c>
      <c r="CU111" s="18">
        <f>CT111*VLOOKUP('Données projet'!$B$13,Paramètres!$A$1:$I$89,3,0)*VLOOKUP('Données projet'!$B$13,Paramètres!$A$1:$I$89,5,0)</f>
        <v>290.60399999999998</v>
      </c>
      <c r="CV111" s="14">
        <f t="shared" si="95"/>
        <v>69.203067885250235</v>
      </c>
      <c r="CW111" s="22">
        <f t="shared" si="67"/>
        <v>626.66397656681079</v>
      </c>
      <c r="CX111" s="62">
        <f t="shared" si="68"/>
        <v>906.14906075681006</v>
      </c>
      <c r="CY111" s="62">
        <f ca="1">AVERAGE(OFFSET($CX$3,0,0,'Données projet'!$E$13+1,1))-AVERAGE(OFFSET($H$3,0,0,'Données projet'!$E$13+1,1))</f>
        <v>491.87038198656927</v>
      </c>
      <c r="CZ111" s="62">
        <f t="shared" si="96"/>
        <v>406.49261644949559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0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5.2</v>
      </c>
      <c r="DO111" s="13">
        <f>IF('Données projet'!$A$166&gt;35,DO110+DN111-DW110,IF(A111&lt;'Données projet'!$A$166,$DL$205^A111,IF(A111='Données projet'!$A$166,'Données projet'!$B$166,DO110+DN111-DW110)))</f>
        <v>402.59999999999991</v>
      </c>
      <c r="DP111" s="18">
        <f>DO111*VLOOKUP('Données projet'!$B$14,Paramètres!$A$1:$I$89,3,0)*VLOOKUP('Données projet'!$B$14,Paramètres!$A$1:$I$89,5,0)</f>
        <v>389.39471999999989</v>
      </c>
      <c r="DQ111" s="14">
        <f t="shared" si="97"/>
        <v>89.623256568911799</v>
      </c>
      <c r="DR111" s="22">
        <f t="shared" si="70"/>
        <v>834.28964252418791</v>
      </c>
      <c r="DS111" s="62">
        <f t="shared" si="71"/>
        <v>1113.7747267141872</v>
      </c>
      <c r="DT111" s="62">
        <f ca="1">AVERAGE(OFFSET($DS$3,0,0,'Données projet'!$E$14+1,1))-AVERAGE(OFFSET($H$3,0,0,'Données projet'!$E$14+1,1))</f>
        <v>603.52431522262032</v>
      </c>
      <c r="DU111" s="62">
        <f t="shared" si="98"/>
        <v>313.56299786481338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projet'!$B$14,Paramètres!$A$1:$I$89,3,0)*0.475*44/12</f>
        <v>0</v>
      </c>
      <c r="EB111" s="23">
        <f>EXP(-LN(2)/25)*EB110+(1-EXP(-LN(2)/25))/(LN(2)/25)*Calculateur!DW111*Calculateur!DY111*VLOOKUP('Données projet'!$B$14,Paramètres!$A$1:$I$89,3,0)*0.475*44/12</f>
        <v>0</v>
      </c>
      <c r="EC111" s="23">
        <f>EXP(-LN(2)/2)*EC110+(1-EXP(-LN(2)/2))/(LN(2)/2)*DW111*DZ111*VLOOKUP('Données projet'!$B$14,Paramètres!$A$1:$I$89,3,0)*0.475*44/12</f>
        <v>0</v>
      </c>
      <c r="ED111" s="24">
        <f t="shared" si="72"/>
        <v>0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-1.1368683772161603E-13</v>
      </c>
      <c r="EK111" s="18">
        <f>EJ111*VLOOKUP('Données projet'!$B$15,Paramètres!$A$1:$I$89,3,0)*VLOOKUP('Données projet'!$B$15,Paramètres!$A$1:$I$89,5,0)</f>
        <v>-9.2222762759774927E-14</v>
      </c>
      <c r="EL111" s="14" t="e">
        <f t="shared" si="99"/>
        <v>#NUM!</v>
      </c>
      <c r="EM111" s="22" t="e">
        <f t="shared" si="73"/>
        <v>#NUM!</v>
      </c>
      <c r="EN111" s="62" t="e">
        <f t="shared" si="74"/>
        <v>#NUM!</v>
      </c>
      <c r="EO111" s="62">
        <f ca="1">AVERAGE(OFFSET($EN$3,0,0,'Données projet'!$E$15+1,1))-AVERAGE(OFFSET($H$3,0,0,'Données projet'!$E$15+1,1))</f>
        <v>272.69564942740931</v>
      </c>
      <c r="EP111" s="62">
        <f t="shared" si="100"/>
        <v>316.57989180609252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>
        <f>EXP(-LN(2)/35)*EV110+(1-EXP(-LN(2)/35))/(LN(2)/35)*ER111*ES111*VLOOKUP('Données projet'!$B$15,Paramètres!$A$1:$I$89,3,0)*0.475*44/12</f>
        <v>0</v>
      </c>
      <c r="EW111" s="23">
        <f>EXP(-LN(2)/25)*EW110+(1-EXP(-LN(2)/25))/(LN(2)/25)*Calculateur!ER111*Calculateur!ET111*VLOOKUP('Données projet'!$B$15,Paramètres!$A$1:$I$89,3,0)*0.475*44/12</f>
        <v>0</v>
      </c>
      <c r="EX111" s="23">
        <f>EXP(-LN(2)/2)*EX110+(1-EXP(-LN(2)/2))/(LN(2)/2)*ER111*EU111*VLOOKUP('Données projet'!$B$15,Paramètres!$A$1:$I$89,3,0)*0.475*44/12</f>
        <v>0</v>
      </c>
      <c r="EY111" s="24">
        <f t="shared" si="75"/>
        <v>0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4.2948717948717903</v>
      </c>
      <c r="FE111" s="13">
        <f>IF('Données projet'!$A$218&gt;35,FE110+FD111-FM110,IF(A111&lt;'Données projet'!$A$218,$FB$205^A111,IF(A111='Données projet'!$A$218,'Données projet'!$B$218,FE110+FD111-FM110)))</f>
        <v>401.66666666666634</v>
      </c>
      <c r="FF111" s="18">
        <f>FE111*VLOOKUP('Données projet'!$B$16,Paramètres!$A$1:$I$89,3,0)*VLOOKUP('Données projet'!$B$16,Paramètres!$A$1:$I$89,5,0)</f>
        <v>269.43799999999982</v>
      </c>
      <c r="FG111" s="14">
        <f t="shared" si="101"/>
        <v>64.729984244002736</v>
      </c>
      <c r="FH111" s="22">
        <f t="shared" si="76"/>
        <v>582.00923922497111</v>
      </c>
      <c r="FI111" s="62">
        <f t="shared" si="77"/>
        <v>861.49432341497049</v>
      </c>
      <c r="FJ111" s="62">
        <f ca="1">AVERAGE(OFFSET($FI$3,0,0,'Données projet'!$E$16+1,1))-AVERAGE(OFFSET($H$3,0,0,'Données projet'!$E$16+1,1))</f>
        <v>440.90856392064205</v>
      </c>
      <c r="FK111" s="62">
        <f t="shared" si="102"/>
        <v>373.33139300970629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>
        <f>EXP(-LN(2)/35)*FQ110+(1-EXP(-LN(2)/35))/(LN(2)/35)*FM111*FN111*VLOOKUP('Données projet'!$B$16,Paramètres!$A$1:$I$89,3,0)*0.475*44/12</f>
        <v>0</v>
      </c>
      <c r="FR111" s="23">
        <f>EXP(-LN(2)/25)*FR110+(1-EXP(-LN(2)/25))/(LN(2)/25)*Calculateur!FM111*Calculateur!FO111*VLOOKUP('Données projet'!$B$16,Paramètres!$A$1:$I$89,3,0)*0.475*44/12</f>
        <v>0</v>
      </c>
      <c r="FS111" s="23">
        <f>EXP(-LN(2)/2)*FS110+(1-EXP(-LN(2)/2))/(LN(2)/2)*FM111*FP111*VLOOKUP('Données projet'!$B$16,Paramètres!$A$1:$I$89,3,0)*0.475*44/12</f>
        <v>0</v>
      </c>
      <c r="FT111" s="24">
        <f t="shared" si="78"/>
        <v>0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70">
        <f t="shared" si="56"/>
        <v>183.33333333333334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5.2</v>
      </c>
      <c r="N112" s="14">
        <f>IF('Données projet'!$A$36&gt;35,N111+M112-V111,IF(A112&lt;'Données projet'!$A$36,$K$205^A112,IF(A112='Données projet'!$A$36,'Données projet'!$B$36,N111+M112-V111)))</f>
        <v>407.7999999999999</v>
      </c>
      <c r="O112" s="14">
        <f>N112*VLOOKUP('Données projet'!$B$9,Paramètres!$A$1:$I$89,3,0)*VLOOKUP('Données projet'!$B$9,Paramètres!$A$1:$I$89,5,0)</f>
        <v>368.97743999999989</v>
      </c>
      <c r="P112" s="14">
        <f t="shared" si="87"/>
        <v>85.458073845884769</v>
      </c>
      <c r="Q112" s="22">
        <f t="shared" si="107"/>
        <v>791.47518661491574</v>
      </c>
      <c r="R112" s="62">
        <f t="shared" si="55"/>
        <v>1071.2005069675051</v>
      </c>
      <c r="S112" s="62">
        <f ca="1">AVERAGE(OFFSET($R$3,0,0,'Données projet'!$E$9+1,1))-AVERAGE(OFFSET($H$3,0,0,'Données projet'!$E$9+1,1))</f>
        <v>570.08763950759544</v>
      </c>
      <c r="T112" s="62">
        <f t="shared" si="88"/>
        <v>297.32483725004136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-2.2737367544323206E-13</v>
      </c>
      <c r="AJ112" s="14">
        <f>AI112*VLOOKUP('Données projet'!$B$10,Paramètres!$A$1:$I$89,3,0)*VLOOKUP('Données projet'!$B$10,Paramètres!$A$1:$I$89,5,0)</f>
        <v>-1.8089849618263545E-13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394.70330963327166</v>
      </c>
      <c r="AO112" s="62">
        <f t="shared" si="90"/>
        <v>424.06445894109982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-2.2737367544323206E-13</v>
      </c>
      <c r="BE112" s="14">
        <f>BD112*VLOOKUP('Données projet'!$B$11,Paramètres!$A$1:$I$89,3,0)*VLOOKUP('Données projet'!$B$11,Paramètres!$A$1:$I$89,5,0)</f>
        <v>-1.6671037883497774E-13</v>
      </c>
      <c r="BF112" s="14" t="e">
        <f t="shared" si="91"/>
        <v>#NUM!</v>
      </c>
      <c r="BG112" s="22" t="e">
        <f t="shared" si="61"/>
        <v>#NUM!</v>
      </c>
      <c r="BH112" s="62" t="e">
        <f t="shared" si="62"/>
        <v>#NUM!</v>
      </c>
      <c r="BI112" s="62">
        <f ca="1">AVERAGE(OFFSET($BH$3,0,0,'Données projet'!$E$11+1,1))-AVERAGE(OFFSET($H$3,0,0,'Données projet'!$E$11+1,1))</f>
        <v>368.54671978064204</v>
      </c>
      <c r="BJ112" s="62">
        <f t="shared" si="92"/>
        <v>395.83504504492237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5.6843418860808015E-14</v>
      </c>
      <c r="BZ112" s="14">
        <f>BY112*VLOOKUP('Données projet'!$B$12,Paramètres!$A$1:$I$89,3,0)*VLOOKUP('Données projet'!$B$12,Paramètres!$A$1:$I$89,5,0)</f>
        <v>4.4337866711430253E-14</v>
      </c>
      <c r="CA112" s="14">
        <f t="shared" si="93"/>
        <v>7.3222115536967035E-13</v>
      </c>
      <c r="CB112" s="22">
        <f t="shared" si="64"/>
        <v>1.3525069634579169E-12</v>
      </c>
      <c r="CC112" s="62">
        <f t="shared" si="65"/>
        <v>279.72532035259064</v>
      </c>
      <c r="CD112" s="62">
        <f ca="1">AVERAGE(OFFSET($CC$3,0,0,'Données projet'!$E$12+1,1))-AVERAGE(OFFSET($H$3,0,0,'Données projet'!$E$12+1,1))</f>
        <v>309.21625451786218</v>
      </c>
      <c r="CE112" s="62">
        <f t="shared" si="94"/>
        <v>302.59481222418219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3.7179487179487181</v>
      </c>
      <c r="CT112" s="13">
        <f>IF('Données projet'!$A$140&gt;35,CT111+CS112-DB111,IF(A112&lt;'Données projet'!$A$140,$CQ$205^A112,IF(A112='Données projet'!$A$140,'Données projet'!$B$140,CT111+CS112-DB111)))</f>
        <v>309.10256410256409</v>
      </c>
      <c r="CU112" s="18">
        <f>CT112*VLOOKUP('Données projet'!$B$13,Paramètres!$A$1:$I$89,3,0)*VLOOKUP('Données projet'!$B$13,Paramètres!$A$1:$I$89,5,0)</f>
        <v>294.142</v>
      </c>
      <c r="CV112" s="14">
        <f t="shared" si="95"/>
        <v>69.9469957866567</v>
      </c>
      <c r="CW112" s="22">
        <f t="shared" si="67"/>
        <v>634.1216676617604</v>
      </c>
      <c r="CX112" s="62">
        <f t="shared" si="68"/>
        <v>913.84698801434968</v>
      </c>
      <c r="CY112" s="62">
        <f ca="1">AVERAGE(OFFSET($CX$3,0,0,'Données projet'!$E$13+1,1))-AVERAGE(OFFSET($H$3,0,0,'Données projet'!$E$13+1,1))</f>
        <v>491.87038198656927</v>
      </c>
      <c r="CZ112" s="62">
        <f t="shared" si="96"/>
        <v>406.49261644949559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0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5.2</v>
      </c>
      <c r="DO112" s="13">
        <f>IF('Données projet'!$A$166&gt;35,DO111+DN112-DW111,IF(A112&lt;'Données projet'!$A$166,$DL$205^A112,IF(A112='Données projet'!$A$166,'Données projet'!$B$166,DO111+DN112-DW111)))</f>
        <v>407.7999999999999</v>
      </c>
      <c r="DP112" s="18">
        <f>DO112*VLOOKUP('Données projet'!$B$14,Paramètres!$A$1:$I$89,3,0)*VLOOKUP('Données projet'!$B$14,Paramètres!$A$1:$I$89,5,0)</f>
        <v>394.42415999999992</v>
      </c>
      <c r="DQ112" s="14">
        <f t="shared" si="97"/>
        <v>90.645327349106196</v>
      </c>
      <c r="DR112" s="22">
        <f t="shared" si="70"/>
        <v>844.82935713302641</v>
      </c>
      <c r="DS112" s="62">
        <f t="shared" si="71"/>
        <v>1124.5546774856157</v>
      </c>
      <c r="DT112" s="62">
        <f ca="1">AVERAGE(OFFSET($DS$3,0,0,'Données projet'!$E$14+1,1))-AVERAGE(OFFSET($H$3,0,0,'Données projet'!$E$14+1,1))</f>
        <v>603.52431522262032</v>
      </c>
      <c r="DU112" s="62">
        <f t="shared" si="98"/>
        <v>313.56299786481338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projet'!$B$14,Paramètres!$A$1:$I$89,3,0)*0.475*44/12</f>
        <v>0</v>
      </c>
      <c r="EB112" s="23">
        <f>EXP(-LN(2)/25)*EB111+(1-EXP(-LN(2)/25))/(LN(2)/25)*Calculateur!DW112*Calculateur!DY112*VLOOKUP('Données projet'!$B$14,Paramètres!$A$1:$I$89,3,0)*0.475*44/12</f>
        <v>0</v>
      </c>
      <c r="EC112" s="23">
        <f>EXP(-LN(2)/2)*EC111+(1-EXP(-LN(2)/2))/(LN(2)/2)*DW112*DZ112*VLOOKUP('Données projet'!$B$14,Paramètres!$A$1:$I$89,3,0)*0.475*44/12</f>
        <v>0</v>
      </c>
      <c r="ED112" s="24">
        <f t="shared" si="72"/>
        <v>0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-1.1368683772161603E-13</v>
      </c>
      <c r="EK112" s="18">
        <f>EJ112*VLOOKUP('Données projet'!$B$15,Paramètres!$A$1:$I$89,3,0)*VLOOKUP('Données projet'!$B$15,Paramètres!$A$1:$I$89,5,0)</f>
        <v>-9.2222762759774927E-14</v>
      </c>
      <c r="EL112" s="14" t="e">
        <f t="shared" si="99"/>
        <v>#NUM!</v>
      </c>
      <c r="EM112" s="22" t="e">
        <f t="shared" si="73"/>
        <v>#NUM!</v>
      </c>
      <c r="EN112" s="62" t="e">
        <f t="shared" si="74"/>
        <v>#NUM!</v>
      </c>
      <c r="EO112" s="62">
        <f ca="1">AVERAGE(OFFSET($EN$3,0,0,'Données projet'!$E$15+1,1))-AVERAGE(OFFSET($H$3,0,0,'Données projet'!$E$15+1,1))</f>
        <v>272.69564942740931</v>
      </c>
      <c r="EP112" s="62">
        <f t="shared" si="100"/>
        <v>316.57989180609252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>
        <f>EXP(-LN(2)/35)*EV111+(1-EXP(-LN(2)/35))/(LN(2)/35)*ER112*ES112*VLOOKUP('Données projet'!$B$15,Paramètres!$A$1:$I$89,3,0)*0.475*44/12</f>
        <v>0</v>
      </c>
      <c r="EW112" s="23">
        <f>EXP(-LN(2)/25)*EW111+(1-EXP(-LN(2)/25))/(LN(2)/25)*Calculateur!ER112*Calculateur!ET112*VLOOKUP('Données projet'!$B$15,Paramètres!$A$1:$I$89,3,0)*0.475*44/12</f>
        <v>0</v>
      </c>
      <c r="EX112" s="23">
        <f>EXP(-LN(2)/2)*EX111+(1-EXP(-LN(2)/2))/(LN(2)/2)*ER112*EU112*VLOOKUP('Données projet'!$B$15,Paramètres!$A$1:$I$89,3,0)*0.475*44/12</f>
        <v>0</v>
      </c>
      <c r="EY112" s="24">
        <f t="shared" si="75"/>
        <v>0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4.2948717948717903</v>
      </c>
      <c r="FE112" s="13">
        <f>IF('Données projet'!$A$218&gt;35,FE111+FD112-FM111,IF(A112&lt;'Données projet'!$A$218,$FB$205^A112,IF(A112='Données projet'!$A$218,'Données projet'!$B$218,FE111+FD112-FM111)))</f>
        <v>405.96153846153811</v>
      </c>
      <c r="FF112" s="18">
        <f>FE112*VLOOKUP('Données projet'!$B$16,Paramètres!$A$1:$I$89,3,0)*VLOOKUP('Données projet'!$B$16,Paramètres!$A$1:$I$89,5,0)</f>
        <v>272.31899999999979</v>
      </c>
      <c r="FG112" s="14">
        <f t="shared" si="101"/>
        <v>65.341174385401359</v>
      </c>
      <c r="FH112" s="22">
        <f t="shared" si="76"/>
        <v>588.09147038790695</v>
      </c>
      <c r="FI112" s="62">
        <f t="shared" si="77"/>
        <v>867.81679074049623</v>
      </c>
      <c r="FJ112" s="62">
        <f ca="1">AVERAGE(OFFSET($FI$3,0,0,'Données projet'!$E$16+1,1))-AVERAGE(OFFSET($H$3,0,0,'Données projet'!$E$16+1,1))</f>
        <v>440.90856392064205</v>
      </c>
      <c r="FK112" s="62">
        <f t="shared" si="102"/>
        <v>373.33139300970629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>
        <f>EXP(-LN(2)/35)*FQ111+(1-EXP(-LN(2)/35))/(LN(2)/35)*FM112*FN112*VLOOKUP('Données projet'!$B$16,Paramètres!$A$1:$I$89,3,0)*0.475*44/12</f>
        <v>0</v>
      </c>
      <c r="FR112" s="23">
        <f>EXP(-LN(2)/25)*FR111+(1-EXP(-LN(2)/25))/(LN(2)/25)*Calculateur!FM112*Calculateur!FO112*VLOOKUP('Données projet'!$B$16,Paramètres!$A$1:$I$89,3,0)*0.475*44/12</f>
        <v>0</v>
      </c>
      <c r="FS112" s="23">
        <f>EXP(-LN(2)/2)*FS111+(1-EXP(-LN(2)/2))/(LN(2)/2)*FM112*FP112*VLOOKUP('Données projet'!$B$16,Paramètres!$A$1:$I$89,3,0)*0.475*44/12</f>
        <v>0</v>
      </c>
      <c r="FT112" s="24">
        <f t="shared" si="78"/>
        <v>0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70">
        <f t="shared" si="56"/>
        <v>183.33333333333334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>
        <f>VLOOKUP(A113,'Données projet'!$A$35:$I$55,2,0)</f>
        <v>413</v>
      </c>
      <c r="L113" s="13">
        <f>VLOOKUP(A113,'Données projet'!$A$35:$I$55,9,0)</f>
        <v>5.2</v>
      </c>
      <c r="M113" s="13">
        <f t="array" ref="M113">INDEX(L:L,MIN(IF(ISNUMBER(L113:L309),ROW(L113:L309),"")))</f>
        <v>5.2</v>
      </c>
      <c r="N113" s="14">
        <f>IF('Données projet'!$A$36&gt;35,N112+M113-V112,IF(A113&lt;'Données projet'!$A$36,$K$205^A113,IF(A113='Données projet'!$A$36,'Données projet'!$B$36,N112+M113-V112)))</f>
        <v>412.99999999999989</v>
      </c>
      <c r="O113" s="14">
        <f>N113*VLOOKUP('Données projet'!$B$9,Paramètres!$A$1:$I$89,3,0)*VLOOKUP('Données projet'!$B$9,Paramètres!$A$1:$I$89,5,0)</f>
        <v>373.68239999999986</v>
      </c>
      <c r="P113" s="14">
        <f t="shared" si="87"/>
        <v>86.420226600704183</v>
      </c>
      <c r="Q113" s="22">
        <f t="shared" si="107"/>
        <v>801.34540799622619</v>
      </c>
      <c r="R113" s="62">
        <f t="shared" si="55"/>
        <v>1081.3067969510721</v>
      </c>
      <c r="S113" s="62">
        <f ca="1">AVERAGE(OFFSET($R$3,0,0,'Données projet'!$E$9+1,1))-AVERAGE(OFFSET($H$3,0,0,'Données projet'!$E$9+1,1))</f>
        <v>570.08763950759544</v>
      </c>
      <c r="T113" s="62">
        <f t="shared" si="88"/>
        <v>297.32483725004136</v>
      </c>
      <c r="U113" s="16">
        <f>IF(ISNA(VLOOKUP(A113,'Données projet'!$A$35:$I$55,3,0)),0,VLOOKUP(A113,'Données projet'!$A$35:$I$55,3,0))</f>
        <v>8</v>
      </c>
      <c r="V113" s="16">
        <f>IF(ISNA(VLOOKUP(A113,'Données projet'!$A$35:$I$55,4,0)),0,VLOOKUP(A113,'Données projet'!$A$35:$I$55,4,0))</f>
        <v>106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-2.2737367544323206E-13</v>
      </c>
      <c r="AJ113" s="14">
        <f>AI113*VLOOKUP('Données projet'!$B$10,Paramètres!$A$1:$I$89,3,0)*VLOOKUP('Données projet'!$B$10,Paramètres!$A$1:$I$89,5,0)</f>
        <v>-1.8089849618263545E-13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394.70330963327166</v>
      </c>
      <c r="AO113" s="62">
        <f t="shared" si="90"/>
        <v>424.06445894109982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-2.2737367544323206E-13</v>
      </c>
      <c r="BE113" s="14">
        <f>BD113*VLOOKUP('Données projet'!$B$11,Paramètres!$A$1:$I$89,3,0)*VLOOKUP('Données projet'!$B$11,Paramètres!$A$1:$I$89,5,0)</f>
        <v>-1.6671037883497774E-13</v>
      </c>
      <c r="BF113" s="14" t="e">
        <f t="shared" si="91"/>
        <v>#NUM!</v>
      </c>
      <c r="BG113" s="22" t="e">
        <f t="shared" si="61"/>
        <v>#NUM!</v>
      </c>
      <c r="BH113" s="62" t="e">
        <f t="shared" si="62"/>
        <v>#NUM!</v>
      </c>
      <c r="BI113" s="62">
        <f ca="1">AVERAGE(OFFSET($BH$3,0,0,'Données projet'!$E$11+1,1))-AVERAGE(OFFSET($H$3,0,0,'Données projet'!$E$11+1,1))</f>
        <v>368.54671978064204</v>
      </c>
      <c r="BJ113" s="62">
        <f t="shared" si="92"/>
        <v>395.83504504492237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5.6843418860808015E-14</v>
      </c>
      <c r="BZ113" s="14">
        <f>BY113*VLOOKUP('Données projet'!$B$12,Paramètres!$A$1:$I$89,3,0)*VLOOKUP('Données projet'!$B$12,Paramètres!$A$1:$I$89,5,0)</f>
        <v>4.4337866711430253E-14</v>
      </c>
      <c r="CA113" s="14">
        <f t="shared" si="93"/>
        <v>7.3222115536967035E-13</v>
      </c>
      <c r="CB113" s="22">
        <f t="shared" si="64"/>
        <v>1.3525069634579169E-12</v>
      </c>
      <c r="CC113" s="62">
        <f t="shared" si="65"/>
        <v>279.96138895484722</v>
      </c>
      <c r="CD113" s="62">
        <f ca="1">AVERAGE(OFFSET($CC$3,0,0,'Données projet'!$E$12+1,1))-AVERAGE(OFFSET($H$3,0,0,'Données projet'!$E$12+1,1))</f>
        <v>309.21625451786218</v>
      </c>
      <c r="CE113" s="62">
        <f t="shared" si="94"/>
        <v>302.59481222418219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>
        <f>VLOOKUP(A113,'Données projet'!$A$139:$I$159,2,0)</f>
        <v>312.82051282051282</v>
      </c>
      <c r="CR113" s="13">
        <f>VLOOKUP(A113,'Données projet'!$A$139:$I$159,9,0)</f>
        <v>3.7179487179487181</v>
      </c>
      <c r="CS113" s="13">
        <f t="array" ref="CS113">INDEX(CR:CR,MIN(IF(ISNUMBER(CR113:CR309),ROW(CR113:CR309),"")))</f>
        <v>3.7179487179487181</v>
      </c>
      <c r="CT113" s="13">
        <f>IF('Données projet'!$A$140&gt;35,CT112+CS113-DB112,IF(A113&lt;'Données projet'!$A$140,$CQ$205^A113,IF(A113='Données projet'!$A$140,'Données projet'!$B$140,CT112+CS113-DB112)))</f>
        <v>312.82051282051282</v>
      </c>
      <c r="CU113" s="18">
        <f>CT113*VLOOKUP('Données projet'!$B$13,Paramètres!$A$1:$I$89,3,0)*VLOOKUP('Données projet'!$B$13,Paramètres!$A$1:$I$89,5,0)</f>
        <v>297.68</v>
      </c>
      <c r="CV113" s="14">
        <f t="shared" si="95"/>
        <v>70.689882829544487</v>
      </c>
      <c r="CW113" s="22">
        <f t="shared" si="67"/>
        <v>641.5775459281233</v>
      </c>
      <c r="CX113" s="62">
        <f t="shared" si="68"/>
        <v>921.53893488296922</v>
      </c>
      <c r="CY113" s="62">
        <f ca="1">AVERAGE(OFFSET($CX$3,0,0,'Données projet'!$E$13+1,1))-AVERAGE(OFFSET($H$3,0,0,'Données projet'!$E$13+1,1))</f>
        <v>491.87038198656927</v>
      </c>
      <c r="CZ113" s="62">
        <f t="shared" si="96"/>
        <v>406.49261644949559</v>
      </c>
      <c r="DA113" s="16">
        <f>IF(ISNA(VLOOKUP(A113,'Données projet'!$A$139:$I$159,3,0)),0,VLOOKUP(A113,'Données projet'!$A$139:$I$159,3,0))</f>
        <v>10</v>
      </c>
      <c r="DB113" s="16">
        <f>IF(ISNA(VLOOKUP(A113,'Données projet'!$A$139:$I$159,4,0)),0,VLOOKUP(A113,'Données projet'!$A$139:$I$159,4,0))</f>
        <v>28.205128205128204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0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>
        <f>VLOOKUP(A113,'Données projet'!$A$165:$I$185,2,0)</f>
        <v>413</v>
      </c>
      <c r="DM113" s="13">
        <f>VLOOKUP(A113,'Données projet'!$A$165:$I$185,9,0)</f>
        <v>5.2</v>
      </c>
      <c r="DN113" s="13">
        <f t="array" ref="DN113">INDEX(DM:DM,MIN(IF(ISNUMBER(DM113:DM309),ROW(DM113:DM309),"")))</f>
        <v>5.2</v>
      </c>
      <c r="DO113" s="13">
        <f>IF('Données projet'!$A$166&gt;35,DO112+DN113-DW112,IF(A113&lt;'Données projet'!$A$166,$DL$205^A113,IF(A113='Données projet'!$A$166,'Données projet'!$B$166,DO112+DN113-DW112)))</f>
        <v>412.99999999999989</v>
      </c>
      <c r="DP113" s="18">
        <f>DO113*VLOOKUP('Données projet'!$B$14,Paramètres!$A$1:$I$89,3,0)*VLOOKUP('Données projet'!$B$14,Paramètres!$A$1:$I$89,5,0)</f>
        <v>399.45359999999994</v>
      </c>
      <c r="DQ113" s="14">
        <f t="shared" si="97"/>
        <v>91.665882195424544</v>
      </c>
      <c r="DR113" s="22">
        <f t="shared" si="70"/>
        <v>855.36643149036433</v>
      </c>
      <c r="DS113" s="62">
        <f t="shared" si="71"/>
        <v>1135.3278204452101</v>
      </c>
      <c r="DT113" s="62">
        <f ca="1">AVERAGE(OFFSET($DS$3,0,0,'Données projet'!$E$14+1,1))-AVERAGE(OFFSET($H$3,0,0,'Données projet'!$E$14+1,1))</f>
        <v>603.52431522262032</v>
      </c>
      <c r="DU113" s="62">
        <f t="shared" si="98"/>
        <v>313.56299786481338</v>
      </c>
      <c r="DV113" s="16">
        <f>IF(ISNA(VLOOKUP(A113,'Données projet'!$A$165:$I$185,3,0)),0,VLOOKUP(A113,'Données projet'!$A$165:$I$185,3,0))</f>
        <v>8</v>
      </c>
      <c r="DW113" s="16">
        <f>IF(ISNA(VLOOKUP(A113,'Données projet'!$A$165:$I$185,4,0)),0,VLOOKUP(A113,'Données projet'!$A$165:$I$185,4,0))</f>
        <v>106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projet'!$B$14,Paramètres!$A$1:$I$89,3,0)*0.475*44/12</f>
        <v>0</v>
      </c>
      <c r="EB113" s="23">
        <f>EXP(-LN(2)/25)*EB112+(1-EXP(-LN(2)/25))/(LN(2)/25)*Calculateur!DW113*Calculateur!DY113*VLOOKUP('Données projet'!$B$14,Paramètres!$A$1:$I$89,3,0)*0.475*44/12</f>
        <v>0</v>
      </c>
      <c r="EC113" s="23">
        <f>EXP(-LN(2)/2)*EC112+(1-EXP(-LN(2)/2))/(LN(2)/2)*DW113*DZ113*VLOOKUP('Données projet'!$B$14,Paramètres!$A$1:$I$89,3,0)*0.475*44/12</f>
        <v>0</v>
      </c>
      <c r="ED113" s="24">
        <f t="shared" si="72"/>
        <v>0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-1.1368683772161603E-13</v>
      </c>
      <c r="EK113" s="18">
        <f>EJ113*VLOOKUP('Données projet'!$B$15,Paramètres!$A$1:$I$89,3,0)*VLOOKUP('Données projet'!$B$15,Paramètres!$A$1:$I$89,5,0)</f>
        <v>-9.2222762759774927E-14</v>
      </c>
      <c r="EL113" s="14" t="e">
        <f t="shared" si="99"/>
        <v>#NUM!</v>
      </c>
      <c r="EM113" s="22" t="e">
        <f t="shared" si="73"/>
        <v>#NUM!</v>
      </c>
      <c r="EN113" s="62" t="e">
        <f t="shared" si="74"/>
        <v>#NUM!</v>
      </c>
      <c r="EO113" s="62">
        <f ca="1">AVERAGE(OFFSET($EN$3,0,0,'Données projet'!$E$15+1,1))-AVERAGE(OFFSET($H$3,0,0,'Données projet'!$E$15+1,1))</f>
        <v>272.69564942740931</v>
      </c>
      <c r="EP113" s="62">
        <f t="shared" si="100"/>
        <v>316.57989180609252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>
        <f>EXP(-LN(2)/35)*EV112+(1-EXP(-LN(2)/35))/(LN(2)/35)*ER113*ES113*VLOOKUP('Données projet'!$B$15,Paramètres!$A$1:$I$89,3,0)*0.475*44/12</f>
        <v>0</v>
      </c>
      <c r="EW113" s="23">
        <f>EXP(-LN(2)/25)*EW112+(1-EXP(-LN(2)/25))/(LN(2)/25)*Calculateur!ER113*Calculateur!ET113*VLOOKUP('Données projet'!$B$15,Paramètres!$A$1:$I$89,3,0)*0.475*44/12</f>
        <v>0</v>
      </c>
      <c r="EX113" s="23">
        <f>EXP(-LN(2)/2)*EX112+(1-EXP(-LN(2)/2))/(LN(2)/2)*ER113*EU113*VLOOKUP('Données projet'!$B$15,Paramètres!$A$1:$I$89,3,0)*0.475*44/12</f>
        <v>0</v>
      </c>
      <c r="EY113" s="24">
        <f t="shared" si="75"/>
        <v>0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>
        <f>VLOOKUP(A113,'Données projet'!$A$217:$I$237,2,0)</f>
        <v>410.25641025641022</v>
      </c>
      <c r="FC113" s="13">
        <f>VLOOKUP(A113,'Données projet'!$A$217:$I$237,9,0)</f>
        <v>4.2948717948717903</v>
      </c>
      <c r="FD113" s="13">
        <f t="array" ref="FD113">INDEX(FC:FC,MIN(IF(ISNUMBER(FC113:FC309),ROW(FC113:FC309),"")))</f>
        <v>4.2948717948717903</v>
      </c>
      <c r="FE113" s="13">
        <f>IF('Données projet'!$A$218&gt;35,FE112+FD113-FM112,IF(A113&lt;'Données projet'!$A$218,$FB$205^A113,IF(A113='Données projet'!$A$218,'Données projet'!$B$218,FE112+FD113-FM112)))</f>
        <v>410.25641025640988</v>
      </c>
      <c r="FF113" s="18">
        <f>FE113*VLOOKUP('Données projet'!$B$16,Paramètres!$A$1:$I$89,3,0)*VLOOKUP('Données projet'!$B$16,Paramètres!$A$1:$I$89,5,0)</f>
        <v>275.19999999999976</v>
      </c>
      <c r="FG113" s="14">
        <f t="shared" si="101"/>
        <v>65.951612322478823</v>
      </c>
      <c r="FH113" s="22">
        <f t="shared" si="76"/>
        <v>594.17239146165014</v>
      </c>
      <c r="FI113" s="62">
        <f t="shared" si="77"/>
        <v>874.13378041649594</v>
      </c>
      <c r="FJ113" s="62">
        <f ca="1">AVERAGE(OFFSET($FI$3,0,0,'Données projet'!$E$16+1,1))-AVERAGE(OFFSET($H$3,0,0,'Données projet'!$E$16+1,1))</f>
        <v>440.90856392064205</v>
      </c>
      <c r="FK113" s="62">
        <f t="shared" si="102"/>
        <v>373.33139300970629</v>
      </c>
      <c r="FL113" s="16">
        <f>IF(ISNA(VLOOKUP(A113,'Données projet'!$A$217:$I$237,3,0)),0,VLOOKUP(A113,'Données projet'!$A$217:$I$237,3,0))</f>
        <v>10</v>
      </c>
      <c r="FM113" s="16">
        <f>IF(ISNA(VLOOKUP(A113,'Données projet'!$A$217:$I$237,4,0)),0,VLOOKUP(A113,'Données projet'!$A$217:$I$237,4,0))</f>
        <v>410.25641025641022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>
        <f>EXP(-LN(2)/35)*FQ112+(1-EXP(-LN(2)/35))/(LN(2)/35)*FM113*FN113*VLOOKUP('Données projet'!$B$16,Paramètres!$A$1:$I$89,3,0)*0.475*44/12</f>
        <v>0</v>
      </c>
      <c r="FR113" s="23">
        <f>EXP(-LN(2)/25)*FR112+(1-EXP(-LN(2)/25))/(LN(2)/25)*Calculateur!FM113*Calculateur!FO113*VLOOKUP('Données projet'!$B$16,Paramètres!$A$1:$I$89,3,0)*0.475*44/12</f>
        <v>0</v>
      </c>
      <c r="FS113" s="23">
        <f>EXP(-LN(2)/2)*FS112+(1-EXP(-LN(2)/2))/(LN(2)/2)*FM113*FP113*VLOOKUP('Données projet'!$B$16,Paramètres!$A$1:$I$89,3,0)*0.475*44/12</f>
        <v>0</v>
      </c>
      <c r="FT113" s="24">
        <f t="shared" si="78"/>
        <v>0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70">
        <f t="shared" si="56"/>
        <v>183.33333333333334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4.5</v>
      </c>
      <c r="N114" s="14">
        <f>IF('Données projet'!$A$36&gt;35,N113+M114-V113,IF(A114&lt;'Données projet'!$A$36,$K$205^A114,IF(A114='Données projet'!$A$36,'Données projet'!$B$36,N113+M114-V113)))</f>
        <v>311.49999999999989</v>
      </c>
      <c r="O114" s="14">
        <f>N114*VLOOKUP('Données projet'!$B$9,Paramètres!$A$1:$I$89,3,0)*VLOOKUP('Données projet'!$B$9,Paramètres!$A$1:$I$89,5,0)</f>
        <v>281.84519999999992</v>
      </c>
      <c r="P114" s="14">
        <f t="shared" si="87"/>
        <v>67.356803491560484</v>
      </c>
      <c r="Q114" s="22">
        <f t="shared" si="107"/>
        <v>608.19348941446765</v>
      </c>
      <c r="R114" s="62">
        <f t="shared" si="55"/>
        <v>888.38685170909116</v>
      </c>
      <c r="S114" s="62">
        <f ca="1">AVERAGE(OFFSET($R$3,0,0,'Données projet'!$E$9+1,1))-AVERAGE(OFFSET($H$3,0,0,'Données projet'!$E$9+1,1))</f>
        <v>570.08763950759544</v>
      </c>
      <c r="T114" s="62">
        <f t="shared" si="88"/>
        <v>297.32483725004136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-2.2737367544323206E-13</v>
      </c>
      <c r="AJ114" s="14">
        <f>AI114*VLOOKUP('Données projet'!$B$10,Paramètres!$A$1:$I$89,3,0)*VLOOKUP('Données projet'!$B$10,Paramètres!$A$1:$I$89,5,0)</f>
        <v>-1.8089849618263545E-13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394.70330963327166</v>
      </c>
      <c r="AO114" s="62">
        <f t="shared" si="90"/>
        <v>424.06445894109982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-2.2737367544323206E-13</v>
      </c>
      <c r="BE114" s="14">
        <f>BD114*VLOOKUP('Données projet'!$B$11,Paramètres!$A$1:$I$89,3,0)*VLOOKUP('Données projet'!$B$11,Paramètres!$A$1:$I$89,5,0)</f>
        <v>-1.6671037883497774E-13</v>
      </c>
      <c r="BF114" s="14" t="e">
        <f t="shared" si="91"/>
        <v>#NUM!</v>
      </c>
      <c r="BG114" s="22" t="e">
        <f t="shared" si="61"/>
        <v>#NUM!</v>
      </c>
      <c r="BH114" s="62" t="e">
        <f t="shared" si="62"/>
        <v>#NUM!</v>
      </c>
      <c r="BI114" s="62">
        <f ca="1">AVERAGE(OFFSET($BH$3,0,0,'Données projet'!$E$11+1,1))-AVERAGE(OFFSET($H$3,0,0,'Données projet'!$E$11+1,1))</f>
        <v>368.54671978064204</v>
      </c>
      <c r="BJ114" s="62">
        <f t="shared" si="92"/>
        <v>395.83504504492237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5.6843418860808015E-14</v>
      </c>
      <c r="BZ114" s="14">
        <f>BY114*VLOOKUP('Données projet'!$B$12,Paramètres!$A$1:$I$89,3,0)*VLOOKUP('Données projet'!$B$12,Paramètres!$A$1:$I$89,5,0)</f>
        <v>4.4337866711430253E-14</v>
      </c>
      <c r="CA114" s="14">
        <f t="shared" si="93"/>
        <v>7.3222115536967035E-13</v>
      </c>
      <c r="CB114" s="22">
        <f t="shared" si="64"/>
        <v>1.3525069634579169E-12</v>
      </c>
      <c r="CC114" s="62">
        <f t="shared" si="65"/>
        <v>280.19336229462493</v>
      </c>
      <c r="CD114" s="62">
        <f ca="1">AVERAGE(OFFSET($CC$3,0,0,'Données projet'!$E$12+1,1))-AVERAGE(OFFSET($H$3,0,0,'Données projet'!$E$12+1,1))</f>
        <v>309.21625451786218</v>
      </c>
      <c r="CE114" s="62">
        <f t="shared" si="94"/>
        <v>302.59481222418219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3.525641025641022</v>
      </c>
      <c r="CT114" s="13">
        <f>IF('Données projet'!$A$140&gt;35,CT113+CS114-DB113,IF(A114&lt;'Données projet'!$A$140,$CQ$205^A114,IF(A114='Données projet'!$A$140,'Données projet'!$B$140,CT113+CS114-DB113)))</f>
        <v>288.14102564102564</v>
      </c>
      <c r="CU114" s="18">
        <f>CT114*VLOOKUP('Données projet'!$B$13,Paramètres!$A$1:$I$89,3,0)*VLOOKUP('Données projet'!$B$13,Paramètres!$A$1:$I$89,5,0)</f>
        <v>274.19499999999999</v>
      </c>
      <c r="CV114" s="14">
        <f t="shared" si="95"/>
        <v>65.738753734241826</v>
      </c>
      <c r="CW114" s="22">
        <f t="shared" si="67"/>
        <v>592.05128775380444</v>
      </c>
      <c r="CX114" s="62">
        <f t="shared" si="68"/>
        <v>872.24465004842796</v>
      </c>
      <c r="CY114" s="62">
        <f ca="1">AVERAGE(OFFSET($CX$3,0,0,'Données projet'!$E$13+1,1))-AVERAGE(OFFSET($H$3,0,0,'Données projet'!$E$13+1,1))</f>
        <v>491.87038198656927</v>
      </c>
      <c r="CZ114" s="62">
        <f t="shared" si="96"/>
        <v>406.49261644949559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0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4.5</v>
      </c>
      <c r="DO114" s="13">
        <f>IF('Données projet'!$A$166&gt;35,DO113+DN114-DW113,IF(A114&lt;'Données projet'!$A$166,$DL$205^A114,IF(A114='Données projet'!$A$166,'Données projet'!$B$166,DO113+DN114-DW113)))</f>
        <v>311.49999999999989</v>
      </c>
      <c r="DP114" s="18">
        <f>DO114*VLOOKUP('Données projet'!$B$14,Paramètres!$A$1:$I$89,3,0)*VLOOKUP('Données projet'!$B$14,Paramètres!$A$1:$I$89,5,0)</f>
        <v>301.2827999999999</v>
      </c>
      <c r="DQ114" s="14">
        <f t="shared" si="97"/>
        <v>71.445320809508729</v>
      </c>
      <c r="DR114" s="22">
        <f t="shared" si="70"/>
        <v>649.16814374322746</v>
      </c>
      <c r="DS114" s="62">
        <f t="shared" si="71"/>
        <v>929.36150603785109</v>
      </c>
      <c r="DT114" s="62">
        <f ca="1">AVERAGE(OFFSET($DS$3,0,0,'Données projet'!$E$14+1,1))-AVERAGE(OFFSET($H$3,0,0,'Données projet'!$E$14+1,1))</f>
        <v>603.52431522262032</v>
      </c>
      <c r="DU114" s="62">
        <f t="shared" si="98"/>
        <v>313.56299786481338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projet'!$B$14,Paramètres!$A$1:$I$89,3,0)*0.475*44/12</f>
        <v>0</v>
      </c>
      <c r="EB114" s="23">
        <f>EXP(-LN(2)/25)*EB113+(1-EXP(-LN(2)/25))/(LN(2)/25)*Calculateur!DW114*Calculateur!DY114*VLOOKUP('Données projet'!$B$14,Paramètres!$A$1:$I$89,3,0)*0.475*44/12</f>
        <v>0</v>
      </c>
      <c r="EC114" s="23">
        <f>EXP(-LN(2)/2)*EC113+(1-EXP(-LN(2)/2))/(LN(2)/2)*DW114*DZ114*VLOOKUP('Données projet'!$B$14,Paramètres!$A$1:$I$89,3,0)*0.475*44/12</f>
        <v>0</v>
      </c>
      <c r="ED114" s="24">
        <f t="shared" si="72"/>
        <v>0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-1.1368683772161603E-13</v>
      </c>
      <c r="EK114" s="18">
        <f>EJ114*VLOOKUP('Données projet'!$B$15,Paramètres!$A$1:$I$89,3,0)*VLOOKUP('Données projet'!$B$15,Paramètres!$A$1:$I$89,5,0)</f>
        <v>-9.2222762759774927E-14</v>
      </c>
      <c r="EL114" s="14" t="e">
        <f t="shared" si="99"/>
        <v>#NUM!</v>
      </c>
      <c r="EM114" s="22" t="e">
        <f t="shared" si="73"/>
        <v>#NUM!</v>
      </c>
      <c r="EN114" s="62" t="e">
        <f t="shared" si="74"/>
        <v>#NUM!</v>
      </c>
      <c r="EO114" s="62">
        <f ca="1">AVERAGE(OFFSET($EN$3,0,0,'Données projet'!$E$15+1,1))-AVERAGE(OFFSET($H$3,0,0,'Données projet'!$E$15+1,1))</f>
        <v>272.69564942740931</v>
      </c>
      <c r="EP114" s="62">
        <f t="shared" si="100"/>
        <v>316.57989180609252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>
        <f>EXP(-LN(2)/35)*EV113+(1-EXP(-LN(2)/35))/(LN(2)/35)*ER114*ES114*VLOOKUP('Données projet'!$B$15,Paramètres!$A$1:$I$89,3,0)*0.475*44/12</f>
        <v>0</v>
      </c>
      <c r="EW114" s="23">
        <f>EXP(-LN(2)/25)*EW113+(1-EXP(-LN(2)/25))/(LN(2)/25)*Calculateur!ER114*Calculateur!ET114*VLOOKUP('Données projet'!$B$15,Paramètres!$A$1:$I$89,3,0)*0.475*44/12</f>
        <v>0</v>
      </c>
      <c r="EX114" s="23">
        <f>EXP(-LN(2)/2)*EX113+(1-EXP(-LN(2)/2))/(LN(2)/2)*ER114*EU114*VLOOKUP('Données projet'!$B$15,Paramètres!$A$1:$I$89,3,0)*0.475*44/12</f>
        <v>0</v>
      </c>
      <c r="EY114" s="24">
        <f t="shared" si="75"/>
        <v>0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-3.4106051316484809E-13</v>
      </c>
      <c r="FF114" s="18">
        <f>FE114*VLOOKUP('Données projet'!$B$16,Paramètres!$A$1:$I$89,3,0)*VLOOKUP('Données projet'!$B$16,Paramètres!$A$1:$I$89,5,0)</f>
        <v>-2.2878339223098009E-13</v>
      </c>
      <c r="FG114" s="14" t="e">
        <f t="shared" si="101"/>
        <v>#NUM!</v>
      </c>
      <c r="FH114" s="22" t="e">
        <f t="shared" si="76"/>
        <v>#NUM!</v>
      </c>
      <c r="FI114" s="62" t="e">
        <f t="shared" si="77"/>
        <v>#NUM!</v>
      </c>
      <c r="FJ114" s="62">
        <f ca="1">AVERAGE(OFFSET($FI$3,0,0,'Données projet'!$E$16+1,1))-AVERAGE(OFFSET($H$3,0,0,'Données projet'!$E$16+1,1))</f>
        <v>440.90856392064205</v>
      </c>
      <c r="FK114" s="62">
        <f t="shared" si="102"/>
        <v>373.33139300970629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>
        <f>EXP(-LN(2)/35)*FQ113+(1-EXP(-LN(2)/35))/(LN(2)/35)*FM114*FN114*VLOOKUP('Données projet'!$B$16,Paramètres!$A$1:$I$89,3,0)*0.475*44/12</f>
        <v>0</v>
      </c>
      <c r="FR114" s="23">
        <f>EXP(-LN(2)/25)*FR113+(1-EXP(-LN(2)/25))/(LN(2)/25)*Calculateur!FM114*Calculateur!FO114*VLOOKUP('Données projet'!$B$16,Paramètres!$A$1:$I$89,3,0)*0.475*44/12</f>
        <v>0</v>
      </c>
      <c r="FS114" s="23">
        <f>EXP(-LN(2)/2)*FS113+(1-EXP(-LN(2)/2))/(LN(2)/2)*FM114*FP114*VLOOKUP('Données projet'!$B$16,Paramètres!$A$1:$I$89,3,0)*0.475*44/12</f>
        <v>0</v>
      </c>
      <c r="FT114" s="24">
        <f t="shared" si="78"/>
        <v>0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70">
        <f t="shared" si="56"/>
        <v>183.33333333333334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4.5</v>
      </c>
      <c r="N115" s="14">
        <f>IF('Données projet'!$A$36&gt;35,N114+M115-V114,IF(A115&lt;'Données projet'!$A$36,$K$205^A115,IF(A115='Données projet'!$A$36,'Données projet'!$B$36,N114+M115-V114)))</f>
        <v>315.99999999999989</v>
      </c>
      <c r="O115" s="14">
        <f>N115*VLOOKUP('Données projet'!$B$9,Paramètres!$A$1:$I$89,3,0)*VLOOKUP('Données projet'!$B$9,Paramètres!$A$1:$I$89,5,0)</f>
        <v>285.91679999999985</v>
      </c>
      <c r="P115" s="14">
        <f t="shared" si="87"/>
        <v>68.215872977287475</v>
      </c>
      <c r="Q115" s="22">
        <f t="shared" si="107"/>
        <v>616.78107210210862</v>
      </c>
      <c r="R115" s="62">
        <f t="shared" si="55"/>
        <v>897.20238351767944</v>
      </c>
      <c r="S115" s="62">
        <f ca="1">AVERAGE(OFFSET($R$3,0,0,'Données projet'!$E$9+1,1))-AVERAGE(OFFSET($H$3,0,0,'Données projet'!$E$9+1,1))</f>
        <v>570.08763950759544</v>
      </c>
      <c r="T115" s="62">
        <f t="shared" si="88"/>
        <v>297.32483725004136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-2.2737367544323206E-13</v>
      </c>
      <c r="AJ115" s="14">
        <f>AI115*VLOOKUP('Données projet'!$B$10,Paramètres!$A$1:$I$89,3,0)*VLOOKUP('Données projet'!$B$10,Paramètres!$A$1:$I$89,5,0)</f>
        <v>-1.8089849618263545E-13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394.70330963327166</v>
      </c>
      <c r="AO115" s="62">
        <f t="shared" si="90"/>
        <v>424.06445894109982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-2.2737367544323206E-13</v>
      </c>
      <c r="BE115" s="14">
        <f>BD115*VLOOKUP('Données projet'!$B$11,Paramètres!$A$1:$I$89,3,0)*VLOOKUP('Données projet'!$B$11,Paramètres!$A$1:$I$89,5,0)</f>
        <v>-1.6671037883497774E-13</v>
      </c>
      <c r="BF115" s="14" t="e">
        <f t="shared" si="91"/>
        <v>#NUM!</v>
      </c>
      <c r="BG115" s="22" t="e">
        <f t="shared" si="61"/>
        <v>#NUM!</v>
      </c>
      <c r="BH115" s="62" t="e">
        <f t="shared" si="62"/>
        <v>#NUM!</v>
      </c>
      <c r="BI115" s="62">
        <f ca="1">AVERAGE(OFFSET($BH$3,0,0,'Données projet'!$E$11+1,1))-AVERAGE(OFFSET($H$3,0,0,'Données projet'!$E$11+1,1))</f>
        <v>368.54671978064204</v>
      </c>
      <c r="BJ115" s="62">
        <f t="shared" si="92"/>
        <v>395.83504504492237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5.6843418860808015E-14</v>
      </c>
      <c r="BZ115" s="14">
        <f>BY115*VLOOKUP('Données projet'!$B$12,Paramètres!$A$1:$I$89,3,0)*VLOOKUP('Données projet'!$B$12,Paramètres!$A$1:$I$89,5,0)</f>
        <v>4.4337866711430253E-14</v>
      </c>
      <c r="CA115" s="14">
        <f t="shared" si="93"/>
        <v>7.3222115536967035E-13</v>
      </c>
      <c r="CB115" s="22">
        <f t="shared" si="64"/>
        <v>1.3525069634579169E-12</v>
      </c>
      <c r="CC115" s="62">
        <f t="shared" si="65"/>
        <v>280.42131141557223</v>
      </c>
      <c r="CD115" s="62">
        <f ca="1">AVERAGE(OFFSET($CC$3,0,0,'Données projet'!$E$12+1,1))-AVERAGE(OFFSET($H$3,0,0,'Données projet'!$E$12+1,1))</f>
        <v>309.21625451786218</v>
      </c>
      <c r="CE115" s="62">
        <f t="shared" si="94"/>
        <v>302.59481222418219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3.525641025641022</v>
      </c>
      <c r="CT115" s="13">
        <f>IF('Données projet'!$A$140&gt;35,CT114+CS115-DB114,IF(A115&lt;'Données projet'!$A$140,$CQ$205^A115,IF(A115='Données projet'!$A$140,'Données projet'!$B$140,CT114+CS115-DB114)))</f>
        <v>291.66666666666663</v>
      </c>
      <c r="CU115" s="18">
        <f>CT115*VLOOKUP('Données projet'!$B$13,Paramètres!$A$1:$I$89,3,0)*VLOOKUP('Données projet'!$B$13,Paramètres!$A$1:$I$89,5,0)</f>
        <v>277.54999999999995</v>
      </c>
      <c r="CV115" s="14">
        <f t="shared" si="95"/>
        <v>66.448988922451278</v>
      </c>
      <c r="CW115" s="22">
        <f t="shared" si="67"/>
        <v>599.13157237326925</v>
      </c>
      <c r="CX115" s="62">
        <f t="shared" si="68"/>
        <v>879.55288378884006</v>
      </c>
      <c r="CY115" s="62">
        <f ca="1">AVERAGE(OFFSET($CX$3,0,0,'Données projet'!$E$13+1,1))-AVERAGE(OFFSET($H$3,0,0,'Données projet'!$E$13+1,1))</f>
        <v>491.87038198656927</v>
      </c>
      <c r="CZ115" s="62">
        <f t="shared" si="96"/>
        <v>406.49261644949559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0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4.5</v>
      </c>
      <c r="DO115" s="13">
        <f>IF('Données projet'!$A$166&gt;35,DO114+DN115-DW114,IF(A115&lt;'Données projet'!$A$166,$DL$205^A115,IF(A115='Données projet'!$A$166,'Données projet'!$B$166,DO114+DN115-DW114)))</f>
        <v>315.99999999999989</v>
      </c>
      <c r="DP115" s="18">
        <f>DO115*VLOOKUP('Données projet'!$B$14,Paramètres!$A$1:$I$89,3,0)*VLOOKUP('Données projet'!$B$14,Paramètres!$A$1:$I$89,5,0)</f>
        <v>305.63519999999988</v>
      </c>
      <c r="DQ115" s="14">
        <f t="shared" si="97"/>
        <v>72.356535294517812</v>
      </c>
      <c r="DR115" s="22">
        <f t="shared" si="70"/>
        <v>658.33560563795163</v>
      </c>
      <c r="DS115" s="62">
        <f t="shared" si="71"/>
        <v>938.75691705352256</v>
      </c>
      <c r="DT115" s="62">
        <f ca="1">AVERAGE(OFFSET($DS$3,0,0,'Données projet'!$E$14+1,1))-AVERAGE(OFFSET($H$3,0,0,'Données projet'!$E$14+1,1))</f>
        <v>603.52431522262032</v>
      </c>
      <c r="DU115" s="62">
        <f t="shared" si="98"/>
        <v>313.56299786481338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projet'!$B$14,Paramètres!$A$1:$I$89,3,0)*0.475*44/12</f>
        <v>0</v>
      </c>
      <c r="EB115" s="23">
        <f>EXP(-LN(2)/25)*EB114+(1-EXP(-LN(2)/25))/(LN(2)/25)*Calculateur!DW115*Calculateur!DY115*VLOOKUP('Données projet'!$B$14,Paramètres!$A$1:$I$89,3,0)*0.475*44/12</f>
        <v>0</v>
      </c>
      <c r="EC115" s="23">
        <f>EXP(-LN(2)/2)*EC114+(1-EXP(-LN(2)/2))/(LN(2)/2)*DW115*DZ115*VLOOKUP('Données projet'!$B$14,Paramètres!$A$1:$I$89,3,0)*0.475*44/12</f>
        <v>0</v>
      </c>
      <c r="ED115" s="24">
        <f t="shared" si="72"/>
        <v>0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-1.1368683772161603E-13</v>
      </c>
      <c r="EK115" s="18">
        <f>EJ115*VLOOKUP('Données projet'!$B$15,Paramètres!$A$1:$I$89,3,0)*VLOOKUP('Données projet'!$B$15,Paramètres!$A$1:$I$89,5,0)</f>
        <v>-9.2222762759774927E-14</v>
      </c>
      <c r="EL115" s="14" t="e">
        <f t="shared" si="99"/>
        <v>#NUM!</v>
      </c>
      <c r="EM115" s="22" t="e">
        <f t="shared" si="73"/>
        <v>#NUM!</v>
      </c>
      <c r="EN115" s="62" t="e">
        <f t="shared" si="74"/>
        <v>#NUM!</v>
      </c>
      <c r="EO115" s="62">
        <f ca="1">AVERAGE(OFFSET($EN$3,0,0,'Données projet'!$E$15+1,1))-AVERAGE(OFFSET($H$3,0,0,'Données projet'!$E$15+1,1))</f>
        <v>272.69564942740931</v>
      </c>
      <c r="EP115" s="62">
        <f t="shared" si="100"/>
        <v>316.57989180609252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>
        <f>EXP(-LN(2)/35)*EV114+(1-EXP(-LN(2)/35))/(LN(2)/35)*ER115*ES115*VLOOKUP('Données projet'!$B$15,Paramètres!$A$1:$I$89,3,0)*0.475*44/12</f>
        <v>0</v>
      </c>
      <c r="EW115" s="23">
        <f>EXP(-LN(2)/25)*EW114+(1-EXP(-LN(2)/25))/(LN(2)/25)*Calculateur!ER115*Calculateur!ET115*VLOOKUP('Données projet'!$B$15,Paramètres!$A$1:$I$89,3,0)*0.475*44/12</f>
        <v>0</v>
      </c>
      <c r="EX115" s="23">
        <f>EXP(-LN(2)/2)*EX114+(1-EXP(-LN(2)/2))/(LN(2)/2)*ER115*EU115*VLOOKUP('Données projet'!$B$15,Paramètres!$A$1:$I$89,3,0)*0.475*44/12</f>
        <v>0</v>
      </c>
      <c r="EY115" s="24">
        <f t="shared" si="75"/>
        <v>0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-3.4106051316484809E-13</v>
      </c>
      <c r="FF115" s="18">
        <f>FE115*VLOOKUP('Données projet'!$B$16,Paramètres!$A$1:$I$89,3,0)*VLOOKUP('Données projet'!$B$16,Paramètres!$A$1:$I$89,5,0)</f>
        <v>-2.2878339223098009E-13</v>
      </c>
      <c r="FG115" s="14" t="e">
        <f t="shared" si="101"/>
        <v>#NUM!</v>
      </c>
      <c r="FH115" s="22" t="e">
        <f t="shared" si="76"/>
        <v>#NUM!</v>
      </c>
      <c r="FI115" s="62" t="e">
        <f t="shared" si="77"/>
        <v>#NUM!</v>
      </c>
      <c r="FJ115" s="62">
        <f ca="1">AVERAGE(OFFSET($FI$3,0,0,'Données projet'!$E$16+1,1))-AVERAGE(OFFSET($H$3,0,0,'Données projet'!$E$16+1,1))</f>
        <v>440.90856392064205</v>
      </c>
      <c r="FK115" s="62">
        <f t="shared" si="102"/>
        <v>373.33139300970629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>
        <f>EXP(-LN(2)/35)*FQ114+(1-EXP(-LN(2)/35))/(LN(2)/35)*FM115*FN115*VLOOKUP('Données projet'!$B$16,Paramètres!$A$1:$I$89,3,0)*0.475*44/12</f>
        <v>0</v>
      </c>
      <c r="FR115" s="23">
        <f>EXP(-LN(2)/25)*FR114+(1-EXP(-LN(2)/25))/(LN(2)/25)*Calculateur!FM115*Calculateur!FO115*VLOOKUP('Données projet'!$B$16,Paramètres!$A$1:$I$89,3,0)*0.475*44/12</f>
        <v>0</v>
      </c>
      <c r="FS115" s="23">
        <f>EXP(-LN(2)/2)*FS114+(1-EXP(-LN(2)/2))/(LN(2)/2)*FM115*FP115*VLOOKUP('Données projet'!$B$16,Paramètres!$A$1:$I$89,3,0)*0.475*44/12</f>
        <v>0</v>
      </c>
      <c r="FT115" s="24">
        <f t="shared" si="78"/>
        <v>0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70">
        <f t="shared" si="56"/>
        <v>183.33333333333334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4.5</v>
      </c>
      <c r="N116" s="14">
        <f>IF('Données projet'!$A$36&gt;35,N115+M116-V115,IF(A116&lt;'Données projet'!$A$36,$K$205^A116,IF(A116='Données projet'!$A$36,'Données projet'!$B$36,N115+M116-V115)))</f>
        <v>320.49999999999989</v>
      </c>
      <c r="O116" s="14">
        <f>N116*VLOOKUP('Données projet'!$B$9,Paramètres!$A$1:$I$89,3,0)*VLOOKUP('Données projet'!$B$9,Paramètres!$A$1:$I$89,5,0)</f>
        <v>289.9883999999999</v>
      </c>
      <c r="P116" s="14">
        <f t="shared" si="87"/>
        <v>69.073519602481525</v>
      </c>
      <c r="Q116" s="22">
        <f t="shared" si="107"/>
        <v>625.36617664098856</v>
      </c>
      <c r="R116" s="62">
        <f t="shared" si="55"/>
        <v>906.01148276987624</v>
      </c>
      <c r="S116" s="62">
        <f ca="1">AVERAGE(OFFSET($R$3,0,0,'Données projet'!$E$9+1,1))-AVERAGE(OFFSET($H$3,0,0,'Données projet'!$E$9+1,1))</f>
        <v>570.08763950759544</v>
      </c>
      <c r="T116" s="62">
        <f t="shared" si="88"/>
        <v>297.32483725004136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-2.2737367544323206E-13</v>
      </c>
      <c r="AJ116" s="14">
        <f>AI116*VLOOKUP('Données projet'!$B$10,Paramètres!$A$1:$I$89,3,0)*VLOOKUP('Données projet'!$B$10,Paramètres!$A$1:$I$89,5,0)</f>
        <v>-1.8089849618263545E-13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394.70330963327166</v>
      </c>
      <c r="AO116" s="62">
        <f t="shared" si="90"/>
        <v>424.06445894109982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-2.2737367544323206E-13</v>
      </c>
      <c r="BE116" s="14">
        <f>BD116*VLOOKUP('Données projet'!$B$11,Paramètres!$A$1:$I$89,3,0)*VLOOKUP('Données projet'!$B$11,Paramètres!$A$1:$I$89,5,0)</f>
        <v>-1.6671037883497774E-13</v>
      </c>
      <c r="BF116" s="14" t="e">
        <f t="shared" si="91"/>
        <v>#NUM!</v>
      </c>
      <c r="BG116" s="22" t="e">
        <f t="shared" si="61"/>
        <v>#NUM!</v>
      </c>
      <c r="BH116" s="62" t="e">
        <f t="shared" si="62"/>
        <v>#NUM!</v>
      </c>
      <c r="BI116" s="62">
        <f ca="1">AVERAGE(OFFSET($BH$3,0,0,'Données projet'!$E$11+1,1))-AVERAGE(OFFSET($H$3,0,0,'Données projet'!$E$11+1,1))</f>
        <v>368.54671978064204</v>
      </c>
      <c r="BJ116" s="62">
        <f t="shared" si="92"/>
        <v>395.83504504492237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5.6843418860808015E-14</v>
      </c>
      <c r="BZ116" s="14">
        <f>BY116*VLOOKUP('Données projet'!$B$12,Paramètres!$A$1:$I$89,3,0)*VLOOKUP('Données projet'!$B$12,Paramètres!$A$1:$I$89,5,0)</f>
        <v>4.4337866711430253E-14</v>
      </c>
      <c r="CA116" s="14">
        <f t="shared" si="93"/>
        <v>7.3222115536967035E-13</v>
      </c>
      <c r="CB116" s="22">
        <f t="shared" si="64"/>
        <v>1.3525069634579169E-12</v>
      </c>
      <c r="CC116" s="62">
        <f t="shared" si="65"/>
        <v>280.64530612888899</v>
      </c>
      <c r="CD116" s="62">
        <f ca="1">AVERAGE(OFFSET($CC$3,0,0,'Données projet'!$E$12+1,1))-AVERAGE(OFFSET($H$3,0,0,'Données projet'!$E$12+1,1))</f>
        <v>309.21625451786218</v>
      </c>
      <c r="CE116" s="62">
        <f t="shared" si="94"/>
        <v>302.59481222418219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3.525641025641022</v>
      </c>
      <c r="CT116" s="13">
        <f>IF('Données projet'!$A$140&gt;35,CT115+CS116-DB115,IF(A116&lt;'Données projet'!$A$140,$CQ$205^A116,IF(A116='Données projet'!$A$140,'Données projet'!$B$140,CT115+CS116-DB115)))</f>
        <v>295.19230769230762</v>
      </c>
      <c r="CU116" s="18">
        <f>CT116*VLOOKUP('Données projet'!$B$13,Paramètres!$A$1:$I$89,3,0)*VLOOKUP('Données projet'!$B$13,Paramètres!$A$1:$I$89,5,0)</f>
        <v>280.90499999999997</v>
      </c>
      <c r="CV116" s="14">
        <f t="shared" si="95"/>
        <v>67.15822546332997</v>
      </c>
      <c r="CW116" s="22">
        <f t="shared" si="67"/>
        <v>606.21011768196638</v>
      </c>
      <c r="CX116" s="62">
        <f t="shared" si="68"/>
        <v>886.85542381085406</v>
      </c>
      <c r="CY116" s="62">
        <f ca="1">AVERAGE(OFFSET($CX$3,0,0,'Données projet'!$E$13+1,1))-AVERAGE(OFFSET($H$3,0,0,'Données projet'!$E$13+1,1))</f>
        <v>491.87038198656927</v>
      </c>
      <c r="CZ116" s="62">
        <f t="shared" si="96"/>
        <v>406.49261644949559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0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4.5</v>
      </c>
      <c r="DO116" s="13">
        <f>IF('Données projet'!$A$166&gt;35,DO115+DN116-DW115,IF(A116&lt;'Données projet'!$A$166,$DL$205^A116,IF(A116='Données projet'!$A$166,'Données projet'!$B$166,DO115+DN116-DW115)))</f>
        <v>320.49999999999989</v>
      </c>
      <c r="DP116" s="18">
        <f>DO116*VLOOKUP('Données projet'!$B$14,Paramètres!$A$1:$I$89,3,0)*VLOOKUP('Données projet'!$B$14,Paramètres!$A$1:$I$89,5,0)</f>
        <v>309.98759999999987</v>
      </c>
      <c r="DQ116" s="14">
        <f t="shared" si="97"/>
        <v>73.266240552218449</v>
      </c>
      <c r="DR116" s="22">
        <f t="shared" si="70"/>
        <v>667.50043896178022</v>
      </c>
      <c r="DS116" s="62">
        <f t="shared" si="71"/>
        <v>948.14574509066779</v>
      </c>
      <c r="DT116" s="62">
        <f ca="1">AVERAGE(OFFSET($DS$3,0,0,'Données projet'!$E$14+1,1))-AVERAGE(OFFSET($H$3,0,0,'Données projet'!$E$14+1,1))</f>
        <v>603.52431522262032</v>
      </c>
      <c r="DU116" s="62">
        <f t="shared" si="98"/>
        <v>313.56299786481338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projet'!$B$14,Paramètres!$A$1:$I$89,3,0)*0.475*44/12</f>
        <v>0</v>
      </c>
      <c r="EB116" s="23">
        <f>EXP(-LN(2)/25)*EB115+(1-EXP(-LN(2)/25))/(LN(2)/25)*Calculateur!DW116*Calculateur!DY116*VLOOKUP('Données projet'!$B$14,Paramètres!$A$1:$I$89,3,0)*0.475*44/12</f>
        <v>0</v>
      </c>
      <c r="EC116" s="23">
        <f>EXP(-LN(2)/2)*EC115+(1-EXP(-LN(2)/2))/(LN(2)/2)*DW116*DZ116*VLOOKUP('Données projet'!$B$14,Paramètres!$A$1:$I$89,3,0)*0.475*44/12</f>
        <v>0</v>
      </c>
      <c r="ED116" s="24">
        <f t="shared" si="72"/>
        <v>0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-1.1368683772161603E-13</v>
      </c>
      <c r="EK116" s="18">
        <f>EJ116*VLOOKUP('Données projet'!$B$15,Paramètres!$A$1:$I$89,3,0)*VLOOKUP('Données projet'!$B$15,Paramètres!$A$1:$I$89,5,0)</f>
        <v>-9.2222762759774927E-14</v>
      </c>
      <c r="EL116" s="14" t="e">
        <f t="shared" si="99"/>
        <v>#NUM!</v>
      </c>
      <c r="EM116" s="22" t="e">
        <f t="shared" si="73"/>
        <v>#NUM!</v>
      </c>
      <c r="EN116" s="62" t="e">
        <f t="shared" si="74"/>
        <v>#NUM!</v>
      </c>
      <c r="EO116" s="62">
        <f ca="1">AVERAGE(OFFSET($EN$3,0,0,'Données projet'!$E$15+1,1))-AVERAGE(OFFSET($H$3,0,0,'Données projet'!$E$15+1,1))</f>
        <v>272.69564942740931</v>
      </c>
      <c r="EP116" s="62">
        <f t="shared" si="100"/>
        <v>316.57989180609252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>
        <f>EXP(-LN(2)/35)*EV115+(1-EXP(-LN(2)/35))/(LN(2)/35)*ER116*ES116*VLOOKUP('Données projet'!$B$15,Paramètres!$A$1:$I$89,3,0)*0.475*44/12</f>
        <v>0</v>
      </c>
      <c r="EW116" s="23">
        <f>EXP(-LN(2)/25)*EW115+(1-EXP(-LN(2)/25))/(LN(2)/25)*Calculateur!ER116*Calculateur!ET116*VLOOKUP('Données projet'!$B$15,Paramètres!$A$1:$I$89,3,0)*0.475*44/12</f>
        <v>0</v>
      </c>
      <c r="EX116" s="23">
        <f>EXP(-LN(2)/2)*EX115+(1-EXP(-LN(2)/2))/(LN(2)/2)*ER116*EU116*VLOOKUP('Données projet'!$B$15,Paramètres!$A$1:$I$89,3,0)*0.475*44/12</f>
        <v>0</v>
      </c>
      <c r="EY116" s="24">
        <f t="shared" si="75"/>
        <v>0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-3.4106051316484809E-13</v>
      </c>
      <c r="FF116" s="18">
        <f>FE116*VLOOKUP('Données projet'!$B$16,Paramètres!$A$1:$I$89,3,0)*VLOOKUP('Données projet'!$B$16,Paramètres!$A$1:$I$89,5,0)</f>
        <v>-2.2878339223098009E-13</v>
      </c>
      <c r="FG116" s="14" t="e">
        <f t="shared" si="101"/>
        <v>#NUM!</v>
      </c>
      <c r="FH116" s="22" t="e">
        <f t="shared" si="76"/>
        <v>#NUM!</v>
      </c>
      <c r="FI116" s="62" t="e">
        <f t="shared" si="77"/>
        <v>#NUM!</v>
      </c>
      <c r="FJ116" s="62">
        <f ca="1">AVERAGE(OFFSET($FI$3,0,0,'Données projet'!$E$16+1,1))-AVERAGE(OFFSET($H$3,0,0,'Données projet'!$E$16+1,1))</f>
        <v>440.90856392064205</v>
      </c>
      <c r="FK116" s="62">
        <f t="shared" si="102"/>
        <v>373.33139300970629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>
        <f>EXP(-LN(2)/35)*FQ115+(1-EXP(-LN(2)/35))/(LN(2)/35)*FM116*FN116*VLOOKUP('Données projet'!$B$16,Paramètres!$A$1:$I$89,3,0)*0.475*44/12</f>
        <v>0</v>
      </c>
      <c r="FR116" s="23">
        <f>EXP(-LN(2)/25)*FR115+(1-EXP(-LN(2)/25))/(LN(2)/25)*Calculateur!FM116*Calculateur!FO116*VLOOKUP('Données projet'!$B$16,Paramètres!$A$1:$I$89,3,0)*0.475*44/12</f>
        <v>0</v>
      </c>
      <c r="FS116" s="23">
        <f>EXP(-LN(2)/2)*FS115+(1-EXP(-LN(2)/2))/(LN(2)/2)*FM116*FP116*VLOOKUP('Données projet'!$B$16,Paramètres!$A$1:$I$89,3,0)*0.475*44/12</f>
        <v>0</v>
      </c>
      <c r="FT116" s="24">
        <f t="shared" si="78"/>
        <v>0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70">
        <f t="shared" si="56"/>
        <v>183.33333333333334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4.5</v>
      </c>
      <c r="N117" s="14">
        <f>IF('Données projet'!$A$36&gt;35,N116+M117-V116,IF(A117&lt;'Données projet'!$A$36,$K$205^A117,IF(A117='Données projet'!$A$36,'Données projet'!$B$36,N116+M117-V116)))</f>
        <v>324.99999999999989</v>
      </c>
      <c r="O117" s="14">
        <f>N117*VLOOKUP('Données projet'!$B$9,Paramètres!$A$1:$I$89,3,0)*VLOOKUP('Données projet'!$B$9,Paramètres!$A$1:$I$89,5,0)</f>
        <v>294.05999999999989</v>
      </c>
      <c r="P117" s="14">
        <f t="shared" si="87"/>
        <v>69.929765653573313</v>
      </c>
      <c r="Q117" s="22">
        <f t="shared" si="107"/>
        <v>633.94884184663999</v>
      </c>
      <c r="R117" s="62">
        <f t="shared" si="55"/>
        <v>914.8142568813455</v>
      </c>
      <c r="S117" s="62">
        <f ca="1">AVERAGE(OFFSET($R$3,0,0,'Données projet'!$E$9+1,1))-AVERAGE(OFFSET($H$3,0,0,'Données projet'!$E$9+1,1))</f>
        <v>570.08763950759544</v>
      </c>
      <c r="T117" s="62">
        <f t="shared" si="88"/>
        <v>297.32483725004136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-2.2737367544323206E-13</v>
      </c>
      <c r="AJ117" s="14">
        <f>AI117*VLOOKUP('Données projet'!$B$10,Paramètres!$A$1:$I$89,3,0)*VLOOKUP('Données projet'!$B$10,Paramètres!$A$1:$I$89,5,0)</f>
        <v>-1.8089849618263545E-13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394.70330963327166</v>
      </c>
      <c r="AO117" s="62">
        <f t="shared" si="90"/>
        <v>424.06445894109982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-2.2737367544323206E-13</v>
      </c>
      <c r="BE117" s="14">
        <f>BD117*VLOOKUP('Données projet'!$B$11,Paramètres!$A$1:$I$89,3,0)*VLOOKUP('Données projet'!$B$11,Paramètres!$A$1:$I$89,5,0)</f>
        <v>-1.6671037883497774E-13</v>
      </c>
      <c r="BF117" s="14" t="e">
        <f t="shared" si="91"/>
        <v>#NUM!</v>
      </c>
      <c r="BG117" s="22" t="e">
        <f t="shared" si="61"/>
        <v>#NUM!</v>
      </c>
      <c r="BH117" s="62" t="e">
        <f t="shared" si="62"/>
        <v>#NUM!</v>
      </c>
      <c r="BI117" s="62">
        <f ca="1">AVERAGE(OFFSET($BH$3,0,0,'Données projet'!$E$11+1,1))-AVERAGE(OFFSET($H$3,0,0,'Données projet'!$E$11+1,1))</f>
        <v>368.54671978064204</v>
      </c>
      <c r="BJ117" s="62">
        <f t="shared" si="92"/>
        <v>395.83504504492237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5.6843418860808015E-14</v>
      </c>
      <c r="BZ117" s="14">
        <f>BY117*VLOOKUP('Données projet'!$B$12,Paramètres!$A$1:$I$89,3,0)*VLOOKUP('Données projet'!$B$12,Paramètres!$A$1:$I$89,5,0)</f>
        <v>4.4337866711430253E-14</v>
      </c>
      <c r="CA117" s="14">
        <f t="shared" si="93"/>
        <v>7.3222115536967035E-13</v>
      </c>
      <c r="CB117" s="22">
        <f t="shared" si="64"/>
        <v>1.3525069634579169E-12</v>
      </c>
      <c r="CC117" s="62">
        <f t="shared" si="65"/>
        <v>280.86541503470681</v>
      </c>
      <c r="CD117" s="62">
        <f ca="1">AVERAGE(OFFSET($CC$3,0,0,'Données projet'!$E$12+1,1))-AVERAGE(OFFSET($H$3,0,0,'Données projet'!$E$12+1,1))</f>
        <v>309.21625451786218</v>
      </c>
      <c r="CE117" s="62">
        <f t="shared" si="94"/>
        <v>302.59481222418219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3.525641025641022</v>
      </c>
      <c r="CT117" s="13">
        <f>IF('Données projet'!$A$140&gt;35,CT116+CS117-DB116,IF(A117&lt;'Données projet'!$A$140,$CQ$205^A117,IF(A117='Données projet'!$A$140,'Données projet'!$B$140,CT116+CS117-DB116)))</f>
        <v>298.71794871794862</v>
      </c>
      <c r="CU117" s="18">
        <f>CT117*VLOOKUP('Données projet'!$B$13,Paramètres!$A$1:$I$89,3,0)*VLOOKUP('Données projet'!$B$13,Paramètres!$A$1:$I$89,5,0)</f>
        <v>284.25999999999988</v>
      </c>
      <c r="CV117" s="14">
        <f t="shared" si="95"/>
        <v>67.866476663993723</v>
      </c>
      <c r="CW117" s="22">
        <f t="shared" si="67"/>
        <v>613.28694685645553</v>
      </c>
      <c r="CX117" s="62">
        <f t="shared" si="68"/>
        <v>894.15236189116104</v>
      </c>
      <c r="CY117" s="62">
        <f ca="1">AVERAGE(OFFSET($CX$3,0,0,'Données projet'!$E$13+1,1))-AVERAGE(OFFSET($H$3,0,0,'Données projet'!$E$13+1,1))</f>
        <v>491.87038198656927</v>
      </c>
      <c r="CZ117" s="62">
        <f t="shared" si="96"/>
        <v>406.49261644949559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0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4.5</v>
      </c>
      <c r="DO117" s="13">
        <f>IF('Données projet'!$A$166&gt;35,DO116+DN117-DW116,IF(A117&lt;'Données projet'!$A$166,$DL$205^A117,IF(A117='Données projet'!$A$166,'Données projet'!$B$166,DO116+DN117-DW116)))</f>
        <v>324.99999999999989</v>
      </c>
      <c r="DP117" s="18">
        <f>DO117*VLOOKUP('Données projet'!$B$14,Paramètres!$A$1:$I$89,3,0)*VLOOKUP('Données projet'!$B$14,Paramètres!$A$1:$I$89,5,0)</f>
        <v>314.33999999999986</v>
      </c>
      <c r="DQ117" s="14">
        <f t="shared" si="97"/>
        <v>74.174460221814215</v>
      </c>
      <c r="DR117" s="22">
        <f t="shared" si="70"/>
        <v>676.66268488632613</v>
      </c>
      <c r="DS117" s="62">
        <f t="shared" si="71"/>
        <v>957.52809992103153</v>
      </c>
      <c r="DT117" s="62">
        <f ca="1">AVERAGE(OFFSET($DS$3,0,0,'Données projet'!$E$14+1,1))-AVERAGE(OFFSET($H$3,0,0,'Données projet'!$E$14+1,1))</f>
        <v>603.52431522262032</v>
      </c>
      <c r="DU117" s="62">
        <f t="shared" si="98"/>
        <v>313.56299786481338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projet'!$B$14,Paramètres!$A$1:$I$89,3,0)*0.475*44/12</f>
        <v>0</v>
      </c>
      <c r="EB117" s="23">
        <f>EXP(-LN(2)/25)*EB116+(1-EXP(-LN(2)/25))/(LN(2)/25)*Calculateur!DW117*Calculateur!DY117*VLOOKUP('Données projet'!$B$14,Paramètres!$A$1:$I$89,3,0)*0.475*44/12</f>
        <v>0</v>
      </c>
      <c r="EC117" s="23">
        <f>EXP(-LN(2)/2)*EC116+(1-EXP(-LN(2)/2))/(LN(2)/2)*DW117*DZ117*VLOOKUP('Données projet'!$B$14,Paramètres!$A$1:$I$89,3,0)*0.475*44/12</f>
        <v>0</v>
      </c>
      <c r="ED117" s="24">
        <f t="shared" si="72"/>
        <v>0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-1.1368683772161603E-13</v>
      </c>
      <c r="EK117" s="18">
        <f>EJ117*VLOOKUP('Données projet'!$B$15,Paramètres!$A$1:$I$89,3,0)*VLOOKUP('Données projet'!$B$15,Paramètres!$A$1:$I$89,5,0)</f>
        <v>-9.2222762759774927E-14</v>
      </c>
      <c r="EL117" s="14" t="e">
        <f t="shared" si="99"/>
        <v>#NUM!</v>
      </c>
      <c r="EM117" s="22" t="e">
        <f t="shared" si="73"/>
        <v>#NUM!</v>
      </c>
      <c r="EN117" s="62" t="e">
        <f t="shared" si="74"/>
        <v>#NUM!</v>
      </c>
      <c r="EO117" s="62">
        <f ca="1">AVERAGE(OFFSET($EN$3,0,0,'Données projet'!$E$15+1,1))-AVERAGE(OFFSET($H$3,0,0,'Données projet'!$E$15+1,1))</f>
        <v>272.69564942740931</v>
      </c>
      <c r="EP117" s="62">
        <f t="shared" si="100"/>
        <v>316.57989180609252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>
        <f>EXP(-LN(2)/35)*EV116+(1-EXP(-LN(2)/35))/(LN(2)/35)*ER117*ES117*VLOOKUP('Données projet'!$B$15,Paramètres!$A$1:$I$89,3,0)*0.475*44/12</f>
        <v>0</v>
      </c>
      <c r="EW117" s="23">
        <f>EXP(-LN(2)/25)*EW116+(1-EXP(-LN(2)/25))/(LN(2)/25)*Calculateur!ER117*Calculateur!ET117*VLOOKUP('Données projet'!$B$15,Paramètres!$A$1:$I$89,3,0)*0.475*44/12</f>
        <v>0</v>
      </c>
      <c r="EX117" s="23">
        <f>EXP(-LN(2)/2)*EX116+(1-EXP(-LN(2)/2))/(LN(2)/2)*ER117*EU117*VLOOKUP('Données projet'!$B$15,Paramètres!$A$1:$I$89,3,0)*0.475*44/12</f>
        <v>0</v>
      </c>
      <c r="EY117" s="24">
        <f t="shared" si="75"/>
        <v>0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-3.4106051316484809E-13</v>
      </c>
      <c r="FF117" s="18">
        <f>FE117*VLOOKUP('Données projet'!$B$16,Paramètres!$A$1:$I$89,3,0)*VLOOKUP('Données projet'!$B$16,Paramètres!$A$1:$I$89,5,0)</f>
        <v>-2.2878339223098009E-13</v>
      </c>
      <c r="FG117" s="14" t="e">
        <f t="shared" si="101"/>
        <v>#NUM!</v>
      </c>
      <c r="FH117" s="22" t="e">
        <f t="shared" si="76"/>
        <v>#NUM!</v>
      </c>
      <c r="FI117" s="62" t="e">
        <f t="shared" si="77"/>
        <v>#NUM!</v>
      </c>
      <c r="FJ117" s="62">
        <f ca="1">AVERAGE(OFFSET($FI$3,0,0,'Données projet'!$E$16+1,1))-AVERAGE(OFFSET($H$3,0,0,'Données projet'!$E$16+1,1))</f>
        <v>440.90856392064205</v>
      </c>
      <c r="FK117" s="62">
        <f t="shared" si="102"/>
        <v>373.33139300970629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>
        <f>EXP(-LN(2)/35)*FQ116+(1-EXP(-LN(2)/35))/(LN(2)/35)*FM117*FN117*VLOOKUP('Données projet'!$B$16,Paramètres!$A$1:$I$89,3,0)*0.475*44/12</f>
        <v>0</v>
      </c>
      <c r="FR117" s="23">
        <f>EXP(-LN(2)/25)*FR116+(1-EXP(-LN(2)/25))/(LN(2)/25)*Calculateur!FM117*Calculateur!FO117*VLOOKUP('Données projet'!$B$16,Paramètres!$A$1:$I$89,3,0)*0.475*44/12</f>
        <v>0</v>
      </c>
      <c r="FS117" s="23">
        <f>EXP(-LN(2)/2)*FS116+(1-EXP(-LN(2)/2))/(LN(2)/2)*FM117*FP117*VLOOKUP('Données projet'!$B$16,Paramètres!$A$1:$I$89,3,0)*0.475*44/12</f>
        <v>0</v>
      </c>
      <c r="FT117" s="24">
        <f t="shared" si="78"/>
        <v>0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70">
        <f t="shared" si="56"/>
        <v>183.33333333333334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4.5</v>
      </c>
      <c r="N118" s="14">
        <f>IF('Données projet'!$A$36&gt;35,N117+M118-V117,IF(A118&lt;'Données projet'!$A$36,$K$205^A118,IF(A118='Données projet'!$A$36,'Données projet'!$B$36,N117+M118-V117)))</f>
        <v>329.49999999999989</v>
      </c>
      <c r="O118" s="14">
        <f>N118*VLOOKUP('Données projet'!$B$9,Paramètres!$A$1:$I$89,3,0)*VLOOKUP('Données projet'!$B$9,Paramètres!$A$1:$I$89,5,0)</f>
        <v>298.13159999999988</v>
      </c>
      <c r="P118" s="14">
        <f t="shared" si="87"/>
        <v>70.784632764376028</v>
      </c>
      <c r="Q118" s="22">
        <f t="shared" si="107"/>
        <v>642.52910539795459</v>
      </c>
      <c r="R118" s="62">
        <f t="shared" si="55"/>
        <v>923.6108109410518</v>
      </c>
      <c r="S118" s="62">
        <f ca="1">AVERAGE(OFFSET($R$3,0,0,'Données projet'!$E$9+1,1))-AVERAGE(OFFSET($H$3,0,0,'Données projet'!$E$9+1,1))</f>
        <v>570.08763950759544</v>
      </c>
      <c r="T118" s="62">
        <f t="shared" si="88"/>
        <v>297.32483725004136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-2.2737367544323206E-13</v>
      </c>
      <c r="AJ118" s="14">
        <f>AI118*VLOOKUP('Données projet'!$B$10,Paramètres!$A$1:$I$89,3,0)*VLOOKUP('Données projet'!$B$10,Paramètres!$A$1:$I$89,5,0)</f>
        <v>-1.8089849618263545E-13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394.70330963327166</v>
      </c>
      <c r="AO118" s="62">
        <f t="shared" si="90"/>
        <v>424.06445894109982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-2.2737367544323206E-13</v>
      </c>
      <c r="BE118" s="14">
        <f>BD118*VLOOKUP('Données projet'!$B$11,Paramètres!$A$1:$I$89,3,0)*VLOOKUP('Données projet'!$B$11,Paramètres!$A$1:$I$89,5,0)</f>
        <v>-1.6671037883497774E-13</v>
      </c>
      <c r="BF118" s="14" t="e">
        <f t="shared" si="91"/>
        <v>#NUM!</v>
      </c>
      <c r="BG118" s="22" t="e">
        <f t="shared" si="61"/>
        <v>#NUM!</v>
      </c>
      <c r="BH118" s="62" t="e">
        <f t="shared" si="62"/>
        <v>#NUM!</v>
      </c>
      <c r="BI118" s="62">
        <f ca="1">AVERAGE(OFFSET($BH$3,0,0,'Données projet'!$E$11+1,1))-AVERAGE(OFFSET($H$3,0,0,'Données projet'!$E$11+1,1))</f>
        <v>368.54671978064204</v>
      </c>
      <c r="BJ118" s="62">
        <f t="shared" si="92"/>
        <v>395.83504504492237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5.6843418860808015E-14</v>
      </c>
      <c r="BZ118" s="14">
        <f>BY118*VLOOKUP('Données projet'!$B$12,Paramètres!$A$1:$I$89,3,0)*VLOOKUP('Données projet'!$B$12,Paramètres!$A$1:$I$89,5,0)</f>
        <v>4.4337866711430253E-14</v>
      </c>
      <c r="CA118" s="14">
        <f t="shared" si="93"/>
        <v>7.3222115536967035E-13</v>
      </c>
      <c r="CB118" s="22">
        <f t="shared" si="64"/>
        <v>1.3525069634579169E-12</v>
      </c>
      <c r="CC118" s="62">
        <f t="shared" si="65"/>
        <v>281.08170554309862</v>
      </c>
      <c r="CD118" s="62">
        <f ca="1">AVERAGE(OFFSET($CC$3,0,0,'Données projet'!$E$12+1,1))-AVERAGE(OFFSET($H$3,0,0,'Données projet'!$E$12+1,1))</f>
        <v>309.21625451786218</v>
      </c>
      <c r="CE118" s="62">
        <f t="shared" si="94"/>
        <v>302.59481222418219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3.525641025641022</v>
      </c>
      <c r="CT118" s="13">
        <f>IF('Données projet'!$A$140&gt;35,CT117+CS118-DB117,IF(A118&lt;'Données projet'!$A$140,$CQ$205^A118,IF(A118='Données projet'!$A$140,'Données projet'!$B$140,CT117+CS118-DB117)))</f>
        <v>302.24358974358961</v>
      </c>
      <c r="CU118" s="18">
        <f>CT118*VLOOKUP('Données projet'!$B$13,Paramètres!$A$1:$I$89,3,0)*VLOOKUP('Données projet'!$B$13,Paramètres!$A$1:$I$89,5,0)</f>
        <v>287.6149999999999</v>
      </c>
      <c r="CV118" s="14">
        <f t="shared" si="95"/>
        <v>68.573755499365689</v>
      </c>
      <c r="CW118" s="22">
        <f t="shared" si="67"/>
        <v>620.36208249472838</v>
      </c>
      <c r="CX118" s="62">
        <f t="shared" si="68"/>
        <v>901.4437880378257</v>
      </c>
      <c r="CY118" s="62">
        <f ca="1">AVERAGE(OFFSET($CX$3,0,0,'Données projet'!$E$13+1,1))-AVERAGE(OFFSET($H$3,0,0,'Données projet'!$E$13+1,1))</f>
        <v>491.87038198656927</v>
      </c>
      <c r="CZ118" s="62">
        <f t="shared" si="96"/>
        <v>406.49261644949559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0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4.5</v>
      </c>
      <c r="DO118" s="13">
        <f>IF('Données projet'!$A$166&gt;35,DO117+DN118-DW117,IF(A118&lt;'Données projet'!$A$166,$DL$205^A118,IF(A118='Données projet'!$A$166,'Données projet'!$B$166,DO117+DN118-DW117)))</f>
        <v>329.49999999999989</v>
      </c>
      <c r="DP118" s="18">
        <f>DO118*VLOOKUP('Données projet'!$B$14,Paramètres!$A$1:$I$89,3,0)*VLOOKUP('Données projet'!$B$14,Paramètres!$A$1:$I$89,5,0)</f>
        <v>318.69239999999991</v>
      </c>
      <c r="DQ118" s="14">
        <f t="shared" si="97"/>
        <v>75.081217250277518</v>
      </c>
      <c r="DR118" s="22">
        <f t="shared" si="70"/>
        <v>685.82238337756644</v>
      </c>
      <c r="DS118" s="62">
        <f t="shared" si="71"/>
        <v>966.90408892066375</v>
      </c>
      <c r="DT118" s="62">
        <f ca="1">AVERAGE(OFFSET($DS$3,0,0,'Données projet'!$E$14+1,1))-AVERAGE(OFFSET($H$3,0,0,'Données projet'!$E$14+1,1))</f>
        <v>603.52431522262032</v>
      </c>
      <c r="DU118" s="62">
        <f t="shared" si="98"/>
        <v>313.56299786481338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projet'!$B$14,Paramètres!$A$1:$I$89,3,0)*0.475*44/12</f>
        <v>0</v>
      </c>
      <c r="EB118" s="23">
        <f>EXP(-LN(2)/25)*EB117+(1-EXP(-LN(2)/25))/(LN(2)/25)*Calculateur!DW118*Calculateur!DY118*VLOOKUP('Données projet'!$B$14,Paramètres!$A$1:$I$89,3,0)*0.475*44/12</f>
        <v>0</v>
      </c>
      <c r="EC118" s="23">
        <f>EXP(-LN(2)/2)*EC117+(1-EXP(-LN(2)/2))/(LN(2)/2)*DW118*DZ118*VLOOKUP('Données projet'!$B$14,Paramètres!$A$1:$I$89,3,0)*0.475*44/12</f>
        <v>0</v>
      </c>
      <c r="ED118" s="24">
        <f t="shared" si="72"/>
        <v>0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-1.1368683772161603E-13</v>
      </c>
      <c r="EK118" s="18">
        <f>EJ118*VLOOKUP('Données projet'!$B$15,Paramètres!$A$1:$I$89,3,0)*VLOOKUP('Données projet'!$B$15,Paramètres!$A$1:$I$89,5,0)</f>
        <v>-9.2222762759774927E-14</v>
      </c>
      <c r="EL118" s="14" t="e">
        <f t="shared" si="99"/>
        <v>#NUM!</v>
      </c>
      <c r="EM118" s="22" t="e">
        <f t="shared" si="73"/>
        <v>#NUM!</v>
      </c>
      <c r="EN118" s="62" t="e">
        <f t="shared" si="74"/>
        <v>#NUM!</v>
      </c>
      <c r="EO118" s="62">
        <f ca="1">AVERAGE(OFFSET($EN$3,0,0,'Données projet'!$E$15+1,1))-AVERAGE(OFFSET($H$3,0,0,'Données projet'!$E$15+1,1))</f>
        <v>272.69564942740931</v>
      </c>
      <c r="EP118" s="62">
        <f t="shared" si="100"/>
        <v>316.57989180609252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>
        <f>EXP(-LN(2)/35)*EV117+(1-EXP(-LN(2)/35))/(LN(2)/35)*ER118*ES118*VLOOKUP('Données projet'!$B$15,Paramètres!$A$1:$I$89,3,0)*0.475*44/12</f>
        <v>0</v>
      </c>
      <c r="EW118" s="23">
        <f>EXP(-LN(2)/25)*EW117+(1-EXP(-LN(2)/25))/(LN(2)/25)*Calculateur!ER118*Calculateur!ET118*VLOOKUP('Données projet'!$B$15,Paramètres!$A$1:$I$89,3,0)*0.475*44/12</f>
        <v>0</v>
      </c>
      <c r="EX118" s="23">
        <f>EXP(-LN(2)/2)*EX117+(1-EXP(-LN(2)/2))/(LN(2)/2)*ER118*EU118*VLOOKUP('Données projet'!$B$15,Paramètres!$A$1:$I$89,3,0)*0.475*44/12</f>
        <v>0</v>
      </c>
      <c r="EY118" s="24">
        <f t="shared" si="75"/>
        <v>0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-3.4106051316484809E-13</v>
      </c>
      <c r="FF118" s="18">
        <f>FE118*VLOOKUP('Données projet'!$B$16,Paramètres!$A$1:$I$89,3,0)*VLOOKUP('Données projet'!$B$16,Paramètres!$A$1:$I$89,5,0)</f>
        <v>-2.2878339223098009E-13</v>
      </c>
      <c r="FG118" s="14" t="e">
        <f t="shared" si="101"/>
        <v>#NUM!</v>
      </c>
      <c r="FH118" s="22" t="e">
        <f t="shared" si="76"/>
        <v>#NUM!</v>
      </c>
      <c r="FI118" s="62" t="e">
        <f t="shared" si="77"/>
        <v>#NUM!</v>
      </c>
      <c r="FJ118" s="62">
        <f ca="1">AVERAGE(OFFSET($FI$3,0,0,'Données projet'!$E$16+1,1))-AVERAGE(OFFSET($H$3,0,0,'Données projet'!$E$16+1,1))</f>
        <v>440.90856392064205</v>
      </c>
      <c r="FK118" s="62">
        <f t="shared" si="102"/>
        <v>373.33139300970629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>
        <f>EXP(-LN(2)/35)*FQ117+(1-EXP(-LN(2)/35))/(LN(2)/35)*FM118*FN118*VLOOKUP('Données projet'!$B$16,Paramètres!$A$1:$I$89,3,0)*0.475*44/12</f>
        <v>0</v>
      </c>
      <c r="FR118" s="23">
        <f>EXP(-LN(2)/25)*FR117+(1-EXP(-LN(2)/25))/(LN(2)/25)*Calculateur!FM118*Calculateur!FO118*VLOOKUP('Données projet'!$B$16,Paramètres!$A$1:$I$89,3,0)*0.475*44/12</f>
        <v>0</v>
      </c>
      <c r="FS118" s="23">
        <f>EXP(-LN(2)/2)*FS117+(1-EXP(-LN(2)/2))/(LN(2)/2)*FM118*FP118*VLOOKUP('Données projet'!$B$16,Paramètres!$A$1:$I$89,3,0)*0.475*44/12</f>
        <v>0</v>
      </c>
      <c r="FT118" s="24">
        <f t="shared" si="78"/>
        <v>0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70">
        <f t="shared" si="56"/>
        <v>183.33333333333334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4.5</v>
      </c>
      <c r="N119" s="14">
        <f>IF('Données projet'!$A$36&gt;35,N118+M119-V118,IF(A119&lt;'Données projet'!$A$36,$K$205^A119,IF(A119='Données projet'!$A$36,'Données projet'!$B$36,N118+M119-V118)))</f>
        <v>333.99999999999989</v>
      </c>
      <c r="O119" s="14">
        <f>N119*VLOOKUP('Données projet'!$B$9,Paramètres!$A$1:$I$89,3,0)*VLOOKUP('Données projet'!$B$9,Paramètres!$A$1:$I$89,5,0)</f>
        <v>302.20319999999987</v>
      </c>
      <c r="P119" s="14">
        <f t="shared" si="87"/>
        <v>71.638141943842228</v>
      </c>
      <c r="Q119" s="22">
        <f t="shared" si="107"/>
        <v>651.10700388552493</v>
      </c>
      <c r="R119" s="62">
        <f t="shared" si="55"/>
        <v>932.40124778024642</v>
      </c>
      <c r="S119" s="62">
        <f ca="1">AVERAGE(OFFSET($R$3,0,0,'Données projet'!$E$9+1,1))-AVERAGE(OFFSET($H$3,0,0,'Données projet'!$E$9+1,1))</f>
        <v>570.08763950759544</v>
      </c>
      <c r="T119" s="62">
        <f t="shared" si="88"/>
        <v>297.32483725004136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-2.2737367544323206E-13</v>
      </c>
      <c r="AJ119" s="14">
        <f>AI119*VLOOKUP('Données projet'!$B$10,Paramètres!$A$1:$I$89,3,0)*VLOOKUP('Données projet'!$B$10,Paramètres!$A$1:$I$89,5,0)</f>
        <v>-1.8089849618263545E-13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394.70330963327166</v>
      </c>
      <c r="AO119" s="62">
        <f t="shared" si="90"/>
        <v>424.06445894109982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-2.2737367544323206E-13</v>
      </c>
      <c r="BE119" s="14">
        <f>BD119*VLOOKUP('Données projet'!$B$11,Paramètres!$A$1:$I$89,3,0)*VLOOKUP('Données projet'!$B$11,Paramètres!$A$1:$I$89,5,0)</f>
        <v>-1.6671037883497774E-13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368.54671978064204</v>
      </c>
      <c r="BJ119" s="62">
        <f t="shared" si="92"/>
        <v>395.83504504492237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5.6843418860808015E-14</v>
      </c>
      <c r="BZ119" s="14">
        <f>BY119*VLOOKUP('Données projet'!$B$12,Paramètres!$A$1:$I$89,3,0)*VLOOKUP('Données projet'!$B$12,Paramètres!$A$1:$I$89,5,0)</f>
        <v>4.4337866711430253E-14</v>
      </c>
      <c r="CA119" s="14">
        <f t="shared" si="93"/>
        <v>7.3222115536967035E-13</v>
      </c>
      <c r="CB119" s="22">
        <f t="shared" si="64"/>
        <v>1.3525069634579169E-12</v>
      </c>
      <c r="CC119" s="62">
        <f t="shared" si="65"/>
        <v>281.29424389472285</v>
      </c>
      <c r="CD119" s="62">
        <f ca="1">AVERAGE(OFFSET($CC$3,0,0,'Données projet'!$E$12+1,1))-AVERAGE(OFFSET($H$3,0,0,'Données projet'!$E$12+1,1))</f>
        <v>309.21625451786218</v>
      </c>
      <c r="CE119" s="62">
        <f t="shared" si="94"/>
        <v>302.59481222418219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3.525641025641022</v>
      </c>
      <c r="CT119" s="13">
        <f>IF('Données projet'!$A$140&gt;35,CT118+CS119-DB118,IF(A119&lt;'Données projet'!$A$140,$CQ$205^A119,IF(A119='Données projet'!$A$140,'Données projet'!$B$140,CT118+CS119-DB118)))</f>
        <v>305.7692307692306</v>
      </c>
      <c r="CU119" s="18">
        <f>CT119*VLOOKUP('Données projet'!$B$13,Paramètres!$A$1:$I$89,3,0)*VLOOKUP('Données projet'!$B$13,Paramètres!$A$1:$I$89,5,0)</f>
        <v>290.96999999999986</v>
      </c>
      <c r="CV119" s="14">
        <f t="shared" si="95"/>
        <v>69.280074624245245</v>
      </c>
      <c r="CW119" s="22">
        <f t="shared" si="67"/>
        <v>627.43554663722682</v>
      </c>
      <c r="CX119" s="62">
        <f t="shared" si="68"/>
        <v>908.72979053194831</v>
      </c>
      <c r="CY119" s="62">
        <f ca="1">AVERAGE(OFFSET($CX$3,0,0,'Données projet'!$E$13+1,1))-AVERAGE(OFFSET($H$3,0,0,'Données projet'!$E$13+1,1))</f>
        <v>491.87038198656927</v>
      </c>
      <c r="CZ119" s="62">
        <f t="shared" si="96"/>
        <v>406.49261644949559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0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4.5</v>
      </c>
      <c r="DO119" s="13">
        <f>IF('Données projet'!$A$166&gt;35,DO118+DN119-DW118,IF(A119&lt;'Données projet'!$A$166,$DL$205^A119,IF(A119='Données projet'!$A$166,'Données projet'!$B$166,DO118+DN119-DW118)))</f>
        <v>333.99999999999989</v>
      </c>
      <c r="DP119" s="18">
        <f>DO119*VLOOKUP('Données projet'!$B$14,Paramètres!$A$1:$I$89,3,0)*VLOOKUP('Données projet'!$B$14,Paramètres!$A$1:$I$89,5,0)</f>
        <v>323.0447999999999</v>
      </c>
      <c r="DQ119" s="14">
        <f t="shared" si="97"/>
        <v>75.986533921791832</v>
      </c>
      <c r="DR119" s="22">
        <f t="shared" si="70"/>
        <v>694.97957324712058</v>
      </c>
      <c r="DS119" s="62">
        <f t="shared" si="71"/>
        <v>976.27381714184207</v>
      </c>
      <c r="DT119" s="62">
        <f ca="1">AVERAGE(OFFSET($DS$3,0,0,'Données projet'!$E$14+1,1))-AVERAGE(OFFSET($H$3,0,0,'Données projet'!$E$14+1,1))</f>
        <v>603.52431522262032</v>
      </c>
      <c r="DU119" s="62">
        <f t="shared" si="98"/>
        <v>313.56299786481338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projet'!$B$14,Paramètres!$A$1:$I$89,3,0)*0.475*44/12</f>
        <v>0</v>
      </c>
      <c r="EB119" s="23">
        <f>EXP(-LN(2)/25)*EB118+(1-EXP(-LN(2)/25))/(LN(2)/25)*Calculateur!DW119*Calculateur!DY119*VLOOKUP('Données projet'!$B$14,Paramètres!$A$1:$I$89,3,0)*0.475*44/12</f>
        <v>0</v>
      </c>
      <c r="EC119" s="23">
        <f>EXP(-LN(2)/2)*EC118+(1-EXP(-LN(2)/2))/(LN(2)/2)*DW119*DZ119*VLOOKUP('Données projet'!$B$14,Paramètres!$A$1:$I$89,3,0)*0.475*44/12</f>
        <v>0</v>
      </c>
      <c r="ED119" s="24">
        <f t="shared" si="72"/>
        <v>0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-1.1368683772161603E-13</v>
      </c>
      <c r="EK119" s="18">
        <f>EJ119*VLOOKUP('Données projet'!$B$15,Paramètres!$A$1:$I$89,3,0)*VLOOKUP('Données projet'!$B$15,Paramètres!$A$1:$I$89,5,0)</f>
        <v>-9.2222762759774927E-14</v>
      </c>
      <c r="EL119" s="14" t="e">
        <f t="shared" si="99"/>
        <v>#NUM!</v>
      </c>
      <c r="EM119" s="22" t="e">
        <f t="shared" si="73"/>
        <v>#NUM!</v>
      </c>
      <c r="EN119" s="62" t="e">
        <f t="shared" si="74"/>
        <v>#NUM!</v>
      </c>
      <c r="EO119" s="62">
        <f ca="1">AVERAGE(OFFSET($EN$3,0,0,'Données projet'!$E$15+1,1))-AVERAGE(OFFSET($H$3,0,0,'Données projet'!$E$15+1,1))</f>
        <v>272.69564942740931</v>
      </c>
      <c r="EP119" s="62">
        <f t="shared" si="100"/>
        <v>316.57989180609252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>
        <f>EXP(-LN(2)/35)*EV118+(1-EXP(-LN(2)/35))/(LN(2)/35)*ER119*ES119*VLOOKUP('Données projet'!$B$15,Paramètres!$A$1:$I$89,3,0)*0.475*44/12</f>
        <v>0</v>
      </c>
      <c r="EW119" s="23">
        <f>EXP(-LN(2)/25)*EW118+(1-EXP(-LN(2)/25))/(LN(2)/25)*Calculateur!ER119*Calculateur!ET119*VLOOKUP('Données projet'!$B$15,Paramètres!$A$1:$I$89,3,0)*0.475*44/12</f>
        <v>0</v>
      </c>
      <c r="EX119" s="23">
        <f>EXP(-LN(2)/2)*EX118+(1-EXP(-LN(2)/2))/(LN(2)/2)*ER119*EU119*VLOOKUP('Données projet'!$B$15,Paramètres!$A$1:$I$89,3,0)*0.475*44/12</f>
        <v>0</v>
      </c>
      <c r="EY119" s="24">
        <f t="shared" si="75"/>
        <v>0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-3.4106051316484809E-13</v>
      </c>
      <c r="FF119" s="18">
        <f>FE119*VLOOKUP('Données projet'!$B$16,Paramètres!$A$1:$I$89,3,0)*VLOOKUP('Données projet'!$B$16,Paramètres!$A$1:$I$89,5,0)</f>
        <v>-2.2878339223098009E-13</v>
      </c>
      <c r="FG119" s="14" t="e">
        <f t="shared" si="101"/>
        <v>#NUM!</v>
      </c>
      <c r="FH119" s="22" t="e">
        <f t="shared" si="76"/>
        <v>#NUM!</v>
      </c>
      <c r="FI119" s="62" t="e">
        <f t="shared" si="77"/>
        <v>#NUM!</v>
      </c>
      <c r="FJ119" s="62">
        <f ca="1">AVERAGE(OFFSET($FI$3,0,0,'Données projet'!$E$16+1,1))-AVERAGE(OFFSET($H$3,0,0,'Données projet'!$E$16+1,1))</f>
        <v>440.90856392064205</v>
      </c>
      <c r="FK119" s="62">
        <f t="shared" si="102"/>
        <v>373.33139300970629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>
        <f>EXP(-LN(2)/35)*FQ118+(1-EXP(-LN(2)/35))/(LN(2)/35)*FM119*FN119*VLOOKUP('Données projet'!$B$16,Paramètres!$A$1:$I$89,3,0)*0.475*44/12</f>
        <v>0</v>
      </c>
      <c r="FR119" s="23">
        <f>EXP(-LN(2)/25)*FR118+(1-EXP(-LN(2)/25))/(LN(2)/25)*Calculateur!FM119*Calculateur!FO119*VLOOKUP('Données projet'!$B$16,Paramètres!$A$1:$I$89,3,0)*0.475*44/12</f>
        <v>0</v>
      </c>
      <c r="FS119" s="23">
        <f>EXP(-LN(2)/2)*FS118+(1-EXP(-LN(2)/2))/(LN(2)/2)*FM119*FP119*VLOOKUP('Données projet'!$B$16,Paramètres!$A$1:$I$89,3,0)*0.475*44/12</f>
        <v>0</v>
      </c>
      <c r="FT119" s="24">
        <f t="shared" si="78"/>
        <v>0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70">
        <f t="shared" si="56"/>
        <v>183.33333333333334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4.5</v>
      </c>
      <c r="N120" s="14">
        <f>IF('Données projet'!$A$36&gt;35,N119+M120-V119,IF(A120&lt;'Données projet'!$A$36,$K$205^A120,IF(A120='Données projet'!$A$36,'Données projet'!$B$36,N119+M120-V119)))</f>
        <v>338.49999999999989</v>
      </c>
      <c r="O120" s="14">
        <f>N120*VLOOKUP('Données projet'!$B$9,Paramètres!$A$1:$I$89,3,0)*VLOOKUP('Données projet'!$B$9,Paramètres!$A$1:$I$89,5,0)</f>
        <v>306.27479999999991</v>
      </c>
      <c r="P120" s="14">
        <f t="shared" si="87"/>
        <v>72.490313602283052</v>
      </c>
      <c r="Q120" s="22">
        <f t="shared" si="107"/>
        <v>659.68257285730954</v>
      </c>
      <c r="R120" s="62">
        <f t="shared" si="55"/>
        <v>941.18566803841918</v>
      </c>
      <c r="S120" s="62">
        <f ca="1">AVERAGE(OFFSET($R$3,0,0,'Données projet'!$E$9+1,1))-AVERAGE(OFFSET($H$3,0,0,'Données projet'!$E$9+1,1))</f>
        <v>570.08763950759544</v>
      </c>
      <c r="T120" s="62">
        <f t="shared" si="88"/>
        <v>297.32483725004136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-2.2737367544323206E-13</v>
      </c>
      <c r="AJ120" s="14">
        <f>AI120*VLOOKUP('Données projet'!$B$10,Paramètres!$A$1:$I$89,3,0)*VLOOKUP('Données projet'!$B$10,Paramètres!$A$1:$I$89,5,0)</f>
        <v>-1.8089849618263545E-13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394.70330963327166</v>
      </c>
      <c r="AO120" s="62">
        <f t="shared" si="90"/>
        <v>424.06445894109982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-2.2737367544323206E-13</v>
      </c>
      <c r="BE120" s="14">
        <f>BD120*VLOOKUP('Données projet'!$B$11,Paramètres!$A$1:$I$89,3,0)*VLOOKUP('Données projet'!$B$11,Paramètres!$A$1:$I$89,5,0)</f>
        <v>-1.6671037883497774E-13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368.54671978064204</v>
      </c>
      <c r="BJ120" s="62">
        <f t="shared" si="92"/>
        <v>395.83504504492237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5.6843418860808015E-14</v>
      </c>
      <c r="BZ120" s="14">
        <f>BY120*VLOOKUP('Données projet'!$B$12,Paramètres!$A$1:$I$89,3,0)*VLOOKUP('Données projet'!$B$12,Paramètres!$A$1:$I$89,5,0)</f>
        <v>4.4337866711430253E-14</v>
      </c>
      <c r="CA120" s="14">
        <f t="shared" si="93"/>
        <v>7.3222115536967035E-13</v>
      </c>
      <c r="CB120" s="22">
        <f t="shared" si="64"/>
        <v>1.3525069634579169E-12</v>
      </c>
      <c r="CC120" s="62">
        <f t="shared" si="65"/>
        <v>281.50309518111101</v>
      </c>
      <c r="CD120" s="62">
        <f ca="1">AVERAGE(OFFSET($CC$3,0,0,'Données projet'!$E$12+1,1))-AVERAGE(OFFSET($H$3,0,0,'Données projet'!$E$12+1,1))</f>
        <v>309.21625451786218</v>
      </c>
      <c r="CE120" s="62">
        <f t="shared" si="94"/>
        <v>302.59481222418219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3.525641025641022</v>
      </c>
      <c r="CT120" s="13">
        <f>IF('Données projet'!$A$140&gt;35,CT119+CS120-DB119,IF(A120&lt;'Données projet'!$A$140,$CQ$205^A120,IF(A120='Données projet'!$A$140,'Données projet'!$B$140,CT119+CS120-DB119)))</f>
        <v>309.2948717948716</v>
      </c>
      <c r="CU120" s="18">
        <f>CT120*VLOOKUP('Données projet'!$B$13,Paramètres!$A$1:$I$89,3,0)*VLOOKUP('Données projet'!$B$13,Paramètres!$A$1:$I$89,5,0)</f>
        <v>294.32499999999982</v>
      </c>
      <c r="CV120" s="14">
        <f t="shared" si="95"/>
        <v>69.985446384804291</v>
      </c>
      <c r="CW120" s="22">
        <f t="shared" si="67"/>
        <v>634.50736078686714</v>
      </c>
      <c r="CX120" s="62">
        <f t="shared" si="68"/>
        <v>916.01045596797678</v>
      </c>
      <c r="CY120" s="62">
        <f ca="1">AVERAGE(OFFSET($CX$3,0,0,'Données projet'!$E$13+1,1))-AVERAGE(OFFSET($H$3,0,0,'Données projet'!$E$13+1,1))</f>
        <v>491.87038198656927</v>
      </c>
      <c r="CZ120" s="62">
        <f t="shared" si="96"/>
        <v>406.49261644949559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0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4.5</v>
      </c>
      <c r="DO120" s="13">
        <f>IF('Données projet'!$A$166&gt;35,DO119+DN120-DW119,IF(A120&lt;'Données projet'!$A$166,$DL$205^A120,IF(A120='Données projet'!$A$166,'Données projet'!$B$166,DO119+DN120-DW119)))</f>
        <v>338.49999999999989</v>
      </c>
      <c r="DP120" s="18">
        <f>DO120*VLOOKUP('Données projet'!$B$14,Paramètres!$A$1:$I$89,3,0)*VLOOKUP('Données projet'!$B$14,Paramètres!$A$1:$I$89,5,0)</f>
        <v>327.39719999999988</v>
      </c>
      <c r="DQ120" s="14">
        <f t="shared" si="97"/>
        <v>76.890431885561796</v>
      </c>
      <c r="DR120" s="22">
        <f t="shared" si="70"/>
        <v>704.13429220068656</v>
      </c>
      <c r="DS120" s="62">
        <f t="shared" si="71"/>
        <v>985.6373873817962</v>
      </c>
      <c r="DT120" s="62">
        <f ca="1">AVERAGE(OFFSET($DS$3,0,0,'Données projet'!$E$14+1,1))-AVERAGE(OFFSET($H$3,0,0,'Données projet'!$E$14+1,1))</f>
        <v>603.52431522262032</v>
      </c>
      <c r="DU120" s="62">
        <f t="shared" si="98"/>
        <v>313.56299786481338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projet'!$B$14,Paramètres!$A$1:$I$89,3,0)*0.475*44/12</f>
        <v>0</v>
      </c>
      <c r="EB120" s="23">
        <f>EXP(-LN(2)/25)*EB119+(1-EXP(-LN(2)/25))/(LN(2)/25)*Calculateur!DW120*Calculateur!DY120*VLOOKUP('Données projet'!$B$14,Paramètres!$A$1:$I$89,3,0)*0.475*44/12</f>
        <v>0</v>
      </c>
      <c r="EC120" s="23">
        <f>EXP(-LN(2)/2)*EC119+(1-EXP(-LN(2)/2))/(LN(2)/2)*DW120*DZ120*VLOOKUP('Données projet'!$B$14,Paramètres!$A$1:$I$89,3,0)*0.475*44/12</f>
        <v>0</v>
      </c>
      <c r="ED120" s="24">
        <f t="shared" si="72"/>
        <v>0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-1.1368683772161603E-13</v>
      </c>
      <c r="EK120" s="18">
        <f>EJ120*VLOOKUP('Données projet'!$B$15,Paramètres!$A$1:$I$89,3,0)*VLOOKUP('Données projet'!$B$15,Paramètres!$A$1:$I$89,5,0)</f>
        <v>-9.2222762759774927E-14</v>
      </c>
      <c r="EL120" s="14" t="e">
        <f t="shared" si="99"/>
        <v>#NUM!</v>
      </c>
      <c r="EM120" s="22" t="e">
        <f t="shared" si="73"/>
        <v>#NUM!</v>
      </c>
      <c r="EN120" s="62" t="e">
        <f t="shared" si="74"/>
        <v>#NUM!</v>
      </c>
      <c r="EO120" s="62">
        <f ca="1">AVERAGE(OFFSET($EN$3,0,0,'Données projet'!$E$15+1,1))-AVERAGE(OFFSET($H$3,0,0,'Données projet'!$E$15+1,1))</f>
        <v>272.69564942740931</v>
      </c>
      <c r="EP120" s="62">
        <f t="shared" si="100"/>
        <v>316.57989180609252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>
        <f>EXP(-LN(2)/35)*EV119+(1-EXP(-LN(2)/35))/(LN(2)/35)*ER120*ES120*VLOOKUP('Données projet'!$B$15,Paramètres!$A$1:$I$89,3,0)*0.475*44/12</f>
        <v>0</v>
      </c>
      <c r="EW120" s="23">
        <f>EXP(-LN(2)/25)*EW119+(1-EXP(-LN(2)/25))/(LN(2)/25)*Calculateur!ER120*Calculateur!ET120*VLOOKUP('Données projet'!$B$15,Paramètres!$A$1:$I$89,3,0)*0.475*44/12</f>
        <v>0</v>
      </c>
      <c r="EX120" s="23">
        <f>EXP(-LN(2)/2)*EX119+(1-EXP(-LN(2)/2))/(LN(2)/2)*ER120*EU120*VLOOKUP('Données projet'!$B$15,Paramètres!$A$1:$I$89,3,0)*0.475*44/12</f>
        <v>0</v>
      </c>
      <c r="EY120" s="24">
        <f t="shared" si="75"/>
        <v>0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-3.4106051316484809E-13</v>
      </c>
      <c r="FF120" s="18">
        <f>FE120*VLOOKUP('Données projet'!$B$16,Paramètres!$A$1:$I$89,3,0)*VLOOKUP('Données projet'!$B$16,Paramètres!$A$1:$I$89,5,0)</f>
        <v>-2.2878339223098009E-13</v>
      </c>
      <c r="FG120" s="14" t="e">
        <f t="shared" si="101"/>
        <v>#NUM!</v>
      </c>
      <c r="FH120" s="22" t="e">
        <f t="shared" si="76"/>
        <v>#NUM!</v>
      </c>
      <c r="FI120" s="62" t="e">
        <f t="shared" si="77"/>
        <v>#NUM!</v>
      </c>
      <c r="FJ120" s="62">
        <f ca="1">AVERAGE(OFFSET($FI$3,0,0,'Données projet'!$E$16+1,1))-AVERAGE(OFFSET($H$3,0,0,'Données projet'!$E$16+1,1))</f>
        <v>440.90856392064205</v>
      </c>
      <c r="FK120" s="62">
        <f t="shared" si="102"/>
        <v>373.33139300970629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>
        <f>EXP(-LN(2)/35)*FQ119+(1-EXP(-LN(2)/35))/(LN(2)/35)*FM120*FN120*VLOOKUP('Données projet'!$B$16,Paramètres!$A$1:$I$89,3,0)*0.475*44/12</f>
        <v>0</v>
      </c>
      <c r="FR120" s="23">
        <f>EXP(-LN(2)/25)*FR119+(1-EXP(-LN(2)/25))/(LN(2)/25)*Calculateur!FM120*Calculateur!FO120*VLOOKUP('Données projet'!$B$16,Paramètres!$A$1:$I$89,3,0)*0.475*44/12</f>
        <v>0</v>
      </c>
      <c r="FS120" s="23">
        <f>EXP(-LN(2)/2)*FS119+(1-EXP(-LN(2)/2))/(LN(2)/2)*FM120*FP120*VLOOKUP('Données projet'!$B$16,Paramètres!$A$1:$I$89,3,0)*0.475*44/12</f>
        <v>0</v>
      </c>
      <c r="FT120" s="24">
        <f t="shared" si="78"/>
        <v>0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70">
        <f t="shared" si="56"/>
        <v>183.33333333333334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4.5</v>
      </c>
      <c r="N121" s="14">
        <f>IF('Données projet'!$A$36&gt;35,N120+M121-V120,IF(A121&lt;'Données projet'!$A$36,$K$205^A121,IF(A121='Données projet'!$A$36,'Données projet'!$B$36,N120+M121-V120)))</f>
        <v>342.99999999999989</v>
      </c>
      <c r="O121" s="14">
        <f>N121*VLOOKUP('Données projet'!$B$9,Paramètres!$A$1:$I$89,3,0)*VLOOKUP('Données projet'!$B$9,Paramètres!$A$1:$I$89,5,0)</f>
        <v>310.34639999999985</v>
      </c>
      <c r="P121" s="14">
        <f t="shared" si="87"/>
        <v>73.341167576152998</v>
      </c>
      <c r="Q121" s="22">
        <f t="shared" si="107"/>
        <v>668.25584686179957</v>
      </c>
      <c r="R121" s="62">
        <f t="shared" si="55"/>
        <v>949.96417022640003</v>
      </c>
      <c r="S121" s="62">
        <f ca="1">AVERAGE(OFFSET($R$3,0,0,'Données projet'!$E$9+1,1))-AVERAGE(OFFSET($H$3,0,0,'Données projet'!$E$9+1,1))</f>
        <v>570.08763950759544</v>
      </c>
      <c r="T121" s="62">
        <f t="shared" si="88"/>
        <v>297.32483725004136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-2.2737367544323206E-13</v>
      </c>
      <c r="AJ121" s="14">
        <f>AI121*VLOOKUP('Données projet'!$B$10,Paramètres!$A$1:$I$89,3,0)*VLOOKUP('Données projet'!$B$10,Paramètres!$A$1:$I$89,5,0)</f>
        <v>-1.8089849618263545E-13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394.70330963327166</v>
      </c>
      <c r="AO121" s="62">
        <f t="shared" si="90"/>
        <v>424.06445894109982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-2.2737367544323206E-13</v>
      </c>
      <c r="BE121" s="14">
        <f>BD121*VLOOKUP('Données projet'!$B$11,Paramètres!$A$1:$I$89,3,0)*VLOOKUP('Données projet'!$B$11,Paramètres!$A$1:$I$89,5,0)</f>
        <v>-1.6671037883497774E-13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368.54671978064204</v>
      </c>
      <c r="BJ121" s="62">
        <f t="shared" si="92"/>
        <v>395.83504504492237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5.6843418860808015E-14</v>
      </c>
      <c r="BZ121" s="14">
        <f>BY121*VLOOKUP('Données projet'!$B$12,Paramètres!$A$1:$I$89,3,0)*VLOOKUP('Données projet'!$B$12,Paramètres!$A$1:$I$89,5,0)</f>
        <v>4.4337866711430253E-14</v>
      </c>
      <c r="CA121" s="14">
        <f t="shared" si="93"/>
        <v>7.3222115536967035E-13</v>
      </c>
      <c r="CB121" s="22">
        <f t="shared" si="64"/>
        <v>1.3525069634579169E-12</v>
      </c>
      <c r="CC121" s="62">
        <f t="shared" si="65"/>
        <v>281.70832336460177</v>
      </c>
      <c r="CD121" s="62">
        <f ca="1">AVERAGE(OFFSET($CC$3,0,0,'Données projet'!$E$12+1,1))-AVERAGE(OFFSET($H$3,0,0,'Données projet'!$E$12+1,1))</f>
        <v>309.21625451786218</v>
      </c>
      <c r="CE121" s="62">
        <f t="shared" si="94"/>
        <v>302.59481222418219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3.525641025641022</v>
      </c>
      <c r="CT121" s="13">
        <f>IF('Données projet'!$A$140&gt;35,CT120+CS121-DB120,IF(A121&lt;'Données projet'!$A$140,$CQ$205^A121,IF(A121='Données projet'!$A$140,'Données projet'!$B$140,CT120+CS121-DB120)))</f>
        <v>312.82051282051259</v>
      </c>
      <c r="CU121" s="18">
        <f>CT121*VLOOKUP('Données projet'!$B$13,Paramètres!$A$1:$I$89,3,0)*VLOOKUP('Données projet'!$B$13,Paramètres!$A$1:$I$89,5,0)</f>
        <v>297.67999999999978</v>
      </c>
      <c r="CV121" s="14">
        <f t="shared" si="95"/>
        <v>70.689882829544416</v>
      </c>
      <c r="CW121" s="22">
        <f t="shared" si="67"/>
        <v>641.57754592812273</v>
      </c>
      <c r="CX121" s="62">
        <f t="shared" si="68"/>
        <v>923.28586929272319</v>
      </c>
      <c r="CY121" s="62">
        <f ca="1">AVERAGE(OFFSET($CX$3,0,0,'Données projet'!$E$13+1,1))-AVERAGE(OFFSET($H$3,0,0,'Données projet'!$E$13+1,1))</f>
        <v>491.87038198656927</v>
      </c>
      <c r="CZ121" s="62">
        <f t="shared" si="96"/>
        <v>406.49261644949559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0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4.5</v>
      </c>
      <c r="DO121" s="13">
        <f>IF('Données projet'!$A$166&gt;35,DO120+DN121-DW120,IF(A121&lt;'Données projet'!$A$166,$DL$205^A121,IF(A121='Données projet'!$A$166,'Données projet'!$B$166,DO120+DN121-DW120)))</f>
        <v>342.99999999999989</v>
      </c>
      <c r="DP121" s="18">
        <f>DO121*VLOOKUP('Données projet'!$B$14,Paramètres!$A$1:$I$89,3,0)*VLOOKUP('Données projet'!$B$14,Paramètres!$A$1:$I$89,5,0)</f>
        <v>331.74959999999993</v>
      </c>
      <c r="DQ121" s="14">
        <f t="shared" si="97"/>
        <v>77.792932182102803</v>
      </c>
      <c r="DR121" s="22">
        <f t="shared" si="70"/>
        <v>713.28657688382884</v>
      </c>
      <c r="DS121" s="62">
        <f t="shared" si="71"/>
        <v>994.9949002484293</v>
      </c>
      <c r="DT121" s="62">
        <f ca="1">AVERAGE(OFFSET($DS$3,0,0,'Données projet'!$E$14+1,1))-AVERAGE(OFFSET($H$3,0,0,'Données projet'!$E$14+1,1))</f>
        <v>603.52431522262032</v>
      </c>
      <c r="DU121" s="62">
        <f t="shared" si="98"/>
        <v>313.56299786481338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projet'!$B$14,Paramètres!$A$1:$I$89,3,0)*0.475*44/12</f>
        <v>0</v>
      </c>
      <c r="EB121" s="23">
        <f>EXP(-LN(2)/25)*EB120+(1-EXP(-LN(2)/25))/(LN(2)/25)*Calculateur!DW121*Calculateur!DY121*VLOOKUP('Données projet'!$B$14,Paramètres!$A$1:$I$89,3,0)*0.475*44/12</f>
        <v>0</v>
      </c>
      <c r="EC121" s="23">
        <f>EXP(-LN(2)/2)*EC120+(1-EXP(-LN(2)/2))/(LN(2)/2)*DW121*DZ121*VLOOKUP('Données projet'!$B$14,Paramètres!$A$1:$I$89,3,0)*0.475*44/12</f>
        <v>0</v>
      </c>
      <c r="ED121" s="24">
        <f t="shared" si="72"/>
        <v>0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-1.1368683772161603E-13</v>
      </c>
      <c r="EK121" s="18">
        <f>EJ121*VLOOKUP('Données projet'!$B$15,Paramètres!$A$1:$I$89,3,0)*VLOOKUP('Données projet'!$B$15,Paramètres!$A$1:$I$89,5,0)</f>
        <v>-9.2222762759774927E-14</v>
      </c>
      <c r="EL121" s="14" t="e">
        <f t="shared" si="99"/>
        <v>#NUM!</v>
      </c>
      <c r="EM121" s="22" t="e">
        <f t="shared" si="73"/>
        <v>#NUM!</v>
      </c>
      <c r="EN121" s="62" t="e">
        <f t="shared" si="74"/>
        <v>#NUM!</v>
      </c>
      <c r="EO121" s="62">
        <f ca="1">AVERAGE(OFFSET($EN$3,0,0,'Données projet'!$E$15+1,1))-AVERAGE(OFFSET($H$3,0,0,'Données projet'!$E$15+1,1))</f>
        <v>272.69564942740931</v>
      </c>
      <c r="EP121" s="62">
        <f t="shared" si="100"/>
        <v>316.57989180609252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>
        <f>EXP(-LN(2)/35)*EV120+(1-EXP(-LN(2)/35))/(LN(2)/35)*ER121*ES121*VLOOKUP('Données projet'!$B$15,Paramètres!$A$1:$I$89,3,0)*0.475*44/12</f>
        <v>0</v>
      </c>
      <c r="EW121" s="23">
        <f>EXP(-LN(2)/25)*EW120+(1-EXP(-LN(2)/25))/(LN(2)/25)*Calculateur!ER121*Calculateur!ET121*VLOOKUP('Données projet'!$B$15,Paramètres!$A$1:$I$89,3,0)*0.475*44/12</f>
        <v>0</v>
      </c>
      <c r="EX121" s="23">
        <f>EXP(-LN(2)/2)*EX120+(1-EXP(-LN(2)/2))/(LN(2)/2)*ER121*EU121*VLOOKUP('Données projet'!$B$15,Paramètres!$A$1:$I$89,3,0)*0.475*44/12</f>
        <v>0</v>
      </c>
      <c r="EY121" s="24">
        <f t="shared" si="75"/>
        <v>0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-3.4106051316484809E-13</v>
      </c>
      <c r="FF121" s="18">
        <f>FE121*VLOOKUP('Données projet'!$B$16,Paramètres!$A$1:$I$89,3,0)*VLOOKUP('Données projet'!$B$16,Paramètres!$A$1:$I$89,5,0)</f>
        <v>-2.2878339223098009E-13</v>
      </c>
      <c r="FG121" s="14" t="e">
        <f t="shared" si="101"/>
        <v>#NUM!</v>
      </c>
      <c r="FH121" s="22" t="e">
        <f t="shared" si="76"/>
        <v>#NUM!</v>
      </c>
      <c r="FI121" s="62" t="e">
        <f t="shared" si="77"/>
        <v>#NUM!</v>
      </c>
      <c r="FJ121" s="62">
        <f ca="1">AVERAGE(OFFSET($FI$3,0,0,'Données projet'!$E$16+1,1))-AVERAGE(OFFSET($H$3,0,0,'Données projet'!$E$16+1,1))</f>
        <v>440.90856392064205</v>
      </c>
      <c r="FK121" s="62">
        <f t="shared" si="102"/>
        <v>373.33139300970629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>
        <f>EXP(-LN(2)/35)*FQ120+(1-EXP(-LN(2)/35))/(LN(2)/35)*FM121*FN121*VLOOKUP('Données projet'!$B$16,Paramètres!$A$1:$I$89,3,0)*0.475*44/12</f>
        <v>0</v>
      </c>
      <c r="FR121" s="23">
        <f>EXP(-LN(2)/25)*FR120+(1-EXP(-LN(2)/25))/(LN(2)/25)*Calculateur!FM121*Calculateur!FO121*VLOOKUP('Données projet'!$B$16,Paramètres!$A$1:$I$89,3,0)*0.475*44/12</f>
        <v>0</v>
      </c>
      <c r="FS121" s="23">
        <f>EXP(-LN(2)/2)*FS120+(1-EXP(-LN(2)/2))/(LN(2)/2)*FM121*FP121*VLOOKUP('Données projet'!$B$16,Paramètres!$A$1:$I$89,3,0)*0.475*44/12</f>
        <v>0</v>
      </c>
      <c r="FT121" s="24">
        <f t="shared" si="78"/>
        <v>0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70">
        <f t="shared" si="56"/>
        <v>183.33333333333334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4.5</v>
      </c>
      <c r="N122" s="14">
        <f>IF('Données projet'!$A$36&gt;35,N121+M122-V121,IF(A122&lt;'Données projet'!$A$36,$K$205^A122,IF(A122='Données projet'!$A$36,'Données projet'!$B$36,N121+M122-V121)))</f>
        <v>347.49999999999989</v>
      </c>
      <c r="O122" s="14">
        <f>N122*VLOOKUP('Données projet'!$B$9,Paramètres!$A$1:$I$89,3,0)*VLOOKUP('Données projet'!$B$9,Paramètres!$A$1:$I$89,5,0)</f>
        <v>314.41799999999989</v>
      </c>
      <c r="P122" s="14">
        <f t="shared" si="87"/>
        <v>74.190723151497338</v>
      </c>
      <c r="Q122" s="22">
        <f t="shared" si="107"/>
        <v>676.82685948885762</v>
      </c>
      <c r="R122" s="62">
        <f t="shared" si="55"/>
        <v>958.73685078678682</v>
      </c>
      <c r="S122" s="62">
        <f ca="1">AVERAGE(OFFSET($R$3,0,0,'Données projet'!$E$9+1,1))-AVERAGE(OFFSET($H$3,0,0,'Données projet'!$E$9+1,1))</f>
        <v>570.08763950759544</v>
      </c>
      <c r="T122" s="62">
        <f t="shared" si="88"/>
        <v>297.32483725004136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-2.2737367544323206E-13</v>
      </c>
      <c r="AJ122" s="14">
        <f>AI122*VLOOKUP('Données projet'!$B$10,Paramètres!$A$1:$I$89,3,0)*VLOOKUP('Données projet'!$B$10,Paramètres!$A$1:$I$89,5,0)</f>
        <v>-1.8089849618263545E-13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394.70330963327166</v>
      </c>
      <c r="AO122" s="62">
        <f t="shared" si="90"/>
        <v>424.06445894109982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-2.2737367544323206E-13</v>
      </c>
      <c r="BE122" s="14">
        <f>BD122*VLOOKUP('Données projet'!$B$11,Paramètres!$A$1:$I$89,3,0)*VLOOKUP('Données projet'!$B$11,Paramètres!$A$1:$I$89,5,0)</f>
        <v>-1.6671037883497774E-13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368.54671978064204</v>
      </c>
      <c r="BJ122" s="62">
        <f t="shared" si="92"/>
        <v>395.83504504492237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5.6843418860808015E-14</v>
      </c>
      <c r="BZ122" s="14">
        <f>BY122*VLOOKUP('Données projet'!$B$12,Paramètres!$A$1:$I$89,3,0)*VLOOKUP('Données projet'!$B$12,Paramètres!$A$1:$I$89,5,0)</f>
        <v>4.4337866711430253E-14</v>
      </c>
      <c r="CA122" s="14">
        <f t="shared" si="93"/>
        <v>7.3222115536967035E-13</v>
      </c>
      <c r="CB122" s="22">
        <f t="shared" si="64"/>
        <v>1.3525069634579169E-12</v>
      </c>
      <c r="CC122" s="62">
        <f t="shared" si="65"/>
        <v>281.9099912979305</v>
      </c>
      <c r="CD122" s="62">
        <f ca="1">AVERAGE(OFFSET($CC$3,0,0,'Données projet'!$E$12+1,1))-AVERAGE(OFFSET($H$3,0,0,'Données projet'!$E$12+1,1))</f>
        <v>309.21625451786218</v>
      </c>
      <c r="CE122" s="62">
        <f t="shared" si="94"/>
        <v>302.59481222418219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3.525641025641022</v>
      </c>
      <c r="CT122" s="13">
        <f>IF('Données projet'!$A$140&gt;35,CT121+CS122-DB121,IF(A122&lt;'Données projet'!$A$140,$CQ$205^A122,IF(A122='Données projet'!$A$140,'Données projet'!$B$140,CT121+CS122-DB121)))</f>
        <v>316.34615384615358</v>
      </c>
      <c r="CU122" s="18">
        <f>CT122*VLOOKUP('Données projet'!$B$13,Paramètres!$A$1:$I$89,3,0)*VLOOKUP('Données projet'!$B$13,Paramètres!$A$1:$I$89,5,0)</f>
        <v>301.03499999999974</v>
      </c>
      <c r="CV122" s="14">
        <f t="shared" si="95"/>
        <v>71.393395719746465</v>
      </c>
      <c r="CW122" s="22">
        <f t="shared" si="67"/>
        <v>648.64612254522467</v>
      </c>
      <c r="CX122" s="62">
        <f t="shared" si="68"/>
        <v>930.55611384315375</v>
      </c>
      <c r="CY122" s="62">
        <f ca="1">AVERAGE(OFFSET($CX$3,0,0,'Données projet'!$E$13+1,1))-AVERAGE(OFFSET($H$3,0,0,'Données projet'!$E$13+1,1))</f>
        <v>491.87038198656927</v>
      </c>
      <c r="CZ122" s="62">
        <f t="shared" si="96"/>
        <v>406.49261644949559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0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4.5</v>
      </c>
      <c r="DO122" s="13">
        <f>IF('Données projet'!$A$166&gt;35,DO121+DN122-DW121,IF(A122&lt;'Données projet'!$A$166,$DL$205^A122,IF(A122='Données projet'!$A$166,'Données projet'!$B$166,DO121+DN122-DW121)))</f>
        <v>347.49999999999989</v>
      </c>
      <c r="DP122" s="18">
        <f>DO122*VLOOKUP('Données projet'!$B$14,Paramètres!$A$1:$I$89,3,0)*VLOOKUP('Données projet'!$B$14,Paramètres!$A$1:$I$89,5,0)</f>
        <v>336.10199999999992</v>
      </c>
      <c r="DQ122" s="14">
        <f t="shared" si="97"/>
        <v>78.694055268111313</v>
      </c>
      <c r="DR122" s="22">
        <f t="shared" si="70"/>
        <v>722.43646292529365</v>
      </c>
      <c r="DS122" s="62">
        <f t="shared" si="71"/>
        <v>1004.3464542232227</v>
      </c>
      <c r="DT122" s="62">
        <f ca="1">AVERAGE(OFFSET($DS$3,0,0,'Données projet'!$E$14+1,1))-AVERAGE(OFFSET($H$3,0,0,'Données projet'!$E$14+1,1))</f>
        <v>603.52431522262032</v>
      </c>
      <c r="DU122" s="62">
        <f t="shared" si="98"/>
        <v>313.56299786481338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projet'!$B$14,Paramètres!$A$1:$I$89,3,0)*0.475*44/12</f>
        <v>0</v>
      </c>
      <c r="EB122" s="23">
        <f>EXP(-LN(2)/25)*EB121+(1-EXP(-LN(2)/25))/(LN(2)/25)*Calculateur!DW122*Calculateur!DY122*VLOOKUP('Données projet'!$B$14,Paramètres!$A$1:$I$89,3,0)*0.475*44/12</f>
        <v>0</v>
      </c>
      <c r="EC122" s="23">
        <f>EXP(-LN(2)/2)*EC121+(1-EXP(-LN(2)/2))/(LN(2)/2)*DW122*DZ122*VLOOKUP('Données projet'!$B$14,Paramètres!$A$1:$I$89,3,0)*0.475*44/12</f>
        <v>0</v>
      </c>
      <c r="ED122" s="24">
        <f t="shared" si="72"/>
        <v>0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-1.1368683772161603E-13</v>
      </c>
      <c r="EK122" s="18">
        <f>EJ122*VLOOKUP('Données projet'!$B$15,Paramètres!$A$1:$I$89,3,0)*VLOOKUP('Données projet'!$B$15,Paramètres!$A$1:$I$89,5,0)</f>
        <v>-9.2222762759774927E-14</v>
      </c>
      <c r="EL122" s="14" t="e">
        <f t="shared" si="99"/>
        <v>#NUM!</v>
      </c>
      <c r="EM122" s="22" t="e">
        <f t="shared" si="73"/>
        <v>#NUM!</v>
      </c>
      <c r="EN122" s="62" t="e">
        <f t="shared" si="74"/>
        <v>#NUM!</v>
      </c>
      <c r="EO122" s="62">
        <f ca="1">AVERAGE(OFFSET($EN$3,0,0,'Données projet'!$E$15+1,1))-AVERAGE(OFFSET($H$3,0,0,'Données projet'!$E$15+1,1))</f>
        <v>272.69564942740931</v>
      </c>
      <c r="EP122" s="62">
        <f t="shared" si="100"/>
        <v>316.57989180609252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>
        <f>EXP(-LN(2)/35)*EV121+(1-EXP(-LN(2)/35))/(LN(2)/35)*ER122*ES122*VLOOKUP('Données projet'!$B$15,Paramètres!$A$1:$I$89,3,0)*0.475*44/12</f>
        <v>0</v>
      </c>
      <c r="EW122" s="23">
        <f>EXP(-LN(2)/25)*EW121+(1-EXP(-LN(2)/25))/(LN(2)/25)*Calculateur!ER122*Calculateur!ET122*VLOOKUP('Données projet'!$B$15,Paramètres!$A$1:$I$89,3,0)*0.475*44/12</f>
        <v>0</v>
      </c>
      <c r="EX122" s="23">
        <f>EXP(-LN(2)/2)*EX121+(1-EXP(-LN(2)/2))/(LN(2)/2)*ER122*EU122*VLOOKUP('Données projet'!$B$15,Paramètres!$A$1:$I$89,3,0)*0.475*44/12</f>
        <v>0</v>
      </c>
      <c r="EY122" s="24">
        <f t="shared" si="75"/>
        <v>0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-3.4106051316484809E-13</v>
      </c>
      <c r="FF122" s="18">
        <f>FE122*VLOOKUP('Données projet'!$B$16,Paramètres!$A$1:$I$89,3,0)*VLOOKUP('Données projet'!$B$16,Paramètres!$A$1:$I$89,5,0)</f>
        <v>-2.2878339223098009E-13</v>
      </c>
      <c r="FG122" s="14" t="e">
        <f t="shared" si="101"/>
        <v>#NUM!</v>
      </c>
      <c r="FH122" s="22" t="e">
        <f t="shared" si="76"/>
        <v>#NUM!</v>
      </c>
      <c r="FI122" s="62" t="e">
        <f t="shared" si="77"/>
        <v>#NUM!</v>
      </c>
      <c r="FJ122" s="62">
        <f ca="1">AVERAGE(OFFSET($FI$3,0,0,'Données projet'!$E$16+1,1))-AVERAGE(OFFSET($H$3,0,0,'Données projet'!$E$16+1,1))</f>
        <v>440.90856392064205</v>
      </c>
      <c r="FK122" s="62">
        <f t="shared" si="102"/>
        <v>373.33139300970629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>
        <f>EXP(-LN(2)/35)*FQ121+(1-EXP(-LN(2)/35))/(LN(2)/35)*FM122*FN122*VLOOKUP('Données projet'!$B$16,Paramètres!$A$1:$I$89,3,0)*0.475*44/12</f>
        <v>0</v>
      </c>
      <c r="FR122" s="23">
        <f>EXP(-LN(2)/25)*FR121+(1-EXP(-LN(2)/25))/(LN(2)/25)*Calculateur!FM122*Calculateur!FO122*VLOOKUP('Données projet'!$B$16,Paramètres!$A$1:$I$89,3,0)*0.475*44/12</f>
        <v>0</v>
      </c>
      <c r="FS122" s="23">
        <f>EXP(-LN(2)/2)*FS121+(1-EXP(-LN(2)/2))/(LN(2)/2)*FM122*FP122*VLOOKUP('Données projet'!$B$16,Paramètres!$A$1:$I$89,3,0)*0.475*44/12</f>
        <v>0</v>
      </c>
      <c r="FT122" s="24">
        <f t="shared" si="78"/>
        <v>0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70">
        <f t="shared" si="56"/>
        <v>183.33333333333334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>
        <f>VLOOKUP(A123,'Données projet'!$A$35:$I$55,2,0)</f>
        <v>352</v>
      </c>
      <c r="L123" s="13">
        <f>VLOOKUP(A123,'Données projet'!$A$35:$I$55,9,0)</f>
        <v>4.5</v>
      </c>
      <c r="M123" s="13">
        <f t="array" ref="M123">INDEX(L:L,MIN(IF(ISNUMBER(L123:L319),ROW(L123:L319),"")))</f>
        <v>4.5</v>
      </c>
      <c r="N123" s="14">
        <f>IF('Données projet'!$A$36&gt;35,N122+M123-V122,IF(A123&lt;'Données projet'!$A$36,$K$205^A123,IF(A123='Données projet'!$A$36,'Données projet'!$B$36,N122+M123-V122)))</f>
        <v>351.99999999999989</v>
      </c>
      <c r="O123" s="14">
        <f>N123*VLOOKUP('Données projet'!$B$9,Paramètres!$A$1:$I$89,3,0)*VLOOKUP('Données projet'!$B$9,Paramètres!$A$1:$I$89,5,0)</f>
        <v>318.48959999999988</v>
      </c>
      <c r="P123" s="14">
        <f t="shared" si="87"/>
        <v>75.038999086150227</v>
      </c>
      <c r="Q123" s="22">
        <f t="shared" si="107"/>
        <v>685.39564340837808</v>
      </c>
      <c r="R123" s="62">
        <f t="shared" si="55"/>
        <v>967.50380415185464</v>
      </c>
      <c r="S123" s="62">
        <f ca="1">AVERAGE(OFFSET($R$3,0,0,'Données projet'!$E$9+1,1))-AVERAGE(OFFSET($H$3,0,0,'Données projet'!$E$9+1,1))</f>
        <v>570.08763950759544</v>
      </c>
      <c r="T123" s="62">
        <f t="shared" si="88"/>
        <v>297.32483725004136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-2.2737367544323206E-13</v>
      </c>
      <c r="AJ123" s="14">
        <f>AI123*VLOOKUP('Données projet'!$B$10,Paramètres!$A$1:$I$89,3,0)*VLOOKUP('Données projet'!$B$10,Paramètres!$A$1:$I$89,5,0)</f>
        <v>-1.8089849618263545E-13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394.70330963327166</v>
      </c>
      <c r="AO123" s="62">
        <f t="shared" si="90"/>
        <v>424.06445894109982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-2.2737367544323206E-13</v>
      </c>
      <c r="BE123" s="14">
        <f>BD123*VLOOKUP('Données projet'!$B$11,Paramètres!$A$1:$I$89,3,0)*VLOOKUP('Données projet'!$B$11,Paramètres!$A$1:$I$89,5,0)</f>
        <v>-1.6671037883497774E-13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368.54671978064204</v>
      </c>
      <c r="BJ123" s="62">
        <f t="shared" si="92"/>
        <v>395.83504504492237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5.6843418860808015E-14</v>
      </c>
      <c r="BZ123" s="14">
        <f>BY123*VLOOKUP('Données projet'!$B$12,Paramètres!$A$1:$I$89,3,0)*VLOOKUP('Données projet'!$B$12,Paramètres!$A$1:$I$89,5,0)</f>
        <v>4.4337866711430253E-14</v>
      </c>
      <c r="CA123" s="14">
        <f t="shared" si="93"/>
        <v>7.3222115536967035E-13</v>
      </c>
      <c r="CB123" s="22">
        <f t="shared" si="64"/>
        <v>1.3525069634579169E-12</v>
      </c>
      <c r="CC123" s="62">
        <f t="shared" si="65"/>
        <v>282.10816074347798</v>
      </c>
      <c r="CD123" s="62">
        <f ca="1">AVERAGE(OFFSET($CC$3,0,0,'Données projet'!$E$12+1,1))-AVERAGE(OFFSET($H$3,0,0,'Données projet'!$E$12+1,1))</f>
        <v>309.21625451786218</v>
      </c>
      <c r="CE123" s="62">
        <f t="shared" si="94"/>
        <v>302.59481222418219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>
        <f>VLOOKUP(A123,'Données projet'!$A$139:$I$159,2,0)</f>
        <v>319.87179487179486</v>
      </c>
      <c r="CR123" s="13">
        <f>VLOOKUP(A123,'Données projet'!$A$139:$I$159,9,0)</f>
        <v>3.525641025641022</v>
      </c>
      <c r="CS123" s="13">
        <f t="array" ref="CS123">INDEX(CR:CR,MIN(IF(ISNUMBER(CR123:CR319),ROW(CR123:CR319),"")))</f>
        <v>3.525641025641022</v>
      </c>
      <c r="CT123" s="13">
        <f>IF('Données projet'!$A$140&gt;35,CT122+CS123-DB122,IF(A123&lt;'Données projet'!$A$140,$CQ$205^A123,IF(A123='Données projet'!$A$140,'Données projet'!$B$140,CT122+CS123-DB122)))</f>
        <v>319.87179487179458</v>
      </c>
      <c r="CU123" s="18">
        <f>CT123*VLOOKUP('Données projet'!$B$13,Paramètres!$A$1:$I$89,3,0)*VLOOKUP('Données projet'!$B$13,Paramètres!$A$1:$I$89,5,0)</f>
        <v>304.3899999999997</v>
      </c>
      <c r="CV123" s="14">
        <f t="shared" si="95"/>
        <v>72.095996539440193</v>
      </c>
      <c r="CW123" s="22">
        <f t="shared" si="67"/>
        <v>655.71311063952442</v>
      </c>
      <c r="CX123" s="62">
        <f t="shared" si="68"/>
        <v>937.82127138300098</v>
      </c>
      <c r="CY123" s="62">
        <f ca="1">AVERAGE(OFFSET($CX$3,0,0,'Données projet'!$E$13+1,1))-AVERAGE(OFFSET($H$3,0,0,'Données projet'!$E$13+1,1))</f>
        <v>491.87038198656927</v>
      </c>
      <c r="CZ123" s="62">
        <f t="shared" si="96"/>
        <v>406.49261644949559</v>
      </c>
      <c r="DA123" s="16">
        <f>IF(ISNA(VLOOKUP(A123,'Données projet'!$A$139:$I$159,3,0)),0,VLOOKUP(A123,'Données projet'!$A$139:$I$159,3,0))</f>
        <v>11</v>
      </c>
      <c r="DB123" s="16">
        <f>IF(ISNA(VLOOKUP(A123,'Données projet'!$A$139:$I$159,4,0)),0,VLOOKUP(A123,'Données projet'!$A$139:$I$159,4,0))</f>
        <v>319.87179487179486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0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>
        <f>VLOOKUP(A123,'Données projet'!$A$165:$I$185,2,0)</f>
        <v>352</v>
      </c>
      <c r="DM123" s="13">
        <f>VLOOKUP(A123,'Données projet'!$A$165:$I$185,9,0)</f>
        <v>4.5</v>
      </c>
      <c r="DN123" s="13">
        <f t="array" ref="DN123">INDEX(DM:DM,MIN(IF(ISNUMBER(DM123:DM319),ROW(DM123:DM319),"")))</f>
        <v>4.5</v>
      </c>
      <c r="DO123" s="13">
        <f>IF('Données projet'!$A$166&gt;35,DO122+DN123-DW122,IF(A123&lt;'Données projet'!$A$166,$DL$205^A123,IF(A123='Données projet'!$A$166,'Données projet'!$B$166,DO122+DN123-DW122)))</f>
        <v>351.99999999999989</v>
      </c>
      <c r="DP123" s="18">
        <f>DO123*VLOOKUP('Données projet'!$B$14,Paramètres!$A$1:$I$89,3,0)*VLOOKUP('Données projet'!$B$14,Paramètres!$A$1:$I$89,5,0)</f>
        <v>340.45439999999991</v>
      </c>
      <c r="DQ123" s="14">
        <f t="shared" si="97"/>
        <v>79.593821040010667</v>
      </c>
      <c r="DR123" s="22">
        <f t="shared" si="70"/>
        <v>731.58398497801829</v>
      </c>
      <c r="DS123" s="62">
        <f t="shared" si="71"/>
        <v>1013.6921457214949</v>
      </c>
      <c r="DT123" s="62">
        <f ca="1">AVERAGE(OFFSET($DS$3,0,0,'Données projet'!$E$14+1,1))-AVERAGE(OFFSET($H$3,0,0,'Données projet'!$E$14+1,1))</f>
        <v>603.52431522262032</v>
      </c>
      <c r="DU123" s="62">
        <f t="shared" si="98"/>
        <v>313.56299786481338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projet'!$B$14,Paramètres!$A$1:$I$89,3,0)*0.475*44/12</f>
        <v>0</v>
      </c>
      <c r="EB123" s="23">
        <f>EXP(-LN(2)/25)*EB122+(1-EXP(-LN(2)/25))/(LN(2)/25)*Calculateur!DW123*Calculateur!DY123*VLOOKUP('Données projet'!$B$14,Paramètres!$A$1:$I$89,3,0)*0.475*44/12</f>
        <v>0</v>
      </c>
      <c r="EC123" s="23">
        <f>EXP(-LN(2)/2)*EC122+(1-EXP(-LN(2)/2))/(LN(2)/2)*DW123*DZ123*VLOOKUP('Données projet'!$B$14,Paramètres!$A$1:$I$89,3,0)*0.475*44/12</f>
        <v>0</v>
      </c>
      <c r="ED123" s="24">
        <f t="shared" si="72"/>
        <v>0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-1.1368683772161603E-13</v>
      </c>
      <c r="EK123" s="18">
        <f>EJ123*VLOOKUP('Données projet'!$B$15,Paramètres!$A$1:$I$89,3,0)*VLOOKUP('Données projet'!$B$15,Paramètres!$A$1:$I$89,5,0)</f>
        <v>-9.2222762759774927E-14</v>
      </c>
      <c r="EL123" s="14" t="e">
        <f t="shared" si="99"/>
        <v>#NUM!</v>
      </c>
      <c r="EM123" s="22" t="e">
        <f t="shared" si="73"/>
        <v>#NUM!</v>
      </c>
      <c r="EN123" s="62" t="e">
        <f t="shared" si="74"/>
        <v>#NUM!</v>
      </c>
      <c r="EO123" s="62">
        <f ca="1">AVERAGE(OFFSET($EN$3,0,0,'Données projet'!$E$15+1,1))-AVERAGE(OFFSET($H$3,0,0,'Données projet'!$E$15+1,1))</f>
        <v>272.69564942740931</v>
      </c>
      <c r="EP123" s="62">
        <f t="shared" si="100"/>
        <v>316.57989180609252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>
        <f>EXP(-LN(2)/35)*EV122+(1-EXP(-LN(2)/35))/(LN(2)/35)*ER123*ES123*VLOOKUP('Données projet'!$B$15,Paramètres!$A$1:$I$89,3,0)*0.475*44/12</f>
        <v>0</v>
      </c>
      <c r="EW123" s="23">
        <f>EXP(-LN(2)/25)*EW122+(1-EXP(-LN(2)/25))/(LN(2)/25)*Calculateur!ER123*Calculateur!ET123*VLOOKUP('Données projet'!$B$15,Paramètres!$A$1:$I$89,3,0)*0.475*44/12</f>
        <v>0</v>
      </c>
      <c r="EX123" s="23">
        <f>EXP(-LN(2)/2)*EX122+(1-EXP(-LN(2)/2))/(LN(2)/2)*ER123*EU123*VLOOKUP('Données projet'!$B$15,Paramètres!$A$1:$I$89,3,0)*0.475*44/12</f>
        <v>0</v>
      </c>
      <c r="EY123" s="24">
        <f t="shared" si="75"/>
        <v>0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-3.4106051316484809E-13</v>
      </c>
      <c r="FF123" s="18">
        <f>FE123*VLOOKUP('Données projet'!$B$16,Paramètres!$A$1:$I$89,3,0)*VLOOKUP('Données projet'!$B$16,Paramètres!$A$1:$I$89,5,0)</f>
        <v>-2.2878339223098009E-13</v>
      </c>
      <c r="FG123" s="14" t="e">
        <f t="shared" si="101"/>
        <v>#NUM!</v>
      </c>
      <c r="FH123" s="22" t="e">
        <f t="shared" si="76"/>
        <v>#NUM!</v>
      </c>
      <c r="FI123" s="62" t="e">
        <f t="shared" si="77"/>
        <v>#NUM!</v>
      </c>
      <c r="FJ123" s="62">
        <f ca="1">AVERAGE(OFFSET($FI$3,0,0,'Données projet'!$E$16+1,1))-AVERAGE(OFFSET($H$3,0,0,'Données projet'!$E$16+1,1))</f>
        <v>440.90856392064205</v>
      </c>
      <c r="FK123" s="62">
        <f t="shared" si="102"/>
        <v>373.33139300970629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>
        <f>EXP(-LN(2)/35)*FQ122+(1-EXP(-LN(2)/35))/(LN(2)/35)*FM123*FN123*VLOOKUP('Données projet'!$B$16,Paramètres!$A$1:$I$89,3,0)*0.475*44/12</f>
        <v>0</v>
      </c>
      <c r="FR123" s="23">
        <f>EXP(-LN(2)/25)*FR122+(1-EXP(-LN(2)/25))/(LN(2)/25)*Calculateur!FM123*Calculateur!FO123*VLOOKUP('Données projet'!$B$16,Paramètres!$A$1:$I$89,3,0)*0.475*44/12</f>
        <v>0</v>
      </c>
      <c r="FS123" s="23">
        <f>EXP(-LN(2)/2)*FS122+(1-EXP(-LN(2)/2))/(LN(2)/2)*FM123*FP123*VLOOKUP('Données projet'!$B$16,Paramètres!$A$1:$I$89,3,0)*0.475*44/12</f>
        <v>0</v>
      </c>
      <c r="FT123" s="24">
        <f t="shared" si="78"/>
        <v>0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70">
        <f t="shared" si="56"/>
        <v>183.33333333333334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4.2</v>
      </c>
      <c r="N124" s="14">
        <f>IF('Données projet'!$A$36&gt;35,N123+M124-V123,IF(A124&lt;'Données projet'!$A$36,$K$205^A124,IF(A124='Données projet'!$A$36,'Données projet'!$B$36,N123+M124-V123)))</f>
        <v>356.19999999999987</v>
      </c>
      <c r="O124" s="14">
        <f>N124*VLOOKUP('Données projet'!$B$9,Paramètres!$A$1:$I$89,3,0)*VLOOKUP('Données projet'!$B$9,Paramètres!$A$1:$I$89,5,0)</f>
        <v>322.28975999999989</v>
      </c>
      <c r="P124" s="14">
        <f t="shared" si="87"/>
        <v>75.829584879013211</v>
      </c>
      <c r="Q124" s="22">
        <f t="shared" si="107"/>
        <v>693.39119233094789</v>
      </c>
      <c r="R124" s="62">
        <f t="shared" si="55"/>
        <v>975.69408472313228</v>
      </c>
      <c r="S124" s="62">
        <f ca="1">AVERAGE(OFFSET($R$3,0,0,'Données projet'!$E$9+1,1))-AVERAGE(OFFSET($H$3,0,0,'Données projet'!$E$9+1,1))</f>
        <v>570.08763950759544</v>
      </c>
      <c r="T124" s="62">
        <f t="shared" si="88"/>
        <v>297.32483725004136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-2.2737367544323206E-13</v>
      </c>
      <c r="AJ124" s="14">
        <f>AI124*VLOOKUP('Données projet'!$B$10,Paramètres!$A$1:$I$89,3,0)*VLOOKUP('Données projet'!$B$10,Paramètres!$A$1:$I$89,5,0)</f>
        <v>-1.8089849618263545E-13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394.70330963327166</v>
      </c>
      <c r="AO124" s="62">
        <f t="shared" si="90"/>
        <v>424.06445894109982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-2.2737367544323206E-13</v>
      </c>
      <c r="BE124" s="14">
        <f>BD124*VLOOKUP('Données projet'!$B$11,Paramètres!$A$1:$I$89,3,0)*VLOOKUP('Données projet'!$B$11,Paramètres!$A$1:$I$89,5,0)</f>
        <v>-1.6671037883497774E-13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368.54671978064204</v>
      </c>
      <c r="BJ124" s="62">
        <f t="shared" si="92"/>
        <v>395.83504504492237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5.6843418860808015E-14</v>
      </c>
      <c r="BZ124" s="14">
        <f>BY124*VLOOKUP('Données projet'!$B$12,Paramètres!$A$1:$I$89,3,0)*VLOOKUP('Données projet'!$B$12,Paramètres!$A$1:$I$89,5,0)</f>
        <v>4.4337866711430253E-14</v>
      </c>
      <c r="CA124" s="14">
        <f t="shared" si="93"/>
        <v>7.3222115536967035E-13</v>
      </c>
      <c r="CB124" s="22">
        <f t="shared" si="64"/>
        <v>1.3525069634579169E-12</v>
      </c>
      <c r="CC124" s="62">
        <f t="shared" si="65"/>
        <v>282.30289239218575</v>
      </c>
      <c r="CD124" s="62">
        <f ca="1">AVERAGE(OFFSET($CC$3,0,0,'Données projet'!$E$12+1,1))-AVERAGE(OFFSET($H$3,0,0,'Données projet'!$E$12+1,1))</f>
        <v>309.21625451786218</v>
      </c>
      <c r="CE124" s="62">
        <f t="shared" si="94"/>
        <v>302.59481222418219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-2.8421709430404007E-13</v>
      </c>
      <c r="CU124" s="18">
        <f>CT124*VLOOKUP('Données projet'!$B$13,Paramètres!$A$1:$I$89,3,0)*VLOOKUP('Données projet'!$B$13,Paramètres!$A$1:$I$89,5,0)</f>
        <v>-2.7046098693972454E-13</v>
      </c>
      <c r="CV124" s="14" t="e">
        <f t="shared" si="95"/>
        <v>#NUM!</v>
      </c>
      <c r="CW124" s="22" t="e">
        <f t="shared" si="67"/>
        <v>#NUM!</v>
      </c>
      <c r="CX124" s="62" t="e">
        <f t="shared" si="68"/>
        <v>#NUM!</v>
      </c>
      <c r="CY124" s="62">
        <f ca="1">AVERAGE(OFFSET($CX$3,0,0,'Données projet'!$E$13+1,1))-AVERAGE(OFFSET($H$3,0,0,'Données projet'!$E$13+1,1))</f>
        <v>491.87038198656927</v>
      </c>
      <c r="CZ124" s="62">
        <f t="shared" si="96"/>
        <v>406.49261644949559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0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4.2</v>
      </c>
      <c r="DO124" s="13">
        <f>IF('Données projet'!$A$166&gt;35,DO123+DN124-DW123,IF(A124&lt;'Données projet'!$A$166,$DL$205^A124,IF(A124='Données projet'!$A$166,'Données projet'!$B$166,DO123+DN124-DW123)))</f>
        <v>356.19999999999987</v>
      </c>
      <c r="DP124" s="18">
        <f>DO124*VLOOKUP('Données projet'!$B$14,Paramètres!$A$1:$I$89,3,0)*VLOOKUP('Données projet'!$B$14,Paramètres!$A$1:$I$89,5,0)</f>
        <v>344.51663999999988</v>
      </c>
      <c r="DQ124" s="14">
        <f t="shared" si="97"/>
        <v>80.432394913333098</v>
      </c>
      <c r="DR124" s="22">
        <f t="shared" si="70"/>
        <v>740.11956914072152</v>
      </c>
      <c r="DS124" s="62">
        <f t="shared" si="71"/>
        <v>1022.4224615329059</v>
      </c>
      <c r="DT124" s="62">
        <f ca="1">AVERAGE(OFFSET($DS$3,0,0,'Données projet'!$E$14+1,1))-AVERAGE(OFFSET($H$3,0,0,'Données projet'!$E$14+1,1))</f>
        <v>603.52431522262032</v>
      </c>
      <c r="DU124" s="62">
        <f t="shared" si="98"/>
        <v>313.56299786481338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projet'!$B$14,Paramètres!$A$1:$I$89,3,0)*0.475*44/12</f>
        <v>0</v>
      </c>
      <c r="EB124" s="23">
        <f>EXP(-LN(2)/25)*EB123+(1-EXP(-LN(2)/25))/(LN(2)/25)*Calculateur!DW124*Calculateur!DY124*VLOOKUP('Données projet'!$B$14,Paramètres!$A$1:$I$89,3,0)*0.475*44/12</f>
        <v>0</v>
      </c>
      <c r="EC124" s="23">
        <f>EXP(-LN(2)/2)*EC123+(1-EXP(-LN(2)/2))/(LN(2)/2)*DW124*DZ124*VLOOKUP('Données projet'!$B$14,Paramètres!$A$1:$I$89,3,0)*0.475*44/12</f>
        <v>0</v>
      </c>
      <c r="ED124" s="24">
        <f t="shared" si="72"/>
        <v>0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-1.1368683772161603E-13</v>
      </c>
      <c r="EK124" s="18">
        <f>EJ124*VLOOKUP('Données projet'!$B$15,Paramètres!$A$1:$I$89,3,0)*VLOOKUP('Données projet'!$B$15,Paramètres!$A$1:$I$89,5,0)</f>
        <v>-9.2222762759774927E-14</v>
      </c>
      <c r="EL124" s="14" t="e">
        <f t="shared" si="99"/>
        <v>#NUM!</v>
      </c>
      <c r="EM124" s="22" t="e">
        <f t="shared" si="73"/>
        <v>#NUM!</v>
      </c>
      <c r="EN124" s="62" t="e">
        <f t="shared" si="74"/>
        <v>#NUM!</v>
      </c>
      <c r="EO124" s="62">
        <f ca="1">AVERAGE(OFFSET($EN$3,0,0,'Données projet'!$E$15+1,1))-AVERAGE(OFFSET($H$3,0,0,'Données projet'!$E$15+1,1))</f>
        <v>272.69564942740931</v>
      </c>
      <c r="EP124" s="62">
        <f t="shared" si="100"/>
        <v>316.57989180609252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>
        <f>EXP(-LN(2)/35)*EV123+(1-EXP(-LN(2)/35))/(LN(2)/35)*ER124*ES124*VLOOKUP('Données projet'!$B$15,Paramètres!$A$1:$I$89,3,0)*0.475*44/12</f>
        <v>0</v>
      </c>
      <c r="EW124" s="23">
        <f>EXP(-LN(2)/25)*EW123+(1-EXP(-LN(2)/25))/(LN(2)/25)*Calculateur!ER124*Calculateur!ET124*VLOOKUP('Données projet'!$B$15,Paramètres!$A$1:$I$89,3,0)*0.475*44/12</f>
        <v>0</v>
      </c>
      <c r="EX124" s="23">
        <f>EXP(-LN(2)/2)*EX123+(1-EXP(-LN(2)/2))/(LN(2)/2)*ER124*EU124*VLOOKUP('Données projet'!$B$15,Paramètres!$A$1:$I$89,3,0)*0.475*44/12</f>
        <v>0</v>
      </c>
      <c r="EY124" s="24">
        <f t="shared" si="75"/>
        <v>0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-3.4106051316484809E-13</v>
      </c>
      <c r="FF124" s="18">
        <f>FE124*VLOOKUP('Données projet'!$B$16,Paramètres!$A$1:$I$89,3,0)*VLOOKUP('Données projet'!$B$16,Paramètres!$A$1:$I$89,5,0)</f>
        <v>-2.2878339223098009E-13</v>
      </c>
      <c r="FG124" s="14" t="e">
        <f t="shared" si="101"/>
        <v>#NUM!</v>
      </c>
      <c r="FH124" s="22" t="e">
        <f t="shared" si="76"/>
        <v>#NUM!</v>
      </c>
      <c r="FI124" s="62" t="e">
        <f t="shared" si="77"/>
        <v>#NUM!</v>
      </c>
      <c r="FJ124" s="62">
        <f ca="1">AVERAGE(OFFSET($FI$3,0,0,'Données projet'!$E$16+1,1))-AVERAGE(OFFSET($H$3,0,0,'Données projet'!$E$16+1,1))</f>
        <v>440.90856392064205</v>
      </c>
      <c r="FK124" s="62">
        <f t="shared" si="102"/>
        <v>373.33139300970629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>
        <f>EXP(-LN(2)/35)*FQ123+(1-EXP(-LN(2)/35))/(LN(2)/35)*FM124*FN124*VLOOKUP('Données projet'!$B$16,Paramètres!$A$1:$I$89,3,0)*0.475*44/12</f>
        <v>0</v>
      </c>
      <c r="FR124" s="23">
        <f>EXP(-LN(2)/25)*FR123+(1-EXP(-LN(2)/25))/(LN(2)/25)*Calculateur!FM124*Calculateur!FO124*VLOOKUP('Données projet'!$B$16,Paramètres!$A$1:$I$89,3,0)*0.475*44/12</f>
        <v>0</v>
      </c>
      <c r="FS124" s="23">
        <f>EXP(-LN(2)/2)*FS123+(1-EXP(-LN(2)/2))/(LN(2)/2)*FM124*FP124*VLOOKUP('Données projet'!$B$16,Paramètres!$A$1:$I$89,3,0)*0.475*44/12</f>
        <v>0</v>
      </c>
      <c r="FT124" s="24">
        <f t="shared" si="78"/>
        <v>0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70">
        <f t="shared" si="56"/>
        <v>183.33333333333334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4.2</v>
      </c>
      <c r="N125" s="14">
        <f>IF('Données projet'!$A$36&gt;35,N124+M125-V124,IF(A125&lt;'Données projet'!$A$36,$K$205^A125,IF(A125='Données projet'!$A$36,'Données projet'!$B$36,N124+M125-V124)))</f>
        <v>360.39999999999986</v>
      </c>
      <c r="O125" s="14">
        <f>N125*VLOOKUP('Données projet'!$B$9,Paramètres!$A$1:$I$89,3,0)*VLOOKUP('Données projet'!$B$9,Paramètres!$A$1:$I$89,5,0)</f>
        <v>326.08991999999984</v>
      </c>
      <c r="P125" s="14">
        <f t="shared" si="87"/>
        <v>76.619086320573132</v>
      </c>
      <c r="Q125" s="22">
        <f t="shared" si="107"/>
        <v>701.38485267499789</v>
      </c>
      <c r="R125" s="62">
        <f t="shared" si="55"/>
        <v>983.87909855713974</v>
      </c>
      <c r="S125" s="62">
        <f ca="1">AVERAGE(OFFSET($R$3,0,0,'Données projet'!$E$9+1,1))-AVERAGE(OFFSET($H$3,0,0,'Données projet'!$E$9+1,1))</f>
        <v>570.08763950759544</v>
      </c>
      <c r="T125" s="62">
        <f t="shared" si="88"/>
        <v>297.32483725004136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-2.2737367544323206E-13</v>
      </c>
      <c r="AJ125" s="14">
        <f>AI125*VLOOKUP('Données projet'!$B$10,Paramètres!$A$1:$I$89,3,0)*VLOOKUP('Données projet'!$B$10,Paramètres!$A$1:$I$89,5,0)</f>
        <v>-1.8089849618263545E-13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394.70330963327166</v>
      </c>
      <c r="AO125" s="62">
        <f t="shared" si="90"/>
        <v>424.06445894109982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-2.2737367544323206E-13</v>
      </c>
      <c r="BE125" s="14">
        <f>BD125*VLOOKUP('Données projet'!$B$11,Paramètres!$A$1:$I$89,3,0)*VLOOKUP('Données projet'!$B$11,Paramètres!$A$1:$I$89,5,0)</f>
        <v>-1.6671037883497774E-13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368.54671978064204</v>
      </c>
      <c r="BJ125" s="62">
        <f t="shared" si="92"/>
        <v>395.83504504492237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5.6843418860808015E-14</v>
      </c>
      <c r="BZ125" s="14">
        <f>BY125*VLOOKUP('Données projet'!$B$12,Paramètres!$A$1:$I$89,3,0)*VLOOKUP('Données projet'!$B$12,Paramètres!$A$1:$I$89,5,0)</f>
        <v>4.4337866711430253E-14</v>
      </c>
      <c r="CA125" s="14">
        <f t="shared" si="93"/>
        <v>7.3222115536967035E-13</v>
      </c>
      <c r="CB125" s="22">
        <f t="shared" si="64"/>
        <v>1.3525069634579169E-12</v>
      </c>
      <c r="CC125" s="62">
        <f t="shared" si="65"/>
        <v>282.49424588214316</v>
      </c>
      <c r="CD125" s="62">
        <f ca="1">AVERAGE(OFFSET($CC$3,0,0,'Données projet'!$E$12+1,1))-AVERAGE(OFFSET($H$3,0,0,'Données projet'!$E$12+1,1))</f>
        <v>309.21625451786218</v>
      </c>
      <c r="CE125" s="62">
        <f t="shared" si="94"/>
        <v>302.59481222418219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-2.8421709430404007E-13</v>
      </c>
      <c r="CU125" s="18">
        <f>CT125*VLOOKUP('Données projet'!$B$13,Paramètres!$A$1:$I$89,3,0)*VLOOKUP('Données projet'!$B$13,Paramètres!$A$1:$I$89,5,0)</f>
        <v>-2.7046098693972454E-13</v>
      </c>
      <c r="CV125" s="14" t="e">
        <f t="shared" si="95"/>
        <v>#NUM!</v>
      </c>
      <c r="CW125" s="22" t="e">
        <f t="shared" si="67"/>
        <v>#NUM!</v>
      </c>
      <c r="CX125" s="62" t="e">
        <f t="shared" si="68"/>
        <v>#NUM!</v>
      </c>
      <c r="CY125" s="62">
        <f ca="1">AVERAGE(OFFSET($CX$3,0,0,'Données projet'!$E$13+1,1))-AVERAGE(OFFSET($H$3,0,0,'Données projet'!$E$13+1,1))</f>
        <v>491.87038198656927</v>
      </c>
      <c r="CZ125" s="62">
        <f t="shared" si="96"/>
        <v>406.49261644949559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0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4.2</v>
      </c>
      <c r="DO125" s="13">
        <f>IF('Données projet'!$A$166&gt;35,DO124+DN125-DW124,IF(A125&lt;'Données projet'!$A$166,$DL$205^A125,IF(A125='Données projet'!$A$166,'Données projet'!$B$166,DO124+DN125-DW124)))</f>
        <v>360.39999999999986</v>
      </c>
      <c r="DP125" s="18">
        <f>DO125*VLOOKUP('Données projet'!$B$14,Paramètres!$A$1:$I$89,3,0)*VLOOKUP('Données projet'!$B$14,Paramètres!$A$1:$I$89,5,0)</f>
        <v>348.57887999999991</v>
      </c>
      <c r="DQ125" s="14">
        <f t="shared" si="97"/>
        <v>81.269818615882841</v>
      </c>
      <c r="DR125" s="22">
        <f t="shared" si="70"/>
        <v>748.65315008932919</v>
      </c>
      <c r="DS125" s="62">
        <f t="shared" si="71"/>
        <v>1031.147395971471</v>
      </c>
      <c r="DT125" s="62">
        <f ca="1">AVERAGE(OFFSET($DS$3,0,0,'Données projet'!$E$14+1,1))-AVERAGE(OFFSET($H$3,0,0,'Données projet'!$E$14+1,1))</f>
        <v>603.52431522262032</v>
      </c>
      <c r="DU125" s="62">
        <f t="shared" si="98"/>
        <v>313.56299786481338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projet'!$B$14,Paramètres!$A$1:$I$89,3,0)*0.475*44/12</f>
        <v>0</v>
      </c>
      <c r="EB125" s="23">
        <f>EXP(-LN(2)/25)*EB124+(1-EXP(-LN(2)/25))/(LN(2)/25)*Calculateur!DW125*Calculateur!DY125*VLOOKUP('Données projet'!$B$14,Paramètres!$A$1:$I$89,3,0)*0.475*44/12</f>
        <v>0</v>
      </c>
      <c r="EC125" s="23">
        <f>EXP(-LN(2)/2)*EC124+(1-EXP(-LN(2)/2))/(LN(2)/2)*DW125*DZ125*VLOOKUP('Données projet'!$B$14,Paramètres!$A$1:$I$89,3,0)*0.475*44/12</f>
        <v>0</v>
      </c>
      <c r="ED125" s="24">
        <f t="shared" si="72"/>
        <v>0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-1.1368683772161603E-13</v>
      </c>
      <c r="EK125" s="18">
        <f>EJ125*VLOOKUP('Données projet'!$B$15,Paramètres!$A$1:$I$89,3,0)*VLOOKUP('Données projet'!$B$15,Paramètres!$A$1:$I$89,5,0)</f>
        <v>-9.2222762759774927E-14</v>
      </c>
      <c r="EL125" s="14" t="e">
        <f t="shared" si="99"/>
        <v>#NUM!</v>
      </c>
      <c r="EM125" s="22" t="e">
        <f t="shared" si="73"/>
        <v>#NUM!</v>
      </c>
      <c r="EN125" s="62" t="e">
        <f t="shared" si="74"/>
        <v>#NUM!</v>
      </c>
      <c r="EO125" s="62">
        <f ca="1">AVERAGE(OFFSET($EN$3,0,0,'Données projet'!$E$15+1,1))-AVERAGE(OFFSET($H$3,0,0,'Données projet'!$E$15+1,1))</f>
        <v>272.69564942740931</v>
      </c>
      <c r="EP125" s="62">
        <f t="shared" si="100"/>
        <v>316.57989180609252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>
        <f>EXP(-LN(2)/35)*EV124+(1-EXP(-LN(2)/35))/(LN(2)/35)*ER125*ES125*VLOOKUP('Données projet'!$B$15,Paramètres!$A$1:$I$89,3,0)*0.475*44/12</f>
        <v>0</v>
      </c>
      <c r="EW125" s="23">
        <f>EXP(-LN(2)/25)*EW124+(1-EXP(-LN(2)/25))/(LN(2)/25)*Calculateur!ER125*Calculateur!ET125*VLOOKUP('Données projet'!$B$15,Paramètres!$A$1:$I$89,3,0)*0.475*44/12</f>
        <v>0</v>
      </c>
      <c r="EX125" s="23">
        <f>EXP(-LN(2)/2)*EX124+(1-EXP(-LN(2)/2))/(LN(2)/2)*ER125*EU125*VLOOKUP('Données projet'!$B$15,Paramètres!$A$1:$I$89,3,0)*0.475*44/12</f>
        <v>0</v>
      </c>
      <c r="EY125" s="24">
        <f t="shared" si="75"/>
        <v>0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-3.4106051316484809E-13</v>
      </c>
      <c r="FF125" s="18">
        <f>FE125*VLOOKUP('Données projet'!$B$16,Paramètres!$A$1:$I$89,3,0)*VLOOKUP('Données projet'!$B$16,Paramètres!$A$1:$I$89,5,0)</f>
        <v>-2.2878339223098009E-13</v>
      </c>
      <c r="FG125" s="14" t="e">
        <f t="shared" si="101"/>
        <v>#NUM!</v>
      </c>
      <c r="FH125" s="22" t="e">
        <f t="shared" si="76"/>
        <v>#NUM!</v>
      </c>
      <c r="FI125" s="62" t="e">
        <f t="shared" si="77"/>
        <v>#NUM!</v>
      </c>
      <c r="FJ125" s="62">
        <f ca="1">AVERAGE(OFFSET($FI$3,0,0,'Données projet'!$E$16+1,1))-AVERAGE(OFFSET($H$3,0,0,'Données projet'!$E$16+1,1))</f>
        <v>440.90856392064205</v>
      </c>
      <c r="FK125" s="62">
        <f t="shared" si="102"/>
        <v>373.33139300970629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>
        <f>EXP(-LN(2)/35)*FQ124+(1-EXP(-LN(2)/35))/(LN(2)/35)*FM125*FN125*VLOOKUP('Données projet'!$B$16,Paramètres!$A$1:$I$89,3,0)*0.475*44/12</f>
        <v>0</v>
      </c>
      <c r="FR125" s="23">
        <f>EXP(-LN(2)/25)*FR124+(1-EXP(-LN(2)/25))/(LN(2)/25)*Calculateur!FM125*Calculateur!FO125*VLOOKUP('Données projet'!$B$16,Paramètres!$A$1:$I$89,3,0)*0.475*44/12</f>
        <v>0</v>
      </c>
      <c r="FS125" s="23">
        <f>EXP(-LN(2)/2)*FS124+(1-EXP(-LN(2)/2))/(LN(2)/2)*FM125*FP125*VLOOKUP('Données projet'!$B$16,Paramètres!$A$1:$I$89,3,0)*0.475*44/12</f>
        <v>0</v>
      </c>
      <c r="FT125" s="24">
        <f t="shared" si="78"/>
        <v>0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70">
        <f t="shared" si="56"/>
        <v>183.33333333333334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4.2</v>
      </c>
      <c r="N126" s="14">
        <f>IF('Données projet'!$A$36&gt;35,N125+M126-V125,IF(A126&lt;'Données projet'!$A$36,$K$205^A126,IF(A126='Données projet'!$A$36,'Données projet'!$B$36,N125+M126-V125)))</f>
        <v>364.59999999999985</v>
      </c>
      <c r="O126" s="14">
        <f>N126*VLOOKUP('Données projet'!$B$9,Paramètres!$A$1:$I$89,3,0)*VLOOKUP('Données projet'!$B$9,Paramètres!$A$1:$I$89,5,0)</f>
        <v>329.89007999999984</v>
      </c>
      <c r="P126" s="14">
        <f t="shared" si="87"/>
        <v>77.407517509546452</v>
      </c>
      <c r="Q126" s="22">
        <f t="shared" si="107"/>
        <v>709.37664899579306</v>
      </c>
      <c r="R126" s="62">
        <f t="shared" si="55"/>
        <v>992.05892881264367</v>
      </c>
      <c r="S126" s="62">
        <f ca="1">AVERAGE(OFFSET($R$3,0,0,'Données projet'!$E$9+1,1))-AVERAGE(OFFSET($H$3,0,0,'Données projet'!$E$9+1,1))</f>
        <v>570.08763950759544</v>
      </c>
      <c r="T126" s="62">
        <f t="shared" si="88"/>
        <v>297.32483725004136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-2.2737367544323206E-13</v>
      </c>
      <c r="AJ126" s="14">
        <f>AI126*VLOOKUP('Données projet'!$B$10,Paramètres!$A$1:$I$89,3,0)*VLOOKUP('Données projet'!$B$10,Paramètres!$A$1:$I$89,5,0)</f>
        <v>-1.8089849618263545E-13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394.70330963327166</v>
      </c>
      <c r="AO126" s="62">
        <f t="shared" si="90"/>
        <v>424.06445894109982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-2.2737367544323206E-13</v>
      </c>
      <c r="BE126" s="14">
        <f>BD126*VLOOKUP('Données projet'!$B$11,Paramètres!$A$1:$I$89,3,0)*VLOOKUP('Données projet'!$B$11,Paramètres!$A$1:$I$89,5,0)</f>
        <v>-1.6671037883497774E-13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368.54671978064204</v>
      </c>
      <c r="BJ126" s="62">
        <f t="shared" si="92"/>
        <v>395.83504504492237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5.6843418860808015E-14</v>
      </c>
      <c r="BZ126" s="14">
        <f>BY126*VLOOKUP('Données projet'!$B$12,Paramètres!$A$1:$I$89,3,0)*VLOOKUP('Données projet'!$B$12,Paramètres!$A$1:$I$89,5,0)</f>
        <v>4.4337866711430253E-14</v>
      </c>
      <c r="CA126" s="14">
        <f t="shared" si="93"/>
        <v>7.3222115536967035E-13</v>
      </c>
      <c r="CB126" s="22">
        <f t="shared" si="64"/>
        <v>1.3525069634579169E-12</v>
      </c>
      <c r="CC126" s="62">
        <f t="shared" si="65"/>
        <v>282.68227981685203</v>
      </c>
      <c r="CD126" s="62">
        <f ca="1">AVERAGE(OFFSET($CC$3,0,0,'Données projet'!$E$12+1,1))-AVERAGE(OFFSET($H$3,0,0,'Données projet'!$E$12+1,1))</f>
        <v>309.21625451786218</v>
      </c>
      <c r="CE126" s="62">
        <f t="shared" si="94"/>
        <v>302.59481222418219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-2.8421709430404007E-13</v>
      </c>
      <c r="CU126" s="18">
        <f>CT126*VLOOKUP('Données projet'!$B$13,Paramètres!$A$1:$I$89,3,0)*VLOOKUP('Données projet'!$B$13,Paramètres!$A$1:$I$89,5,0)</f>
        <v>-2.7046098693972454E-13</v>
      </c>
      <c r="CV126" s="14" t="e">
        <f t="shared" si="95"/>
        <v>#NUM!</v>
      </c>
      <c r="CW126" s="22" t="e">
        <f t="shared" si="67"/>
        <v>#NUM!</v>
      </c>
      <c r="CX126" s="62" t="e">
        <f t="shared" si="68"/>
        <v>#NUM!</v>
      </c>
      <c r="CY126" s="62">
        <f ca="1">AVERAGE(OFFSET($CX$3,0,0,'Données projet'!$E$13+1,1))-AVERAGE(OFFSET($H$3,0,0,'Données projet'!$E$13+1,1))</f>
        <v>491.87038198656927</v>
      </c>
      <c r="CZ126" s="62">
        <f t="shared" si="96"/>
        <v>406.49261644949559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0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4.2</v>
      </c>
      <c r="DO126" s="13">
        <f>IF('Données projet'!$A$166&gt;35,DO125+DN126-DW125,IF(A126&lt;'Données projet'!$A$166,$DL$205^A126,IF(A126='Données projet'!$A$166,'Données projet'!$B$166,DO125+DN126-DW125)))</f>
        <v>364.59999999999985</v>
      </c>
      <c r="DP126" s="18">
        <f>DO126*VLOOKUP('Données projet'!$B$14,Paramètres!$A$1:$I$89,3,0)*VLOOKUP('Données projet'!$B$14,Paramètres!$A$1:$I$89,5,0)</f>
        <v>352.64111999999989</v>
      </c>
      <c r="DQ126" s="14">
        <f t="shared" si="97"/>
        <v>82.10610710216001</v>
      </c>
      <c r="DR126" s="22">
        <f t="shared" si="70"/>
        <v>757.18475386959517</v>
      </c>
      <c r="DS126" s="62">
        <f t="shared" si="71"/>
        <v>1039.8670336864459</v>
      </c>
      <c r="DT126" s="62">
        <f ca="1">AVERAGE(OFFSET($DS$3,0,0,'Données projet'!$E$14+1,1))-AVERAGE(OFFSET($H$3,0,0,'Données projet'!$E$14+1,1))</f>
        <v>603.52431522262032</v>
      </c>
      <c r="DU126" s="62">
        <f t="shared" si="98"/>
        <v>313.56299786481338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projet'!$B$14,Paramètres!$A$1:$I$89,3,0)*0.475*44/12</f>
        <v>0</v>
      </c>
      <c r="EB126" s="23">
        <f>EXP(-LN(2)/25)*EB125+(1-EXP(-LN(2)/25))/(LN(2)/25)*Calculateur!DW126*Calculateur!DY126*VLOOKUP('Données projet'!$B$14,Paramètres!$A$1:$I$89,3,0)*0.475*44/12</f>
        <v>0</v>
      </c>
      <c r="EC126" s="23">
        <f>EXP(-LN(2)/2)*EC125+(1-EXP(-LN(2)/2))/(LN(2)/2)*DW126*DZ126*VLOOKUP('Données projet'!$B$14,Paramètres!$A$1:$I$89,3,0)*0.475*44/12</f>
        <v>0</v>
      </c>
      <c r="ED126" s="24">
        <f t="shared" si="72"/>
        <v>0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-1.1368683772161603E-13</v>
      </c>
      <c r="EK126" s="18">
        <f>EJ126*VLOOKUP('Données projet'!$B$15,Paramètres!$A$1:$I$89,3,0)*VLOOKUP('Données projet'!$B$15,Paramètres!$A$1:$I$89,5,0)</f>
        <v>-9.2222762759774927E-14</v>
      </c>
      <c r="EL126" s="14" t="e">
        <f t="shared" si="99"/>
        <v>#NUM!</v>
      </c>
      <c r="EM126" s="22" t="e">
        <f t="shared" si="73"/>
        <v>#NUM!</v>
      </c>
      <c r="EN126" s="62" t="e">
        <f t="shared" si="74"/>
        <v>#NUM!</v>
      </c>
      <c r="EO126" s="62">
        <f ca="1">AVERAGE(OFFSET($EN$3,0,0,'Données projet'!$E$15+1,1))-AVERAGE(OFFSET($H$3,0,0,'Données projet'!$E$15+1,1))</f>
        <v>272.69564942740931</v>
      </c>
      <c r="EP126" s="62">
        <f t="shared" si="100"/>
        <v>316.57989180609252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>
        <f>EXP(-LN(2)/35)*EV125+(1-EXP(-LN(2)/35))/(LN(2)/35)*ER126*ES126*VLOOKUP('Données projet'!$B$15,Paramètres!$A$1:$I$89,3,0)*0.475*44/12</f>
        <v>0</v>
      </c>
      <c r="EW126" s="23">
        <f>EXP(-LN(2)/25)*EW125+(1-EXP(-LN(2)/25))/(LN(2)/25)*Calculateur!ER126*Calculateur!ET126*VLOOKUP('Données projet'!$B$15,Paramètres!$A$1:$I$89,3,0)*0.475*44/12</f>
        <v>0</v>
      </c>
      <c r="EX126" s="23">
        <f>EXP(-LN(2)/2)*EX125+(1-EXP(-LN(2)/2))/(LN(2)/2)*ER126*EU126*VLOOKUP('Données projet'!$B$15,Paramètres!$A$1:$I$89,3,0)*0.475*44/12</f>
        <v>0</v>
      </c>
      <c r="EY126" s="24">
        <f t="shared" si="75"/>
        <v>0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-3.4106051316484809E-13</v>
      </c>
      <c r="FF126" s="18">
        <f>FE126*VLOOKUP('Données projet'!$B$16,Paramètres!$A$1:$I$89,3,0)*VLOOKUP('Données projet'!$B$16,Paramètres!$A$1:$I$89,5,0)</f>
        <v>-2.2878339223098009E-13</v>
      </c>
      <c r="FG126" s="14" t="e">
        <f t="shared" si="101"/>
        <v>#NUM!</v>
      </c>
      <c r="FH126" s="22" t="e">
        <f t="shared" si="76"/>
        <v>#NUM!</v>
      </c>
      <c r="FI126" s="62" t="e">
        <f t="shared" si="77"/>
        <v>#NUM!</v>
      </c>
      <c r="FJ126" s="62">
        <f ca="1">AVERAGE(OFFSET($FI$3,0,0,'Données projet'!$E$16+1,1))-AVERAGE(OFFSET($H$3,0,0,'Données projet'!$E$16+1,1))</f>
        <v>440.90856392064205</v>
      </c>
      <c r="FK126" s="62">
        <f t="shared" si="102"/>
        <v>373.33139300970629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>
        <f>EXP(-LN(2)/35)*FQ125+(1-EXP(-LN(2)/35))/(LN(2)/35)*FM126*FN126*VLOOKUP('Données projet'!$B$16,Paramètres!$A$1:$I$89,3,0)*0.475*44/12</f>
        <v>0</v>
      </c>
      <c r="FR126" s="23">
        <f>EXP(-LN(2)/25)*FR125+(1-EXP(-LN(2)/25))/(LN(2)/25)*Calculateur!FM126*Calculateur!FO126*VLOOKUP('Données projet'!$B$16,Paramètres!$A$1:$I$89,3,0)*0.475*44/12</f>
        <v>0</v>
      </c>
      <c r="FS126" s="23">
        <f>EXP(-LN(2)/2)*FS125+(1-EXP(-LN(2)/2))/(LN(2)/2)*FM126*FP126*VLOOKUP('Données projet'!$B$16,Paramètres!$A$1:$I$89,3,0)*0.475*44/12</f>
        <v>0</v>
      </c>
      <c r="FT126" s="24">
        <f t="shared" si="78"/>
        <v>0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70">
        <f t="shared" si="56"/>
        <v>183.33333333333334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4.2</v>
      </c>
      <c r="N127" s="14">
        <f>IF('Données projet'!$A$36&gt;35,N126+M127-V126,IF(A127&lt;'Données projet'!$A$36,$K$205^A127,IF(A127='Données projet'!$A$36,'Données projet'!$B$36,N126+M127-V126)))</f>
        <v>368.79999999999984</v>
      </c>
      <c r="O127" s="14">
        <f>N127*VLOOKUP('Données projet'!$B$9,Paramètres!$A$1:$I$89,3,0)*VLOOKUP('Données projet'!$B$9,Paramètres!$A$1:$I$89,5,0)</f>
        <v>333.69023999999985</v>
      </c>
      <c r="P127" s="14">
        <f t="shared" si="87"/>
        <v>78.194892201133555</v>
      </c>
      <c r="Q127" s="22">
        <f t="shared" si="107"/>
        <v>717.36660525030732</v>
      </c>
      <c r="R127" s="62">
        <f t="shared" si="55"/>
        <v>1000.2336570334807</v>
      </c>
      <c r="S127" s="62">
        <f ca="1">AVERAGE(OFFSET($R$3,0,0,'Données projet'!$E$9+1,1))-AVERAGE(OFFSET($H$3,0,0,'Données projet'!$E$9+1,1))</f>
        <v>570.08763950759544</v>
      </c>
      <c r="T127" s="62">
        <f t="shared" si="88"/>
        <v>297.32483725004136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-2.2737367544323206E-13</v>
      </c>
      <c r="AJ127" s="14">
        <f>AI127*VLOOKUP('Données projet'!$B$10,Paramètres!$A$1:$I$89,3,0)*VLOOKUP('Données projet'!$B$10,Paramètres!$A$1:$I$89,5,0)</f>
        <v>-1.8089849618263545E-13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394.70330963327166</v>
      </c>
      <c r="AO127" s="62">
        <f t="shared" si="90"/>
        <v>424.06445894109982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-2.2737367544323206E-13</v>
      </c>
      <c r="BE127" s="14">
        <f>BD127*VLOOKUP('Données projet'!$B$11,Paramètres!$A$1:$I$89,3,0)*VLOOKUP('Données projet'!$B$11,Paramètres!$A$1:$I$89,5,0)</f>
        <v>-1.6671037883497774E-13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368.54671978064204</v>
      </c>
      <c r="BJ127" s="62">
        <f t="shared" si="92"/>
        <v>395.83504504492237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5.6843418860808015E-14</v>
      </c>
      <c r="BZ127" s="14">
        <f>BY127*VLOOKUP('Données projet'!$B$12,Paramètres!$A$1:$I$89,3,0)*VLOOKUP('Données projet'!$B$12,Paramètres!$A$1:$I$89,5,0)</f>
        <v>4.4337866711430253E-14</v>
      </c>
      <c r="CA127" s="14">
        <f t="shared" si="93"/>
        <v>7.3222115536967035E-13</v>
      </c>
      <c r="CB127" s="22">
        <f t="shared" si="64"/>
        <v>1.3525069634579169E-12</v>
      </c>
      <c r="CC127" s="62">
        <f t="shared" si="65"/>
        <v>282.8670517831747</v>
      </c>
      <c r="CD127" s="62">
        <f ca="1">AVERAGE(OFFSET($CC$3,0,0,'Données projet'!$E$12+1,1))-AVERAGE(OFFSET($H$3,0,0,'Données projet'!$E$12+1,1))</f>
        <v>309.21625451786218</v>
      </c>
      <c r="CE127" s="62">
        <f t="shared" si="94"/>
        <v>302.59481222418219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-2.8421709430404007E-13</v>
      </c>
      <c r="CU127" s="18">
        <f>CT127*VLOOKUP('Données projet'!$B$13,Paramètres!$A$1:$I$89,3,0)*VLOOKUP('Données projet'!$B$13,Paramètres!$A$1:$I$89,5,0)</f>
        <v>-2.7046098693972454E-13</v>
      </c>
      <c r="CV127" s="14" t="e">
        <f t="shared" si="95"/>
        <v>#NUM!</v>
      </c>
      <c r="CW127" s="22" t="e">
        <f t="shared" si="67"/>
        <v>#NUM!</v>
      </c>
      <c r="CX127" s="62" t="e">
        <f t="shared" si="68"/>
        <v>#NUM!</v>
      </c>
      <c r="CY127" s="62">
        <f ca="1">AVERAGE(OFFSET($CX$3,0,0,'Données projet'!$E$13+1,1))-AVERAGE(OFFSET($H$3,0,0,'Données projet'!$E$13+1,1))</f>
        <v>491.87038198656927</v>
      </c>
      <c r="CZ127" s="62">
        <f t="shared" si="96"/>
        <v>406.49261644949559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0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4.2</v>
      </c>
      <c r="DO127" s="13">
        <f>IF('Données projet'!$A$166&gt;35,DO126+DN127-DW126,IF(A127&lt;'Données projet'!$A$166,$DL$205^A127,IF(A127='Données projet'!$A$166,'Données projet'!$B$166,DO126+DN127-DW126)))</f>
        <v>368.79999999999984</v>
      </c>
      <c r="DP127" s="18">
        <f>DO127*VLOOKUP('Données projet'!$B$14,Paramètres!$A$1:$I$89,3,0)*VLOOKUP('Données projet'!$B$14,Paramètres!$A$1:$I$89,5,0)</f>
        <v>356.70335999999986</v>
      </c>
      <c r="DQ127" s="14">
        <f t="shared" si="97"/>
        <v>82.941274962297129</v>
      </c>
      <c r="DR127" s="22">
        <f t="shared" si="70"/>
        <v>765.71440589266729</v>
      </c>
      <c r="DS127" s="62">
        <f t="shared" si="71"/>
        <v>1048.5814576758407</v>
      </c>
      <c r="DT127" s="62">
        <f ca="1">AVERAGE(OFFSET($DS$3,0,0,'Données projet'!$E$14+1,1))-AVERAGE(OFFSET($H$3,0,0,'Données projet'!$E$14+1,1))</f>
        <v>603.52431522262032</v>
      </c>
      <c r="DU127" s="62">
        <f t="shared" si="98"/>
        <v>313.56299786481338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projet'!$B$14,Paramètres!$A$1:$I$89,3,0)*0.475*44/12</f>
        <v>0</v>
      </c>
      <c r="EB127" s="23">
        <f>EXP(-LN(2)/25)*EB126+(1-EXP(-LN(2)/25))/(LN(2)/25)*Calculateur!DW127*Calculateur!DY127*VLOOKUP('Données projet'!$B$14,Paramètres!$A$1:$I$89,3,0)*0.475*44/12</f>
        <v>0</v>
      </c>
      <c r="EC127" s="23">
        <f>EXP(-LN(2)/2)*EC126+(1-EXP(-LN(2)/2))/(LN(2)/2)*DW127*DZ127*VLOOKUP('Données projet'!$B$14,Paramètres!$A$1:$I$89,3,0)*0.475*44/12</f>
        <v>0</v>
      </c>
      <c r="ED127" s="24">
        <f t="shared" si="72"/>
        <v>0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-1.1368683772161603E-13</v>
      </c>
      <c r="EK127" s="18">
        <f>EJ127*VLOOKUP('Données projet'!$B$15,Paramètres!$A$1:$I$89,3,0)*VLOOKUP('Données projet'!$B$15,Paramètres!$A$1:$I$89,5,0)</f>
        <v>-9.2222762759774927E-14</v>
      </c>
      <c r="EL127" s="14" t="e">
        <f t="shared" si="99"/>
        <v>#NUM!</v>
      </c>
      <c r="EM127" s="22" t="e">
        <f t="shared" si="73"/>
        <v>#NUM!</v>
      </c>
      <c r="EN127" s="62" t="e">
        <f t="shared" si="74"/>
        <v>#NUM!</v>
      </c>
      <c r="EO127" s="62">
        <f ca="1">AVERAGE(OFFSET($EN$3,0,0,'Données projet'!$E$15+1,1))-AVERAGE(OFFSET($H$3,0,0,'Données projet'!$E$15+1,1))</f>
        <v>272.69564942740931</v>
      </c>
      <c r="EP127" s="62">
        <f t="shared" si="100"/>
        <v>316.57989180609252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>
        <f>EXP(-LN(2)/35)*EV126+(1-EXP(-LN(2)/35))/(LN(2)/35)*ER127*ES127*VLOOKUP('Données projet'!$B$15,Paramètres!$A$1:$I$89,3,0)*0.475*44/12</f>
        <v>0</v>
      </c>
      <c r="EW127" s="23">
        <f>EXP(-LN(2)/25)*EW126+(1-EXP(-LN(2)/25))/(LN(2)/25)*Calculateur!ER127*Calculateur!ET127*VLOOKUP('Données projet'!$B$15,Paramètres!$A$1:$I$89,3,0)*0.475*44/12</f>
        <v>0</v>
      </c>
      <c r="EX127" s="23">
        <f>EXP(-LN(2)/2)*EX126+(1-EXP(-LN(2)/2))/(LN(2)/2)*ER127*EU127*VLOOKUP('Données projet'!$B$15,Paramètres!$A$1:$I$89,3,0)*0.475*44/12</f>
        <v>0</v>
      </c>
      <c r="EY127" s="24">
        <f t="shared" si="75"/>
        <v>0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-3.4106051316484809E-13</v>
      </c>
      <c r="FF127" s="18">
        <f>FE127*VLOOKUP('Données projet'!$B$16,Paramètres!$A$1:$I$89,3,0)*VLOOKUP('Données projet'!$B$16,Paramètres!$A$1:$I$89,5,0)</f>
        <v>-2.2878339223098009E-13</v>
      </c>
      <c r="FG127" s="14" t="e">
        <f t="shared" si="101"/>
        <v>#NUM!</v>
      </c>
      <c r="FH127" s="22" t="e">
        <f t="shared" si="76"/>
        <v>#NUM!</v>
      </c>
      <c r="FI127" s="62" t="e">
        <f t="shared" si="77"/>
        <v>#NUM!</v>
      </c>
      <c r="FJ127" s="62">
        <f ca="1">AVERAGE(OFFSET($FI$3,0,0,'Données projet'!$E$16+1,1))-AVERAGE(OFFSET($H$3,0,0,'Données projet'!$E$16+1,1))</f>
        <v>440.90856392064205</v>
      </c>
      <c r="FK127" s="62">
        <f t="shared" si="102"/>
        <v>373.33139300970629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>
        <f>EXP(-LN(2)/35)*FQ126+(1-EXP(-LN(2)/35))/(LN(2)/35)*FM127*FN127*VLOOKUP('Données projet'!$B$16,Paramètres!$A$1:$I$89,3,0)*0.475*44/12</f>
        <v>0</v>
      </c>
      <c r="FR127" s="23">
        <f>EXP(-LN(2)/25)*FR126+(1-EXP(-LN(2)/25))/(LN(2)/25)*Calculateur!FM127*Calculateur!FO127*VLOOKUP('Données projet'!$B$16,Paramètres!$A$1:$I$89,3,0)*0.475*44/12</f>
        <v>0</v>
      </c>
      <c r="FS127" s="23">
        <f>EXP(-LN(2)/2)*FS126+(1-EXP(-LN(2)/2))/(LN(2)/2)*FM127*FP127*VLOOKUP('Données projet'!$B$16,Paramètres!$A$1:$I$89,3,0)*0.475*44/12</f>
        <v>0</v>
      </c>
      <c r="FT127" s="24">
        <f t="shared" si="78"/>
        <v>0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70">
        <f t="shared" si="56"/>
        <v>183.33333333333334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4.2</v>
      </c>
      <c r="N128" s="14">
        <f>IF('Données projet'!$A$36&gt;35,N127+M128-V127,IF(A128&lt;'Données projet'!$A$36,$K$205^A128,IF(A128='Données projet'!$A$36,'Données projet'!$B$36,N127+M128-V127)))</f>
        <v>372.99999999999983</v>
      </c>
      <c r="O128" s="14">
        <f>N128*VLOOKUP('Données projet'!$B$9,Paramètres!$A$1:$I$89,3,0)*VLOOKUP('Données projet'!$B$9,Paramètres!$A$1:$I$89,5,0)</f>
        <v>337.49039999999985</v>
      </c>
      <c r="P128" s="14">
        <f t="shared" si="87"/>
        <v>78.981223819202711</v>
      </c>
      <c r="Q128" s="22">
        <f t="shared" si="107"/>
        <v>725.35474481844449</v>
      </c>
      <c r="R128" s="62">
        <f t="shared" si="55"/>
        <v>1008.403363187413</v>
      </c>
      <c r="S128" s="62">
        <f ca="1">AVERAGE(OFFSET($R$3,0,0,'Données projet'!$E$9+1,1))-AVERAGE(OFFSET($H$3,0,0,'Données projet'!$E$9+1,1))</f>
        <v>570.08763950759544</v>
      </c>
      <c r="T128" s="62">
        <f t="shared" si="88"/>
        <v>297.32483725004136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-2.2737367544323206E-13</v>
      </c>
      <c r="AJ128" s="14">
        <f>AI128*VLOOKUP('Données projet'!$B$10,Paramètres!$A$1:$I$89,3,0)*VLOOKUP('Données projet'!$B$10,Paramètres!$A$1:$I$89,5,0)</f>
        <v>-1.8089849618263545E-13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394.70330963327166</v>
      </c>
      <c r="AO128" s="62">
        <f t="shared" si="90"/>
        <v>424.06445894109982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-2.2737367544323206E-13</v>
      </c>
      <c r="BE128" s="14">
        <f>BD128*VLOOKUP('Données projet'!$B$11,Paramètres!$A$1:$I$89,3,0)*VLOOKUP('Données projet'!$B$11,Paramètres!$A$1:$I$89,5,0)</f>
        <v>-1.6671037883497774E-13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368.54671978064204</v>
      </c>
      <c r="BJ128" s="62">
        <f t="shared" si="92"/>
        <v>395.83504504492237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5.6843418860808015E-14</v>
      </c>
      <c r="BZ128" s="14">
        <f>BY128*VLOOKUP('Données projet'!$B$12,Paramètres!$A$1:$I$89,3,0)*VLOOKUP('Données projet'!$B$12,Paramètres!$A$1:$I$89,5,0)</f>
        <v>4.4337866711430253E-14</v>
      </c>
      <c r="CA128" s="14">
        <f t="shared" si="93"/>
        <v>7.3222115536967035E-13</v>
      </c>
      <c r="CB128" s="22">
        <f t="shared" si="64"/>
        <v>1.3525069634579169E-12</v>
      </c>
      <c r="CC128" s="62">
        <f t="shared" si="65"/>
        <v>283.04861836896987</v>
      </c>
      <c r="CD128" s="62">
        <f ca="1">AVERAGE(OFFSET($CC$3,0,0,'Données projet'!$E$12+1,1))-AVERAGE(OFFSET($H$3,0,0,'Données projet'!$E$12+1,1))</f>
        <v>309.21625451786218</v>
      </c>
      <c r="CE128" s="62">
        <f t="shared" si="94"/>
        <v>302.59481222418219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-2.8421709430404007E-13</v>
      </c>
      <c r="CU128" s="18">
        <f>CT128*VLOOKUP('Données projet'!$B$13,Paramètres!$A$1:$I$89,3,0)*VLOOKUP('Données projet'!$B$13,Paramètres!$A$1:$I$89,5,0)</f>
        <v>-2.7046098693972454E-13</v>
      </c>
      <c r="CV128" s="14" t="e">
        <f t="shared" si="95"/>
        <v>#NUM!</v>
      </c>
      <c r="CW128" s="22" t="e">
        <f t="shared" si="67"/>
        <v>#NUM!</v>
      </c>
      <c r="CX128" s="62" t="e">
        <f t="shared" si="68"/>
        <v>#NUM!</v>
      </c>
      <c r="CY128" s="62">
        <f ca="1">AVERAGE(OFFSET($CX$3,0,0,'Données projet'!$E$13+1,1))-AVERAGE(OFFSET($H$3,0,0,'Données projet'!$E$13+1,1))</f>
        <v>491.87038198656927</v>
      </c>
      <c r="CZ128" s="62">
        <f t="shared" si="96"/>
        <v>406.49261644949559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0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4.2</v>
      </c>
      <c r="DO128" s="13">
        <f>IF('Données projet'!$A$166&gt;35,DO127+DN128-DW127,IF(A128&lt;'Données projet'!$A$166,$DL$205^A128,IF(A128='Données projet'!$A$166,'Données projet'!$B$166,DO127+DN128-DW127)))</f>
        <v>372.99999999999983</v>
      </c>
      <c r="DP128" s="18">
        <f>DO128*VLOOKUP('Données projet'!$B$14,Paramètres!$A$1:$I$89,3,0)*VLOOKUP('Données projet'!$B$14,Paramètres!$A$1:$I$89,5,0)</f>
        <v>360.76559999999989</v>
      </c>
      <c r="DQ128" s="14">
        <f t="shared" si="97"/>
        <v>83.775336434983416</v>
      </c>
      <c r="DR128" s="22">
        <f t="shared" si="70"/>
        <v>774.24213095759603</v>
      </c>
      <c r="DS128" s="62">
        <f t="shared" si="71"/>
        <v>1057.2907493265645</v>
      </c>
      <c r="DT128" s="62">
        <f ca="1">AVERAGE(OFFSET($DS$3,0,0,'Données projet'!$E$14+1,1))-AVERAGE(OFFSET($H$3,0,0,'Données projet'!$E$14+1,1))</f>
        <v>603.52431522262032</v>
      </c>
      <c r="DU128" s="62">
        <f t="shared" si="98"/>
        <v>313.56299786481338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projet'!$B$14,Paramètres!$A$1:$I$89,3,0)*0.475*44/12</f>
        <v>0</v>
      </c>
      <c r="EB128" s="23">
        <f>EXP(-LN(2)/25)*EB127+(1-EXP(-LN(2)/25))/(LN(2)/25)*Calculateur!DW128*Calculateur!DY128*VLOOKUP('Données projet'!$B$14,Paramètres!$A$1:$I$89,3,0)*0.475*44/12</f>
        <v>0</v>
      </c>
      <c r="EC128" s="23">
        <f>EXP(-LN(2)/2)*EC127+(1-EXP(-LN(2)/2))/(LN(2)/2)*DW128*DZ128*VLOOKUP('Données projet'!$B$14,Paramètres!$A$1:$I$89,3,0)*0.475*44/12</f>
        <v>0</v>
      </c>
      <c r="ED128" s="24">
        <f t="shared" si="72"/>
        <v>0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-1.1368683772161603E-13</v>
      </c>
      <c r="EK128" s="18">
        <f>EJ128*VLOOKUP('Données projet'!$B$15,Paramètres!$A$1:$I$89,3,0)*VLOOKUP('Données projet'!$B$15,Paramètres!$A$1:$I$89,5,0)</f>
        <v>-9.2222762759774927E-14</v>
      </c>
      <c r="EL128" s="14" t="e">
        <f t="shared" si="99"/>
        <v>#NUM!</v>
      </c>
      <c r="EM128" s="22" t="e">
        <f t="shared" si="73"/>
        <v>#NUM!</v>
      </c>
      <c r="EN128" s="62" t="e">
        <f t="shared" si="74"/>
        <v>#NUM!</v>
      </c>
      <c r="EO128" s="62">
        <f ca="1">AVERAGE(OFFSET($EN$3,0,0,'Données projet'!$E$15+1,1))-AVERAGE(OFFSET($H$3,0,0,'Données projet'!$E$15+1,1))</f>
        <v>272.69564942740931</v>
      </c>
      <c r="EP128" s="62">
        <f t="shared" si="100"/>
        <v>316.57989180609252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>
        <f>EXP(-LN(2)/35)*EV127+(1-EXP(-LN(2)/35))/(LN(2)/35)*ER128*ES128*VLOOKUP('Données projet'!$B$15,Paramètres!$A$1:$I$89,3,0)*0.475*44/12</f>
        <v>0</v>
      </c>
      <c r="EW128" s="23">
        <f>EXP(-LN(2)/25)*EW127+(1-EXP(-LN(2)/25))/(LN(2)/25)*Calculateur!ER128*Calculateur!ET128*VLOOKUP('Données projet'!$B$15,Paramètres!$A$1:$I$89,3,0)*0.475*44/12</f>
        <v>0</v>
      </c>
      <c r="EX128" s="23">
        <f>EXP(-LN(2)/2)*EX127+(1-EXP(-LN(2)/2))/(LN(2)/2)*ER128*EU128*VLOOKUP('Données projet'!$B$15,Paramètres!$A$1:$I$89,3,0)*0.475*44/12</f>
        <v>0</v>
      </c>
      <c r="EY128" s="24">
        <f t="shared" si="75"/>
        <v>0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-3.4106051316484809E-13</v>
      </c>
      <c r="FF128" s="18">
        <f>FE128*VLOOKUP('Données projet'!$B$16,Paramètres!$A$1:$I$89,3,0)*VLOOKUP('Données projet'!$B$16,Paramètres!$A$1:$I$89,5,0)</f>
        <v>-2.2878339223098009E-13</v>
      </c>
      <c r="FG128" s="14" t="e">
        <f t="shared" si="101"/>
        <v>#NUM!</v>
      </c>
      <c r="FH128" s="22" t="e">
        <f t="shared" si="76"/>
        <v>#NUM!</v>
      </c>
      <c r="FI128" s="62" t="e">
        <f t="shared" si="77"/>
        <v>#NUM!</v>
      </c>
      <c r="FJ128" s="62">
        <f ca="1">AVERAGE(OFFSET($FI$3,0,0,'Données projet'!$E$16+1,1))-AVERAGE(OFFSET($H$3,0,0,'Données projet'!$E$16+1,1))</f>
        <v>440.90856392064205</v>
      </c>
      <c r="FK128" s="62">
        <f t="shared" si="102"/>
        <v>373.33139300970629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>
        <f>EXP(-LN(2)/35)*FQ127+(1-EXP(-LN(2)/35))/(LN(2)/35)*FM128*FN128*VLOOKUP('Données projet'!$B$16,Paramètres!$A$1:$I$89,3,0)*0.475*44/12</f>
        <v>0</v>
      </c>
      <c r="FR128" s="23">
        <f>EXP(-LN(2)/25)*FR127+(1-EXP(-LN(2)/25))/(LN(2)/25)*Calculateur!FM128*Calculateur!FO128*VLOOKUP('Données projet'!$B$16,Paramètres!$A$1:$I$89,3,0)*0.475*44/12</f>
        <v>0</v>
      </c>
      <c r="FS128" s="23">
        <f>EXP(-LN(2)/2)*FS127+(1-EXP(-LN(2)/2))/(LN(2)/2)*FM128*FP128*VLOOKUP('Données projet'!$B$16,Paramètres!$A$1:$I$89,3,0)*0.475*44/12</f>
        <v>0</v>
      </c>
      <c r="FT128" s="24">
        <f t="shared" si="78"/>
        <v>0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70">
        <f t="shared" si="56"/>
        <v>183.33333333333334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4.2</v>
      </c>
      <c r="N129" s="14">
        <f>IF('Données projet'!$A$36&gt;35,N128+M129-V128,IF(A129&lt;'Données projet'!$A$36,$K$205^A129,IF(A129='Données projet'!$A$36,'Données projet'!$B$36,N128+M129-V128)))</f>
        <v>377.19999999999982</v>
      </c>
      <c r="O129" s="14">
        <f>N129*VLOOKUP('Données projet'!$B$9,Paramètres!$A$1:$I$89,3,0)*VLOOKUP('Données projet'!$B$9,Paramètres!$A$1:$I$89,5,0)</f>
        <v>341.2905599999998</v>
      </c>
      <c r="P129" s="14">
        <f t="shared" si="87"/>
        <v>79.766525467910597</v>
      </c>
      <c r="Q129" s="22">
        <f t="shared" si="107"/>
        <v>733.34109052327722</v>
      </c>
      <c r="R129" s="62">
        <f t="shared" si="55"/>
        <v>1016.5681257036995</v>
      </c>
      <c r="S129" s="62">
        <f ca="1">AVERAGE(OFFSET($R$3,0,0,'Données projet'!$E$9+1,1))-AVERAGE(OFFSET($H$3,0,0,'Données projet'!$E$9+1,1))</f>
        <v>570.08763950759544</v>
      </c>
      <c r="T129" s="62">
        <f t="shared" si="88"/>
        <v>297.32483725004136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-2.2737367544323206E-13</v>
      </c>
      <c r="AJ129" s="14">
        <f>AI129*VLOOKUP('Données projet'!$B$10,Paramètres!$A$1:$I$89,3,0)*VLOOKUP('Données projet'!$B$10,Paramètres!$A$1:$I$89,5,0)</f>
        <v>-1.8089849618263545E-13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394.70330963327166</v>
      </c>
      <c r="AO129" s="62">
        <f t="shared" si="90"/>
        <v>424.06445894109982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-2.2737367544323206E-13</v>
      </c>
      <c r="BE129" s="14">
        <f>BD129*VLOOKUP('Données projet'!$B$11,Paramètres!$A$1:$I$89,3,0)*VLOOKUP('Données projet'!$B$11,Paramètres!$A$1:$I$89,5,0)</f>
        <v>-1.6671037883497774E-13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368.54671978064204</v>
      </c>
      <c r="BJ129" s="62">
        <f t="shared" si="92"/>
        <v>395.83504504492237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5.6843418860808015E-14</v>
      </c>
      <c r="BZ129" s="14">
        <f>BY129*VLOOKUP('Données projet'!$B$12,Paramètres!$A$1:$I$89,3,0)*VLOOKUP('Données projet'!$B$12,Paramètres!$A$1:$I$89,5,0)</f>
        <v>4.4337866711430253E-14</v>
      </c>
      <c r="CA129" s="14">
        <f t="shared" si="93"/>
        <v>7.3222115536967035E-13</v>
      </c>
      <c r="CB129" s="22">
        <f t="shared" si="64"/>
        <v>1.3525069634579169E-12</v>
      </c>
      <c r="CC129" s="62">
        <f t="shared" si="65"/>
        <v>283.22703518042357</v>
      </c>
      <c r="CD129" s="62">
        <f ca="1">AVERAGE(OFFSET($CC$3,0,0,'Données projet'!$E$12+1,1))-AVERAGE(OFFSET($H$3,0,0,'Données projet'!$E$12+1,1))</f>
        <v>309.21625451786218</v>
      </c>
      <c r="CE129" s="62">
        <f t="shared" si="94"/>
        <v>302.59481222418219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-2.8421709430404007E-13</v>
      </c>
      <c r="CU129" s="18">
        <f>CT129*VLOOKUP('Données projet'!$B$13,Paramètres!$A$1:$I$89,3,0)*VLOOKUP('Données projet'!$B$13,Paramètres!$A$1:$I$89,5,0)</f>
        <v>-2.7046098693972454E-13</v>
      </c>
      <c r="CV129" s="14" t="e">
        <f t="shared" si="95"/>
        <v>#NUM!</v>
      </c>
      <c r="CW129" s="22" t="e">
        <f t="shared" si="67"/>
        <v>#NUM!</v>
      </c>
      <c r="CX129" s="62" t="e">
        <f t="shared" si="68"/>
        <v>#NUM!</v>
      </c>
      <c r="CY129" s="62">
        <f ca="1">AVERAGE(OFFSET($CX$3,0,0,'Données projet'!$E$13+1,1))-AVERAGE(OFFSET($H$3,0,0,'Données projet'!$E$13+1,1))</f>
        <v>491.87038198656927</v>
      </c>
      <c r="CZ129" s="62">
        <f t="shared" si="96"/>
        <v>406.49261644949559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0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4.2</v>
      </c>
      <c r="DO129" s="13">
        <f>IF('Données projet'!$A$166&gt;35,DO128+DN129-DW128,IF(A129&lt;'Données projet'!$A$166,$DL$205^A129,IF(A129='Données projet'!$A$166,'Données projet'!$B$166,DO128+DN129-DW128)))</f>
        <v>377.19999999999982</v>
      </c>
      <c r="DP129" s="18">
        <f>DO129*VLOOKUP('Données projet'!$B$14,Paramètres!$A$1:$I$89,3,0)*VLOOKUP('Données projet'!$B$14,Paramètres!$A$1:$I$89,5,0)</f>
        <v>364.82783999999987</v>
      </c>
      <c r="DQ129" s="14">
        <f t="shared" si="97"/>
        <v>84.608305419789914</v>
      </c>
      <c r="DR129" s="22">
        <f t="shared" si="70"/>
        <v>782.76795327280058</v>
      </c>
      <c r="DS129" s="62">
        <f t="shared" si="71"/>
        <v>1065.9949884532227</v>
      </c>
      <c r="DT129" s="62">
        <f ca="1">AVERAGE(OFFSET($DS$3,0,0,'Données projet'!$E$14+1,1))-AVERAGE(OFFSET($H$3,0,0,'Données projet'!$E$14+1,1))</f>
        <v>603.52431522262032</v>
      </c>
      <c r="DU129" s="62">
        <f t="shared" si="98"/>
        <v>313.56299786481338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projet'!$B$14,Paramètres!$A$1:$I$89,3,0)*0.475*44/12</f>
        <v>0</v>
      </c>
      <c r="EB129" s="23">
        <f>EXP(-LN(2)/25)*EB128+(1-EXP(-LN(2)/25))/(LN(2)/25)*Calculateur!DW129*Calculateur!DY129*VLOOKUP('Données projet'!$B$14,Paramètres!$A$1:$I$89,3,0)*0.475*44/12</f>
        <v>0</v>
      </c>
      <c r="EC129" s="23">
        <f>EXP(-LN(2)/2)*EC128+(1-EXP(-LN(2)/2))/(LN(2)/2)*DW129*DZ129*VLOOKUP('Données projet'!$B$14,Paramètres!$A$1:$I$89,3,0)*0.475*44/12</f>
        <v>0</v>
      </c>
      <c r="ED129" s="24">
        <f t="shared" si="72"/>
        <v>0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-1.1368683772161603E-13</v>
      </c>
      <c r="EK129" s="18">
        <f>EJ129*VLOOKUP('Données projet'!$B$15,Paramètres!$A$1:$I$89,3,0)*VLOOKUP('Données projet'!$B$15,Paramètres!$A$1:$I$89,5,0)</f>
        <v>-9.2222762759774927E-14</v>
      </c>
      <c r="EL129" s="14" t="e">
        <f t="shared" si="99"/>
        <v>#NUM!</v>
      </c>
      <c r="EM129" s="22" t="e">
        <f t="shared" si="73"/>
        <v>#NUM!</v>
      </c>
      <c r="EN129" s="62" t="e">
        <f t="shared" si="74"/>
        <v>#NUM!</v>
      </c>
      <c r="EO129" s="62">
        <f ca="1">AVERAGE(OFFSET($EN$3,0,0,'Données projet'!$E$15+1,1))-AVERAGE(OFFSET($H$3,0,0,'Données projet'!$E$15+1,1))</f>
        <v>272.69564942740931</v>
      </c>
      <c r="EP129" s="62">
        <f t="shared" si="100"/>
        <v>316.57989180609252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>
        <f>EXP(-LN(2)/35)*EV128+(1-EXP(-LN(2)/35))/(LN(2)/35)*ER129*ES129*VLOOKUP('Données projet'!$B$15,Paramètres!$A$1:$I$89,3,0)*0.475*44/12</f>
        <v>0</v>
      </c>
      <c r="EW129" s="23">
        <f>EXP(-LN(2)/25)*EW128+(1-EXP(-LN(2)/25))/(LN(2)/25)*Calculateur!ER129*Calculateur!ET129*VLOOKUP('Données projet'!$B$15,Paramètres!$A$1:$I$89,3,0)*0.475*44/12</f>
        <v>0</v>
      </c>
      <c r="EX129" s="23">
        <f>EXP(-LN(2)/2)*EX128+(1-EXP(-LN(2)/2))/(LN(2)/2)*ER129*EU129*VLOOKUP('Données projet'!$B$15,Paramètres!$A$1:$I$89,3,0)*0.475*44/12</f>
        <v>0</v>
      </c>
      <c r="EY129" s="24">
        <f t="shared" si="75"/>
        <v>0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-3.4106051316484809E-13</v>
      </c>
      <c r="FF129" s="18">
        <f>FE129*VLOOKUP('Données projet'!$B$16,Paramètres!$A$1:$I$89,3,0)*VLOOKUP('Données projet'!$B$16,Paramètres!$A$1:$I$89,5,0)</f>
        <v>-2.2878339223098009E-13</v>
      </c>
      <c r="FG129" s="14" t="e">
        <f t="shared" si="101"/>
        <v>#NUM!</v>
      </c>
      <c r="FH129" s="22" t="e">
        <f t="shared" si="76"/>
        <v>#NUM!</v>
      </c>
      <c r="FI129" s="62" t="e">
        <f t="shared" si="77"/>
        <v>#NUM!</v>
      </c>
      <c r="FJ129" s="62">
        <f ca="1">AVERAGE(OFFSET($FI$3,0,0,'Données projet'!$E$16+1,1))-AVERAGE(OFFSET($H$3,0,0,'Données projet'!$E$16+1,1))</f>
        <v>440.90856392064205</v>
      </c>
      <c r="FK129" s="62">
        <f t="shared" si="102"/>
        <v>373.33139300970629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>
        <f>EXP(-LN(2)/35)*FQ128+(1-EXP(-LN(2)/35))/(LN(2)/35)*FM129*FN129*VLOOKUP('Données projet'!$B$16,Paramètres!$A$1:$I$89,3,0)*0.475*44/12</f>
        <v>0</v>
      </c>
      <c r="FR129" s="23">
        <f>EXP(-LN(2)/25)*FR128+(1-EXP(-LN(2)/25))/(LN(2)/25)*Calculateur!FM129*Calculateur!FO129*VLOOKUP('Données projet'!$B$16,Paramètres!$A$1:$I$89,3,0)*0.475*44/12</f>
        <v>0</v>
      </c>
      <c r="FS129" s="23">
        <f>EXP(-LN(2)/2)*FS128+(1-EXP(-LN(2)/2))/(LN(2)/2)*FM129*FP129*VLOOKUP('Données projet'!$B$16,Paramètres!$A$1:$I$89,3,0)*0.475*44/12</f>
        <v>0</v>
      </c>
      <c r="FT129" s="24">
        <f t="shared" si="78"/>
        <v>0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70">
        <f t="shared" si="56"/>
        <v>183.33333333333334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4.2</v>
      </c>
      <c r="N130" s="14">
        <f>IF('Données projet'!$A$36&gt;35,N129+M130-V129,IF(A130&lt;'Données projet'!$A$36,$K$205^A130,IF(A130='Données projet'!$A$36,'Données projet'!$B$36,N129+M130-V129)))</f>
        <v>381.39999999999981</v>
      </c>
      <c r="O130" s="14">
        <f>N130*VLOOKUP('Données projet'!$B$9,Paramètres!$A$1:$I$89,3,0)*VLOOKUP('Données projet'!$B$9,Paramètres!$A$1:$I$89,5,0)</f>
        <v>345.09071999999981</v>
      </c>
      <c r="P130" s="14">
        <f t="shared" si="87"/>
        <v>80.550809942790039</v>
      </c>
      <c r="Q130" s="22">
        <f t="shared" si="107"/>
        <v>741.32566465035904</v>
      </c>
      <c r="R130" s="62">
        <f t="shared" si="55"/>
        <v>1024.7280215094365</v>
      </c>
      <c r="S130" s="62">
        <f ca="1">AVERAGE(OFFSET($R$3,0,0,'Données projet'!$E$9+1,1))-AVERAGE(OFFSET($H$3,0,0,'Données projet'!$E$9+1,1))</f>
        <v>570.08763950759544</v>
      </c>
      <c r="T130" s="62">
        <f t="shared" si="88"/>
        <v>297.32483725004136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-2.2737367544323206E-13</v>
      </c>
      <c r="AJ130" s="14">
        <f>AI130*VLOOKUP('Données projet'!$B$10,Paramètres!$A$1:$I$89,3,0)*VLOOKUP('Données projet'!$B$10,Paramètres!$A$1:$I$89,5,0)</f>
        <v>-1.8089849618263545E-13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394.70330963327166</v>
      </c>
      <c r="AO130" s="62">
        <f t="shared" si="90"/>
        <v>424.06445894109982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-2.2737367544323206E-13</v>
      </c>
      <c r="BE130" s="14">
        <f>BD130*VLOOKUP('Données projet'!$B$11,Paramètres!$A$1:$I$89,3,0)*VLOOKUP('Données projet'!$B$11,Paramètres!$A$1:$I$89,5,0)</f>
        <v>-1.6671037883497774E-13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368.54671978064204</v>
      </c>
      <c r="BJ130" s="62">
        <f t="shared" si="92"/>
        <v>395.83504504492237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5.6843418860808015E-14</v>
      </c>
      <c r="BZ130" s="14">
        <f>BY130*VLOOKUP('Données projet'!$B$12,Paramètres!$A$1:$I$89,3,0)*VLOOKUP('Données projet'!$B$12,Paramètres!$A$1:$I$89,5,0)</f>
        <v>4.4337866711430253E-14</v>
      </c>
      <c r="CA130" s="14">
        <f t="shared" si="93"/>
        <v>7.3222115536967035E-13</v>
      </c>
      <c r="CB130" s="22">
        <f t="shared" si="64"/>
        <v>1.3525069634579169E-12</v>
      </c>
      <c r="CC130" s="62">
        <f t="shared" si="65"/>
        <v>283.40235685907879</v>
      </c>
      <c r="CD130" s="62">
        <f ca="1">AVERAGE(OFFSET($CC$3,0,0,'Données projet'!$E$12+1,1))-AVERAGE(OFFSET($H$3,0,0,'Données projet'!$E$12+1,1))</f>
        <v>309.21625451786218</v>
      </c>
      <c r="CE130" s="62">
        <f t="shared" si="94"/>
        <v>302.59481222418219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-2.8421709430404007E-13</v>
      </c>
      <c r="CU130" s="18">
        <f>CT130*VLOOKUP('Données projet'!$B$13,Paramètres!$A$1:$I$89,3,0)*VLOOKUP('Données projet'!$B$13,Paramètres!$A$1:$I$89,5,0)</f>
        <v>-2.7046098693972454E-13</v>
      </c>
      <c r="CV130" s="14" t="e">
        <f t="shared" si="95"/>
        <v>#NUM!</v>
      </c>
      <c r="CW130" s="22" t="e">
        <f t="shared" si="67"/>
        <v>#NUM!</v>
      </c>
      <c r="CX130" s="62" t="e">
        <f t="shared" si="68"/>
        <v>#NUM!</v>
      </c>
      <c r="CY130" s="62">
        <f ca="1">AVERAGE(OFFSET($CX$3,0,0,'Données projet'!$E$13+1,1))-AVERAGE(OFFSET($H$3,0,0,'Données projet'!$E$13+1,1))</f>
        <v>491.87038198656927</v>
      </c>
      <c r="CZ130" s="62">
        <f t="shared" si="96"/>
        <v>406.49261644949559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0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4.2</v>
      </c>
      <c r="DO130" s="13">
        <f>IF('Données projet'!$A$166&gt;35,DO129+DN130-DW129,IF(A130&lt;'Données projet'!$A$166,$DL$205^A130,IF(A130='Données projet'!$A$166,'Données projet'!$B$166,DO129+DN130-DW129)))</f>
        <v>381.39999999999981</v>
      </c>
      <c r="DP130" s="18">
        <f>DO130*VLOOKUP('Données projet'!$B$14,Paramètres!$A$1:$I$89,3,0)*VLOOKUP('Données projet'!$B$14,Paramètres!$A$1:$I$89,5,0)</f>
        <v>368.89007999999984</v>
      </c>
      <c r="DQ130" s="14">
        <f t="shared" si="97"/>
        <v>85.440195488930357</v>
      </c>
      <c r="DR130" s="22">
        <f t="shared" si="70"/>
        <v>791.29189647655346</v>
      </c>
      <c r="DS130" s="62">
        <f t="shared" si="71"/>
        <v>1074.6942533356309</v>
      </c>
      <c r="DT130" s="62">
        <f ca="1">AVERAGE(OFFSET($DS$3,0,0,'Données projet'!$E$14+1,1))-AVERAGE(OFFSET($H$3,0,0,'Données projet'!$E$14+1,1))</f>
        <v>603.52431522262032</v>
      </c>
      <c r="DU130" s="62">
        <f t="shared" si="98"/>
        <v>313.56299786481338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projet'!$B$14,Paramètres!$A$1:$I$89,3,0)*0.475*44/12</f>
        <v>0</v>
      </c>
      <c r="EB130" s="23">
        <f>EXP(-LN(2)/25)*EB129+(1-EXP(-LN(2)/25))/(LN(2)/25)*Calculateur!DW130*Calculateur!DY130*VLOOKUP('Données projet'!$B$14,Paramètres!$A$1:$I$89,3,0)*0.475*44/12</f>
        <v>0</v>
      </c>
      <c r="EC130" s="23">
        <f>EXP(-LN(2)/2)*EC129+(1-EXP(-LN(2)/2))/(LN(2)/2)*DW130*DZ130*VLOOKUP('Données projet'!$B$14,Paramètres!$A$1:$I$89,3,0)*0.475*44/12</f>
        <v>0</v>
      </c>
      <c r="ED130" s="24">
        <f t="shared" si="72"/>
        <v>0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-1.1368683772161603E-13</v>
      </c>
      <c r="EK130" s="18">
        <f>EJ130*VLOOKUP('Données projet'!$B$15,Paramètres!$A$1:$I$89,3,0)*VLOOKUP('Données projet'!$B$15,Paramètres!$A$1:$I$89,5,0)</f>
        <v>-9.2222762759774927E-14</v>
      </c>
      <c r="EL130" s="14" t="e">
        <f t="shared" si="99"/>
        <v>#NUM!</v>
      </c>
      <c r="EM130" s="22" t="e">
        <f t="shared" si="73"/>
        <v>#NUM!</v>
      </c>
      <c r="EN130" s="62" t="e">
        <f t="shared" si="74"/>
        <v>#NUM!</v>
      </c>
      <c r="EO130" s="62">
        <f ca="1">AVERAGE(OFFSET($EN$3,0,0,'Données projet'!$E$15+1,1))-AVERAGE(OFFSET($H$3,0,0,'Données projet'!$E$15+1,1))</f>
        <v>272.69564942740931</v>
      </c>
      <c r="EP130" s="62">
        <f t="shared" si="100"/>
        <v>316.57989180609252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>
        <f>EXP(-LN(2)/35)*EV129+(1-EXP(-LN(2)/35))/(LN(2)/35)*ER130*ES130*VLOOKUP('Données projet'!$B$15,Paramètres!$A$1:$I$89,3,0)*0.475*44/12</f>
        <v>0</v>
      </c>
      <c r="EW130" s="23">
        <f>EXP(-LN(2)/25)*EW129+(1-EXP(-LN(2)/25))/(LN(2)/25)*Calculateur!ER130*Calculateur!ET130*VLOOKUP('Données projet'!$B$15,Paramètres!$A$1:$I$89,3,0)*0.475*44/12</f>
        <v>0</v>
      </c>
      <c r="EX130" s="23">
        <f>EXP(-LN(2)/2)*EX129+(1-EXP(-LN(2)/2))/(LN(2)/2)*ER130*EU130*VLOOKUP('Données projet'!$B$15,Paramètres!$A$1:$I$89,3,0)*0.475*44/12</f>
        <v>0</v>
      </c>
      <c r="EY130" s="24">
        <f t="shared" si="75"/>
        <v>0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-3.4106051316484809E-13</v>
      </c>
      <c r="FF130" s="18">
        <f>FE130*VLOOKUP('Données projet'!$B$16,Paramètres!$A$1:$I$89,3,0)*VLOOKUP('Données projet'!$B$16,Paramètres!$A$1:$I$89,5,0)</f>
        <v>-2.2878339223098009E-13</v>
      </c>
      <c r="FG130" s="14" t="e">
        <f t="shared" si="101"/>
        <v>#NUM!</v>
      </c>
      <c r="FH130" s="22" t="e">
        <f t="shared" si="76"/>
        <v>#NUM!</v>
      </c>
      <c r="FI130" s="62" t="e">
        <f t="shared" si="77"/>
        <v>#NUM!</v>
      </c>
      <c r="FJ130" s="62">
        <f ca="1">AVERAGE(OFFSET($FI$3,0,0,'Données projet'!$E$16+1,1))-AVERAGE(OFFSET($H$3,0,0,'Données projet'!$E$16+1,1))</f>
        <v>440.90856392064205</v>
      </c>
      <c r="FK130" s="62">
        <f t="shared" si="102"/>
        <v>373.33139300970629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>
        <f>EXP(-LN(2)/35)*FQ129+(1-EXP(-LN(2)/35))/(LN(2)/35)*FM130*FN130*VLOOKUP('Données projet'!$B$16,Paramètres!$A$1:$I$89,3,0)*0.475*44/12</f>
        <v>0</v>
      </c>
      <c r="FR130" s="23">
        <f>EXP(-LN(2)/25)*FR129+(1-EXP(-LN(2)/25))/(LN(2)/25)*Calculateur!FM130*Calculateur!FO130*VLOOKUP('Données projet'!$B$16,Paramètres!$A$1:$I$89,3,0)*0.475*44/12</f>
        <v>0</v>
      </c>
      <c r="FS130" s="23">
        <f>EXP(-LN(2)/2)*FS129+(1-EXP(-LN(2)/2))/(LN(2)/2)*FM130*FP130*VLOOKUP('Données projet'!$B$16,Paramètres!$A$1:$I$89,3,0)*0.475*44/12</f>
        <v>0</v>
      </c>
      <c r="FT130" s="24">
        <f t="shared" si="78"/>
        <v>0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70">
        <f t="shared" si="56"/>
        <v>183.33333333333334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4.2</v>
      </c>
      <c r="N131" s="14">
        <f>IF('Données projet'!$A$36&gt;35,N130+M131-V130,IF(A131&lt;'Données projet'!$A$36,$K$205^A131,IF(A131='Données projet'!$A$36,'Données projet'!$B$36,N130+M131-V130)))</f>
        <v>385.5999999999998</v>
      </c>
      <c r="O131" s="14">
        <f>N131*VLOOKUP('Données projet'!$B$9,Paramètres!$A$1:$I$89,3,0)*VLOOKUP('Données projet'!$B$9,Paramètres!$A$1:$I$89,5,0)</f>
        <v>348.89087999999981</v>
      </c>
      <c r="P131" s="14">
        <f t="shared" si="87"/>
        <v>81.33408974133495</v>
      </c>
      <c r="Q131" s="22">
        <f t="shared" ref="Q131:Q153" si="108">(O131+P131)*0.475*44/12</f>
        <v>749.30848896615805</v>
      </c>
      <c r="R131" s="62">
        <f t="shared" ref="R131:R194" si="109">Q131+(I131+J131)*44/12</f>
        <v>1032.8831260647266</v>
      </c>
      <c r="S131" s="62">
        <f ca="1">AVERAGE(OFFSET($R$3,0,0,'Données projet'!$E$9+1,1))-AVERAGE(OFFSET($H$3,0,0,'Données projet'!$E$9+1,1))</f>
        <v>570.08763950759544</v>
      </c>
      <c r="T131" s="62">
        <f t="shared" si="88"/>
        <v>297.32483725004136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-2.2737367544323206E-13</v>
      </c>
      <c r="AJ131" s="14">
        <f>AI131*VLOOKUP('Données projet'!$B$10,Paramètres!$A$1:$I$89,3,0)*VLOOKUP('Données projet'!$B$10,Paramètres!$A$1:$I$89,5,0)</f>
        <v>-1.8089849618263545E-13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394.70330963327166</v>
      </c>
      <c r="AO131" s="62">
        <f t="shared" si="90"/>
        <v>424.06445894109982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-2.2737367544323206E-13</v>
      </c>
      <c r="BE131" s="14">
        <f>BD131*VLOOKUP('Données projet'!$B$11,Paramètres!$A$1:$I$89,3,0)*VLOOKUP('Données projet'!$B$11,Paramètres!$A$1:$I$89,5,0)</f>
        <v>-1.6671037883497774E-13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368.54671978064204</v>
      </c>
      <c r="BJ131" s="62">
        <f t="shared" si="92"/>
        <v>395.83504504492237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5.6843418860808015E-14</v>
      </c>
      <c r="BZ131" s="14">
        <f>BY131*VLOOKUP('Données projet'!$B$12,Paramètres!$A$1:$I$89,3,0)*VLOOKUP('Données projet'!$B$12,Paramètres!$A$1:$I$89,5,0)</f>
        <v>4.4337866711430253E-14</v>
      </c>
      <c r="CA131" s="14">
        <f t="shared" si="93"/>
        <v>7.3222115536967035E-13</v>
      </c>
      <c r="CB131" s="22">
        <f t="shared" si="64"/>
        <v>1.3525069634579169E-12</v>
      </c>
      <c r="CC131" s="62">
        <f t="shared" si="65"/>
        <v>283.57463709856989</v>
      </c>
      <c r="CD131" s="62">
        <f ca="1">AVERAGE(OFFSET($CC$3,0,0,'Données projet'!$E$12+1,1))-AVERAGE(OFFSET($H$3,0,0,'Données projet'!$E$12+1,1))</f>
        <v>309.21625451786218</v>
      </c>
      <c r="CE131" s="62">
        <f t="shared" si="94"/>
        <v>302.59481222418219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-2.8421709430404007E-13</v>
      </c>
      <c r="CU131" s="18">
        <f>CT131*VLOOKUP('Données projet'!$B$13,Paramètres!$A$1:$I$89,3,0)*VLOOKUP('Données projet'!$B$13,Paramètres!$A$1:$I$89,5,0)</f>
        <v>-2.7046098693972454E-13</v>
      </c>
      <c r="CV131" s="14" t="e">
        <f t="shared" si="95"/>
        <v>#NUM!</v>
      </c>
      <c r="CW131" s="22" t="e">
        <f t="shared" si="67"/>
        <v>#NUM!</v>
      </c>
      <c r="CX131" s="62" t="e">
        <f t="shared" si="68"/>
        <v>#NUM!</v>
      </c>
      <c r="CY131" s="62">
        <f ca="1">AVERAGE(OFFSET($CX$3,0,0,'Données projet'!$E$13+1,1))-AVERAGE(OFFSET($H$3,0,0,'Données projet'!$E$13+1,1))</f>
        <v>491.87038198656927</v>
      </c>
      <c r="CZ131" s="62">
        <f t="shared" si="96"/>
        <v>406.49261644949559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0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4.2</v>
      </c>
      <c r="DO131" s="13">
        <f>IF('Données projet'!$A$166&gt;35,DO130+DN131-DW130,IF(A131&lt;'Données projet'!$A$166,$DL$205^A131,IF(A131='Données projet'!$A$166,'Données projet'!$B$166,DO130+DN131-DW130)))</f>
        <v>385.5999999999998</v>
      </c>
      <c r="DP131" s="18">
        <f>DO131*VLOOKUP('Données projet'!$B$14,Paramètres!$A$1:$I$89,3,0)*VLOOKUP('Données projet'!$B$14,Paramètres!$A$1:$I$89,5,0)</f>
        <v>372.95231999999982</v>
      </c>
      <c r="DQ131" s="14">
        <f t="shared" si="97"/>
        <v>86.271019898489143</v>
      </c>
      <c r="DR131" s="22">
        <f t="shared" si="70"/>
        <v>799.81398365653479</v>
      </c>
      <c r="DS131" s="62">
        <f t="shared" si="71"/>
        <v>1083.3886207551034</v>
      </c>
      <c r="DT131" s="62">
        <f ca="1">AVERAGE(OFFSET($DS$3,0,0,'Données projet'!$E$14+1,1))-AVERAGE(OFFSET($H$3,0,0,'Données projet'!$E$14+1,1))</f>
        <v>603.52431522262032</v>
      </c>
      <c r="DU131" s="62">
        <f t="shared" si="98"/>
        <v>313.56299786481338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projet'!$B$14,Paramètres!$A$1:$I$89,3,0)*0.475*44/12</f>
        <v>0</v>
      </c>
      <c r="EB131" s="23">
        <f>EXP(-LN(2)/25)*EB130+(1-EXP(-LN(2)/25))/(LN(2)/25)*Calculateur!DW131*Calculateur!DY131*VLOOKUP('Données projet'!$B$14,Paramètres!$A$1:$I$89,3,0)*0.475*44/12</f>
        <v>0</v>
      </c>
      <c r="EC131" s="23">
        <f>EXP(-LN(2)/2)*EC130+(1-EXP(-LN(2)/2))/(LN(2)/2)*DW131*DZ131*VLOOKUP('Données projet'!$B$14,Paramètres!$A$1:$I$89,3,0)*0.475*44/12</f>
        <v>0</v>
      </c>
      <c r="ED131" s="24">
        <f t="shared" si="72"/>
        <v>0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-1.1368683772161603E-13</v>
      </c>
      <c r="EK131" s="18">
        <f>EJ131*VLOOKUP('Données projet'!$B$15,Paramètres!$A$1:$I$89,3,0)*VLOOKUP('Données projet'!$B$15,Paramètres!$A$1:$I$89,5,0)</f>
        <v>-9.2222762759774927E-14</v>
      </c>
      <c r="EL131" s="14" t="e">
        <f t="shared" si="99"/>
        <v>#NUM!</v>
      </c>
      <c r="EM131" s="22" t="e">
        <f t="shared" si="73"/>
        <v>#NUM!</v>
      </c>
      <c r="EN131" s="62" t="e">
        <f t="shared" si="74"/>
        <v>#NUM!</v>
      </c>
      <c r="EO131" s="62">
        <f ca="1">AVERAGE(OFFSET($EN$3,0,0,'Données projet'!$E$15+1,1))-AVERAGE(OFFSET($H$3,0,0,'Données projet'!$E$15+1,1))</f>
        <v>272.69564942740931</v>
      </c>
      <c r="EP131" s="62">
        <f t="shared" si="100"/>
        <v>316.57989180609252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>
        <f>EXP(-LN(2)/35)*EV130+(1-EXP(-LN(2)/35))/(LN(2)/35)*ER131*ES131*VLOOKUP('Données projet'!$B$15,Paramètres!$A$1:$I$89,3,0)*0.475*44/12</f>
        <v>0</v>
      </c>
      <c r="EW131" s="23">
        <f>EXP(-LN(2)/25)*EW130+(1-EXP(-LN(2)/25))/(LN(2)/25)*Calculateur!ER131*Calculateur!ET131*VLOOKUP('Données projet'!$B$15,Paramètres!$A$1:$I$89,3,0)*0.475*44/12</f>
        <v>0</v>
      </c>
      <c r="EX131" s="23">
        <f>EXP(-LN(2)/2)*EX130+(1-EXP(-LN(2)/2))/(LN(2)/2)*ER131*EU131*VLOOKUP('Données projet'!$B$15,Paramètres!$A$1:$I$89,3,0)*0.475*44/12</f>
        <v>0</v>
      </c>
      <c r="EY131" s="24">
        <f t="shared" si="75"/>
        <v>0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-3.4106051316484809E-13</v>
      </c>
      <c r="FF131" s="18">
        <f>FE131*VLOOKUP('Données projet'!$B$16,Paramètres!$A$1:$I$89,3,0)*VLOOKUP('Données projet'!$B$16,Paramètres!$A$1:$I$89,5,0)</f>
        <v>-2.2878339223098009E-13</v>
      </c>
      <c r="FG131" s="14" t="e">
        <f t="shared" si="101"/>
        <v>#NUM!</v>
      </c>
      <c r="FH131" s="22" t="e">
        <f t="shared" si="76"/>
        <v>#NUM!</v>
      </c>
      <c r="FI131" s="62" t="e">
        <f t="shared" si="77"/>
        <v>#NUM!</v>
      </c>
      <c r="FJ131" s="62">
        <f ca="1">AVERAGE(OFFSET($FI$3,0,0,'Données projet'!$E$16+1,1))-AVERAGE(OFFSET($H$3,0,0,'Données projet'!$E$16+1,1))</f>
        <v>440.90856392064205</v>
      </c>
      <c r="FK131" s="62">
        <f t="shared" si="102"/>
        <v>373.33139300970629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>
        <f>EXP(-LN(2)/35)*FQ130+(1-EXP(-LN(2)/35))/(LN(2)/35)*FM131*FN131*VLOOKUP('Données projet'!$B$16,Paramètres!$A$1:$I$89,3,0)*0.475*44/12</f>
        <v>0</v>
      </c>
      <c r="FR131" s="23">
        <f>EXP(-LN(2)/25)*FR130+(1-EXP(-LN(2)/25))/(LN(2)/25)*Calculateur!FM131*Calculateur!FO131*VLOOKUP('Données projet'!$B$16,Paramètres!$A$1:$I$89,3,0)*0.475*44/12</f>
        <v>0</v>
      </c>
      <c r="FS131" s="23">
        <f>EXP(-LN(2)/2)*FS130+(1-EXP(-LN(2)/2))/(LN(2)/2)*FM131*FP131*VLOOKUP('Données projet'!$B$16,Paramètres!$A$1:$I$89,3,0)*0.475*44/12</f>
        <v>0</v>
      </c>
      <c r="FT131" s="24">
        <f t="shared" si="78"/>
        <v>0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70">
        <f t="shared" ref="H132:H195" si="110">(B132+E132+F132)*44/12+(C132+D132)*0.475*44/12</f>
        <v>183.33333333333334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4.2</v>
      </c>
      <c r="N132" s="14">
        <f>IF('Données projet'!$A$36&gt;35,N131+M132-V131,IF(A132&lt;'Données projet'!$A$36,$K$205^A132,IF(A132='Données projet'!$A$36,'Données projet'!$B$36,N131+M132-V131)))</f>
        <v>389.79999999999978</v>
      </c>
      <c r="O132" s="14">
        <f>N132*VLOOKUP('Données projet'!$B$9,Paramètres!$A$1:$I$89,3,0)*VLOOKUP('Données projet'!$B$9,Paramètres!$A$1:$I$89,5,0)</f>
        <v>352.69103999999982</v>
      </c>
      <c r="P132" s="14">
        <f t="shared" si="87"/>
        <v>82.116377073111735</v>
      </c>
      <c r="Q132" s="22">
        <f t="shared" si="108"/>
        <v>757.28958473566934</v>
      </c>
      <c r="R132" s="62">
        <f t="shared" si="109"/>
        <v>1041.0335133967346</v>
      </c>
      <c r="S132" s="62">
        <f ca="1">AVERAGE(OFFSET($R$3,0,0,'Données projet'!$E$9+1,1))-AVERAGE(OFFSET($H$3,0,0,'Données projet'!$E$9+1,1))</f>
        <v>570.08763950759544</v>
      </c>
      <c r="T132" s="62">
        <f t="shared" si="88"/>
        <v>297.32483725004136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-2.2737367544323206E-13</v>
      </c>
      <c r="AJ132" s="14">
        <f>AI132*VLOOKUP('Données projet'!$B$10,Paramètres!$A$1:$I$89,3,0)*VLOOKUP('Données projet'!$B$10,Paramètres!$A$1:$I$89,5,0)</f>
        <v>-1.8089849618263545E-13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394.70330963327166</v>
      </c>
      <c r="AO132" s="62">
        <f t="shared" si="90"/>
        <v>424.06445894109982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-2.2737367544323206E-13</v>
      </c>
      <c r="BE132" s="14">
        <f>BD132*VLOOKUP('Données projet'!$B$11,Paramètres!$A$1:$I$89,3,0)*VLOOKUP('Données projet'!$B$11,Paramètres!$A$1:$I$89,5,0)</f>
        <v>-1.6671037883497774E-13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368.54671978064204</v>
      </c>
      <c r="BJ132" s="62">
        <f t="shared" si="92"/>
        <v>395.83504504492237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5.6843418860808015E-14</v>
      </c>
      <c r="BZ132" s="14">
        <f>BY132*VLOOKUP('Données projet'!$B$12,Paramètres!$A$1:$I$89,3,0)*VLOOKUP('Données projet'!$B$12,Paramètres!$A$1:$I$89,5,0)</f>
        <v>4.4337866711430253E-14</v>
      </c>
      <c r="CA132" s="14">
        <f t="shared" si="93"/>
        <v>7.3222115536967035E-13</v>
      </c>
      <c r="CB132" s="22">
        <f t="shared" ref="CB132:CB153" si="118">(BZ132+CA132)*0.475*44/12</f>
        <v>1.3525069634579169E-12</v>
      </c>
      <c r="CC132" s="62">
        <f t="shared" ref="CC132:CC195" si="119">CB132+(BT132+BU132)*44/12</f>
        <v>283.74392866106672</v>
      </c>
      <c r="CD132" s="62">
        <f ca="1">AVERAGE(OFFSET($CC$3,0,0,'Données projet'!$E$12+1,1))-AVERAGE(OFFSET($H$3,0,0,'Données projet'!$E$12+1,1))</f>
        <v>309.21625451786218</v>
      </c>
      <c r="CE132" s="62">
        <f t="shared" si="94"/>
        <v>302.59481222418219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-2.8421709430404007E-13</v>
      </c>
      <c r="CU132" s="18">
        <f>CT132*VLOOKUP('Données projet'!$B$13,Paramètres!$A$1:$I$89,3,0)*VLOOKUP('Données projet'!$B$13,Paramètres!$A$1:$I$89,5,0)</f>
        <v>-2.7046098693972454E-13</v>
      </c>
      <c r="CV132" s="14" t="e">
        <f t="shared" si="95"/>
        <v>#NUM!</v>
      </c>
      <c r="CW132" s="22" t="e">
        <f t="shared" ref="CW132:CW153" si="121">(CU132+CV132)*0.475*44/12</f>
        <v>#NUM!</v>
      </c>
      <c r="CX132" s="62" t="e">
        <f t="shared" ref="CX132:CX195" si="122">CW132+(CO132+CP132)*44/12</f>
        <v>#NUM!</v>
      </c>
      <c r="CY132" s="62">
        <f ca="1">AVERAGE(OFFSET($CX$3,0,0,'Données projet'!$E$13+1,1))-AVERAGE(OFFSET($H$3,0,0,'Données projet'!$E$13+1,1))</f>
        <v>491.87038198656927</v>
      </c>
      <c r="CZ132" s="62">
        <f t="shared" si="96"/>
        <v>406.49261644949559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0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4.2</v>
      </c>
      <c r="DO132" s="13">
        <f>IF('Données projet'!$A$166&gt;35,DO131+DN132-DW131,IF(A132&lt;'Données projet'!$A$166,$DL$205^A132,IF(A132='Données projet'!$A$166,'Données projet'!$B$166,DO131+DN132-DW131)))</f>
        <v>389.79999999999978</v>
      </c>
      <c r="DP132" s="18">
        <f>DO132*VLOOKUP('Données projet'!$B$14,Paramètres!$A$1:$I$89,3,0)*VLOOKUP('Données projet'!$B$14,Paramètres!$A$1:$I$89,5,0)</f>
        <v>377.01455999999979</v>
      </c>
      <c r="DQ132" s="14">
        <f t="shared" si="97"/>
        <v>87.100791599146149</v>
      </c>
      <c r="DR132" s="22">
        <f t="shared" ref="DR132:DR153" si="124">(DP132+DQ132)*0.475*44/12</f>
        <v>808.33423736851239</v>
      </c>
      <c r="DS132" s="62">
        <f t="shared" ref="DS132:DS195" si="125">DR132+(DJ132+DK132)*44/12</f>
        <v>1092.0781660295777</v>
      </c>
      <c r="DT132" s="62">
        <f ca="1">AVERAGE(OFFSET($DS$3,0,0,'Données projet'!$E$14+1,1))-AVERAGE(OFFSET($H$3,0,0,'Données projet'!$E$14+1,1))</f>
        <v>603.52431522262032</v>
      </c>
      <c r="DU132" s="62">
        <f t="shared" si="98"/>
        <v>313.56299786481338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projet'!$B$14,Paramètres!$A$1:$I$89,3,0)*0.475*44/12</f>
        <v>0</v>
      </c>
      <c r="EB132" s="23">
        <f>EXP(-LN(2)/25)*EB131+(1-EXP(-LN(2)/25))/(LN(2)/25)*Calculateur!DW132*Calculateur!DY132*VLOOKUP('Données projet'!$B$14,Paramètres!$A$1:$I$89,3,0)*0.475*44/12</f>
        <v>0</v>
      </c>
      <c r="EC132" s="23">
        <f>EXP(-LN(2)/2)*EC131+(1-EXP(-LN(2)/2))/(LN(2)/2)*DW132*DZ132*VLOOKUP('Données projet'!$B$14,Paramètres!$A$1:$I$89,3,0)*0.475*44/12</f>
        <v>0</v>
      </c>
      <c r="ED132" s="24">
        <f t="shared" ref="ED132:ED153" si="126">SUM(EA132:EC132)</f>
        <v>0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-1.1368683772161603E-13</v>
      </c>
      <c r="EK132" s="18">
        <f>EJ132*VLOOKUP('Données projet'!$B$15,Paramètres!$A$1:$I$89,3,0)*VLOOKUP('Données projet'!$B$15,Paramètres!$A$1:$I$89,5,0)</f>
        <v>-9.2222762759774927E-14</v>
      </c>
      <c r="EL132" s="14" t="e">
        <f t="shared" si="99"/>
        <v>#NUM!</v>
      </c>
      <c r="EM132" s="22" t="e">
        <f t="shared" ref="EM132:EM153" si="127">(EK132+EL132)*0.475*44/12</f>
        <v>#NUM!</v>
      </c>
      <c r="EN132" s="62" t="e">
        <f t="shared" ref="EN132:EN195" si="128">EM132+(EE132+EF132)*44/12</f>
        <v>#NUM!</v>
      </c>
      <c r="EO132" s="62">
        <f ca="1">AVERAGE(OFFSET($EN$3,0,0,'Données projet'!$E$15+1,1))-AVERAGE(OFFSET($H$3,0,0,'Données projet'!$E$15+1,1))</f>
        <v>272.69564942740931</v>
      </c>
      <c r="EP132" s="62">
        <f t="shared" si="100"/>
        <v>316.57989180609252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>
        <f>EXP(-LN(2)/35)*EV131+(1-EXP(-LN(2)/35))/(LN(2)/35)*ER132*ES132*VLOOKUP('Données projet'!$B$15,Paramètres!$A$1:$I$89,3,0)*0.475*44/12</f>
        <v>0</v>
      </c>
      <c r="EW132" s="23">
        <f>EXP(-LN(2)/25)*EW131+(1-EXP(-LN(2)/25))/(LN(2)/25)*Calculateur!ER132*Calculateur!ET132*VLOOKUP('Données projet'!$B$15,Paramètres!$A$1:$I$89,3,0)*0.475*44/12</f>
        <v>0</v>
      </c>
      <c r="EX132" s="23">
        <f>EXP(-LN(2)/2)*EX131+(1-EXP(-LN(2)/2))/(LN(2)/2)*ER132*EU132*VLOOKUP('Données projet'!$B$15,Paramètres!$A$1:$I$89,3,0)*0.475*44/12</f>
        <v>0</v>
      </c>
      <c r="EY132" s="24">
        <f t="shared" ref="EY132:EY153" si="129">SUM(EV132:EX132)</f>
        <v>0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-3.4106051316484809E-13</v>
      </c>
      <c r="FF132" s="18">
        <f>FE132*VLOOKUP('Données projet'!$B$16,Paramètres!$A$1:$I$89,3,0)*VLOOKUP('Données projet'!$B$16,Paramètres!$A$1:$I$89,5,0)</f>
        <v>-2.2878339223098009E-13</v>
      </c>
      <c r="FG132" s="14" t="e">
        <f t="shared" si="101"/>
        <v>#NUM!</v>
      </c>
      <c r="FH132" s="22" t="e">
        <f t="shared" ref="FH132:FH153" si="130">(FF132+FG132)*0.475*44/12</f>
        <v>#NUM!</v>
      </c>
      <c r="FI132" s="62" t="e">
        <f t="shared" ref="FI132:FI195" si="131">FH132+(EZ132+FA132)*44/12</f>
        <v>#NUM!</v>
      </c>
      <c r="FJ132" s="62">
        <f ca="1">AVERAGE(OFFSET($FI$3,0,0,'Données projet'!$E$16+1,1))-AVERAGE(OFFSET($H$3,0,0,'Données projet'!$E$16+1,1))</f>
        <v>440.90856392064205</v>
      </c>
      <c r="FK132" s="62">
        <f t="shared" si="102"/>
        <v>373.33139300970629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>
        <f>EXP(-LN(2)/35)*FQ131+(1-EXP(-LN(2)/35))/(LN(2)/35)*FM132*FN132*VLOOKUP('Données projet'!$B$16,Paramètres!$A$1:$I$89,3,0)*0.475*44/12</f>
        <v>0</v>
      </c>
      <c r="FR132" s="23">
        <f>EXP(-LN(2)/25)*FR131+(1-EXP(-LN(2)/25))/(LN(2)/25)*Calculateur!FM132*Calculateur!FO132*VLOOKUP('Données projet'!$B$16,Paramètres!$A$1:$I$89,3,0)*0.475*44/12</f>
        <v>0</v>
      </c>
      <c r="FS132" s="23">
        <f>EXP(-LN(2)/2)*FS131+(1-EXP(-LN(2)/2))/(LN(2)/2)*FM132*FP132*VLOOKUP('Données projet'!$B$16,Paramètres!$A$1:$I$89,3,0)*0.475*44/12</f>
        <v>0</v>
      </c>
      <c r="FT132" s="24">
        <f t="shared" ref="FT132:FT153" si="132">SUM(FQ132:FS132)</f>
        <v>0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70">
        <f t="shared" si="110"/>
        <v>183.33333333333334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>
        <f>VLOOKUP(A133,'Données projet'!$A$35:$I$55,2,0)</f>
        <v>394</v>
      </c>
      <c r="L133" s="13">
        <f>VLOOKUP(A133,'Données projet'!$A$35:$I$55,9,0)</f>
        <v>4.2</v>
      </c>
      <c r="M133" s="13">
        <f t="array" ref="M133">INDEX(L:L,MIN(IF(ISNUMBER(L133:L329),ROW(L133:L329),"")))</f>
        <v>4.2</v>
      </c>
      <c r="N133" s="14">
        <f>IF('Données projet'!$A$36&gt;35,N132+M133-V132,IF(A133&lt;'Données projet'!$A$36,$K$205^A133,IF(A133='Données projet'!$A$36,'Données projet'!$B$36,N132+M133-V132)))</f>
        <v>393.99999999999977</v>
      </c>
      <c r="O133" s="14">
        <f>N133*VLOOKUP('Données projet'!$B$9,Paramètres!$A$1:$I$89,3,0)*VLOOKUP('Données projet'!$B$9,Paramètres!$A$1:$I$89,5,0)</f>
        <v>356.49119999999976</v>
      </c>
      <c r="P133" s="14">
        <f t="shared" ref="P133:P196" si="141">EXP(-1.0587+0.8836*LN(O133)+0.284)</f>
        <v>82.897683869422281</v>
      </c>
      <c r="Q133" s="22">
        <f t="shared" si="108"/>
        <v>765.2689727392434</v>
      </c>
      <c r="R133" s="62">
        <f t="shared" si="109"/>
        <v>1049.1792561326756</v>
      </c>
      <c r="S133" s="62">
        <f ca="1">AVERAGE(OFFSET($R$3,0,0,'Données projet'!$E$9+1,1))-AVERAGE(OFFSET($H$3,0,0,'Données projet'!$E$9+1,1))</f>
        <v>570.08763950759544</v>
      </c>
      <c r="T133" s="62">
        <f t="shared" ref="T133:T196" si="142">$T$3</f>
        <v>297.32483725004136</v>
      </c>
      <c r="U133" s="16">
        <f>IF(ISNA(VLOOKUP(A133,'Données projet'!$A$35:$I$55,3,0)),0,VLOOKUP(A133,'Données projet'!$A$35:$I$55,3,0))</f>
        <v>9</v>
      </c>
      <c r="V133" s="16">
        <f>IF(ISNA(VLOOKUP(A133,'Données projet'!$A$35:$I$55,4,0)),0,VLOOKUP(A133,'Données projet'!$A$35:$I$55,4,0))</f>
        <v>91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-2.2737367544323206E-13</v>
      </c>
      <c r="AJ133" s="14">
        <f>AI133*VLOOKUP('Données projet'!$B$10,Paramètres!$A$1:$I$89,3,0)*VLOOKUP('Données projet'!$B$10,Paramètres!$A$1:$I$89,5,0)</f>
        <v>-1.8089849618263545E-13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394.70330963327166</v>
      </c>
      <c r="AO133" s="62">
        <f t="shared" ref="AO133:AO196" si="144">$AO$3</f>
        <v>424.06445894109982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-2.2737367544323206E-13</v>
      </c>
      <c r="BE133" s="14">
        <f>BD133*VLOOKUP('Données projet'!$B$11,Paramètres!$A$1:$I$89,3,0)*VLOOKUP('Données projet'!$B$11,Paramètres!$A$1:$I$89,5,0)</f>
        <v>-1.6671037883497774E-13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368.54671978064204</v>
      </c>
      <c r="BJ133" s="62">
        <f t="shared" ref="BJ133:BJ196" si="146">$BJ$3</f>
        <v>395.83504504492237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5.6843418860808015E-14</v>
      </c>
      <c r="BZ133" s="14">
        <f>BY133*VLOOKUP('Données projet'!$B$12,Paramètres!$A$1:$I$89,3,0)*VLOOKUP('Données projet'!$B$12,Paramètres!$A$1:$I$89,5,0)</f>
        <v>4.4337866711430253E-14</v>
      </c>
      <c r="CA133" s="14">
        <f t="shared" ref="CA133:CA153" si="147">EXP(-1.0587+0.8836*LN(BZ133)+0.284)</f>
        <v>7.3222115536967035E-13</v>
      </c>
      <c r="CB133" s="22">
        <f t="shared" si="118"/>
        <v>1.3525069634579169E-12</v>
      </c>
      <c r="CC133" s="62">
        <f t="shared" si="119"/>
        <v>283.91028339343347</v>
      </c>
      <c r="CD133" s="62">
        <f ca="1">AVERAGE(OFFSET($CC$3,0,0,'Données projet'!$E$12+1,1))-AVERAGE(OFFSET($H$3,0,0,'Données projet'!$E$12+1,1))</f>
        <v>309.21625451786218</v>
      </c>
      <c r="CE133" s="62">
        <f t="shared" ref="CE133:CE196" si="148">$CE$3</f>
        <v>302.59481222418219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-2.8421709430404007E-13</v>
      </c>
      <c r="CU133" s="18">
        <f>CT133*VLOOKUP('Données projet'!$B$13,Paramètres!$A$1:$I$89,3,0)*VLOOKUP('Données projet'!$B$13,Paramètres!$A$1:$I$89,5,0)</f>
        <v>-2.7046098693972454E-13</v>
      </c>
      <c r="CV133" s="14" t="e">
        <f t="shared" ref="CV133:CV153" si="149">EXP(-1.0587+0.8836*LN(CU133)+0.284)</f>
        <v>#NUM!</v>
      </c>
      <c r="CW133" s="22" t="e">
        <f t="shared" si="121"/>
        <v>#NUM!</v>
      </c>
      <c r="CX133" s="62" t="e">
        <f t="shared" si="122"/>
        <v>#NUM!</v>
      </c>
      <c r="CY133" s="62">
        <f ca="1">AVERAGE(OFFSET($CX$3,0,0,'Données projet'!$E$13+1,1))-AVERAGE(OFFSET($H$3,0,0,'Données projet'!$E$13+1,1))</f>
        <v>491.87038198656927</v>
      </c>
      <c r="CZ133" s="62">
        <f t="shared" ref="CZ133:CZ196" si="150">$CZ$3</f>
        <v>406.49261644949559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0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>
        <f>VLOOKUP(A133,'Données projet'!$A$165:$I$185,2,0)</f>
        <v>394</v>
      </c>
      <c r="DM133" s="13">
        <f>VLOOKUP(A133,'Données projet'!$A$165:$I$185,9,0)</f>
        <v>4.2</v>
      </c>
      <c r="DN133" s="13">
        <f t="array" ref="DN133">INDEX(DM:DM,MIN(IF(ISNUMBER(DM133:DM329),ROW(DM133:DM329),"")))</f>
        <v>4.2</v>
      </c>
      <c r="DO133" s="13">
        <f>IF('Données projet'!$A$166&gt;35,DO132+DN133-DW132,IF(A133&lt;'Données projet'!$A$166,$DL$205^A133,IF(A133='Données projet'!$A$166,'Données projet'!$B$166,DO132+DN133-DW132)))</f>
        <v>393.99999999999977</v>
      </c>
      <c r="DP133" s="18">
        <f>DO133*VLOOKUP('Données projet'!$B$14,Paramètres!$A$1:$I$89,3,0)*VLOOKUP('Données projet'!$B$14,Paramètres!$A$1:$I$89,5,0)</f>
        <v>381.07679999999982</v>
      </c>
      <c r="DQ133" s="14">
        <f t="shared" ref="DQ133:DQ153" si="151">EXP(-1.0587+0.8836*LN(DP133)+0.284)</f>
        <v>87.929523246425944</v>
      </c>
      <c r="DR133" s="22">
        <f t="shared" si="124"/>
        <v>816.85267965419155</v>
      </c>
      <c r="DS133" s="62">
        <f t="shared" si="125"/>
        <v>1100.7629630476235</v>
      </c>
      <c r="DT133" s="62">
        <f ca="1">AVERAGE(OFFSET($DS$3,0,0,'Données projet'!$E$14+1,1))-AVERAGE(OFFSET($H$3,0,0,'Données projet'!$E$14+1,1))</f>
        <v>603.52431522262032</v>
      </c>
      <c r="DU133" s="62">
        <f t="shared" ref="DU133:DU196" si="152">$DU$3</f>
        <v>313.56299786481338</v>
      </c>
      <c r="DV133" s="16">
        <f>IF(ISNA(VLOOKUP(A133,'Données projet'!$A$165:$I$185,3,0)),0,VLOOKUP(A133,'Données projet'!$A$165:$I$185,3,0))</f>
        <v>9</v>
      </c>
      <c r="DW133" s="16">
        <f>IF(ISNA(VLOOKUP(A133,'Données projet'!$A$165:$I$185,4,0)),0,VLOOKUP(A133,'Données projet'!$A$165:$I$185,4,0))</f>
        <v>91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projet'!$B$14,Paramètres!$A$1:$I$89,3,0)*0.475*44/12</f>
        <v>0</v>
      </c>
      <c r="EB133" s="23">
        <f>EXP(-LN(2)/25)*EB132+(1-EXP(-LN(2)/25))/(LN(2)/25)*Calculateur!DW133*Calculateur!DY133*VLOOKUP('Données projet'!$B$14,Paramètres!$A$1:$I$89,3,0)*0.475*44/12</f>
        <v>0</v>
      </c>
      <c r="EC133" s="23">
        <f>EXP(-LN(2)/2)*EC132+(1-EXP(-LN(2)/2))/(LN(2)/2)*DW133*DZ133*VLOOKUP('Données projet'!$B$14,Paramètres!$A$1:$I$89,3,0)*0.475*44/12</f>
        <v>0</v>
      </c>
      <c r="ED133" s="24">
        <f t="shared" si="126"/>
        <v>0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-1.1368683772161603E-13</v>
      </c>
      <c r="EK133" s="18">
        <f>EJ133*VLOOKUP('Données projet'!$B$15,Paramètres!$A$1:$I$89,3,0)*VLOOKUP('Données projet'!$B$15,Paramètres!$A$1:$I$89,5,0)</f>
        <v>-9.2222762759774927E-14</v>
      </c>
      <c r="EL133" s="14" t="e">
        <f t="shared" ref="EL133:EL153" si="153">EXP(-1.0587+0.8836*LN(EK133)+0.284)</f>
        <v>#NUM!</v>
      </c>
      <c r="EM133" s="22" t="e">
        <f t="shared" si="127"/>
        <v>#NUM!</v>
      </c>
      <c r="EN133" s="62" t="e">
        <f t="shared" si="128"/>
        <v>#NUM!</v>
      </c>
      <c r="EO133" s="62">
        <f ca="1">AVERAGE(OFFSET($EN$3,0,0,'Données projet'!$E$15+1,1))-AVERAGE(OFFSET($H$3,0,0,'Données projet'!$E$15+1,1))</f>
        <v>272.69564942740931</v>
      </c>
      <c r="EP133" s="62">
        <f t="shared" ref="EP133:EP196" si="154">$EP$3</f>
        <v>316.57989180609252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>
        <f>EXP(-LN(2)/35)*EV132+(1-EXP(-LN(2)/35))/(LN(2)/35)*ER133*ES133*VLOOKUP('Données projet'!$B$15,Paramètres!$A$1:$I$89,3,0)*0.475*44/12</f>
        <v>0</v>
      </c>
      <c r="EW133" s="23">
        <f>EXP(-LN(2)/25)*EW132+(1-EXP(-LN(2)/25))/(LN(2)/25)*Calculateur!ER133*Calculateur!ET133*VLOOKUP('Données projet'!$B$15,Paramètres!$A$1:$I$89,3,0)*0.475*44/12</f>
        <v>0</v>
      </c>
      <c r="EX133" s="23">
        <f>EXP(-LN(2)/2)*EX132+(1-EXP(-LN(2)/2))/(LN(2)/2)*ER133*EU133*VLOOKUP('Données projet'!$B$15,Paramètres!$A$1:$I$89,3,0)*0.475*44/12</f>
        <v>0</v>
      </c>
      <c r="EY133" s="24">
        <f t="shared" si="129"/>
        <v>0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-3.4106051316484809E-13</v>
      </c>
      <c r="FF133" s="18">
        <f>FE133*VLOOKUP('Données projet'!$B$16,Paramètres!$A$1:$I$89,3,0)*VLOOKUP('Données projet'!$B$16,Paramètres!$A$1:$I$89,5,0)</f>
        <v>-2.2878339223098009E-13</v>
      </c>
      <c r="FG133" s="14" t="e">
        <f t="shared" ref="FG133:FG153" si="155">EXP(-1.0587+0.8836*LN(FF133)+0.284)</f>
        <v>#NUM!</v>
      </c>
      <c r="FH133" s="22" t="e">
        <f t="shared" si="130"/>
        <v>#NUM!</v>
      </c>
      <c r="FI133" s="62" t="e">
        <f t="shared" si="131"/>
        <v>#NUM!</v>
      </c>
      <c r="FJ133" s="62">
        <f ca="1">AVERAGE(OFFSET($FI$3,0,0,'Données projet'!$E$16+1,1))-AVERAGE(OFFSET($H$3,0,0,'Données projet'!$E$16+1,1))</f>
        <v>440.90856392064205</v>
      </c>
      <c r="FK133" s="62">
        <f t="shared" ref="FK133:FK196" si="156">$FK$3</f>
        <v>373.33139300970629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>
        <f>EXP(-LN(2)/35)*FQ132+(1-EXP(-LN(2)/35))/(LN(2)/35)*FM133*FN133*VLOOKUP('Données projet'!$B$16,Paramètres!$A$1:$I$89,3,0)*0.475*44/12</f>
        <v>0</v>
      </c>
      <c r="FR133" s="23">
        <f>EXP(-LN(2)/25)*FR132+(1-EXP(-LN(2)/25))/(LN(2)/25)*Calculateur!FM133*Calculateur!FO133*VLOOKUP('Données projet'!$B$16,Paramètres!$A$1:$I$89,3,0)*0.475*44/12</f>
        <v>0</v>
      </c>
      <c r="FS133" s="23">
        <f>EXP(-LN(2)/2)*FS132+(1-EXP(-LN(2)/2))/(LN(2)/2)*FM133*FP133*VLOOKUP('Données projet'!$B$16,Paramètres!$A$1:$I$89,3,0)*0.475*44/12</f>
        <v>0</v>
      </c>
      <c r="FT133" s="24">
        <f t="shared" si="132"/>
        <v>0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70">
        <f t="shared" si="110"/>
        <v>183.33333333333334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3.8</v>
      </c>
      <c r="N134" s="14">
        <f>IF('Données projet'!$A$36&gt;35,N133+M134-V133,IF(A134&lt;'Données projet'!$A$36,$K$205^A134,IF(A134='Données projet'!$A$36,'Données projet'!$B$36,N133+M134-V133)))</f>
        <v>306.79999999999978</v>
      </c>
      <c r="O134" s="14">
        <f>N134*VLOOKUP('Données projet'!$B$9,Paramètres!$A$1:$I$89,3,0)*VLOOKUP('Données projet'!$B$9,Paramètres!$A$1:$I$89,5,0)</f>
        <v>277.59263999999979</v>
      </c>
      <c r="P134" s="14">
        <f t="shared" si="141"/>
        <v>66.458009122425523</v>
      </c>
      <c r="Q134" s="22">
        <f t="shared" si="108"/>
        <v>599.22154722155733</v>
      </c>
      <c r="R134" s="62">
        <f t="shared" si="109"/>
        <v>883.295299464663</v>
      </c>
      <c r="S134" s="62">
        <f ca="1">AVERAGE(OFFSET($R$3,0,0,'Données projet'!$E$9+1,1))-AVERAGE(OFFSET($H$3,0,0,'Données projet'!$E$9+1,1))</f>
        <v>570.08763950759544</v>
      </c>
      <c r="T134" s="62">
        <f t="shared" si="142"/>
        <v>297.32483725004136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-2.2737367544323206E-13</v>
      </c>
      <c r="AJ134" s="14">
        <f>AI134*VLOOKUP('Données projet'!$B$10,Paramètres!$A$1:$I$89,3,0)*VLOOKUP('Données projet'!$B$10,Paramètres!$A$1:$I$89,5,0)</f>
        <v>-1.8089849618263545E-13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394.70330963327166</v>
      </c>
      <c r="AO134" s="62">
        <f t="shared" si="144"/>
        <v>424.06445894109982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-2.2737367544323206E-13</v>
      </c>
      <c r="BE134" s="14">
        <f>BD134*VLOOKUP('Données projet'!$B$11,Paramètres!$A$1:$I$89,3,0)*VLOOKUP('Données projet'!$B$11,Paramètres!$A$1:$I$89,5,0)</f>
        <v>-1.6671037883497774E-13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368.54671978064204</v>
      </c>
      <c r="BJ134" s="62">
        <f t="shared" si="146"/>
        <v>395.83504504492237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5.6843418860808015E-14</v>
      </c>
      <c r="BZ134" s="14">
        <f>BY134*VLOOKUP('Données projet'!$B$12,Paramètres!$A$1:$I$89,3,0)*VLOOKUP('Données projet'!$B$12,Paramètres!$A$1:$I$89,5,0)</f>
        <v>4.4337866711430253E-14</v>
      </c>
      <c r="CA134" s="14">
        <f t="shared" si="147"/>
        <v>7.3222115536967035E-13</v>
      </c>
      <c r="CB134" s="22">
        <f t="shared" si="118"/>
        <v>1.3525069634579169E-12</v>
      </c>
      <c r="CC134" s="62">
        <f t="shared" si="119"/>
        <v>284.07375224310709</v>
      </c>
      <c r="CD134" s="62">
        <f ca="1">AVERAGE(OFFSET($CC$3,0,0,'Données projet'!$E$12+1,1))-AVERAGE(OFFSET($H$3,0,0,'Données projet'!$E$12+1,1))</f>
        <v>309.21625451786218</v>
      </c>
      <c r="CE134" s="62">
        <f t="shared" si="148"/>
        <v>302.59481222418219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-2.8421709430404007E-13</v>
      </c>
      <c r="CU134" s="18">
        <f>CT134*VLOOKUP('Données projet'!$B$13,Paramètres!$A$1:$I$89,3,0)*VLOOKUP('Données projet'!$B$13,Paramètres!$A$1:$I$89,5,0)</f>
        <v>-2.7046098693972454E-13</v>
      </c>
      <c r="CV134" s="14" t="e">
        <f t="shared" si="149"/>
        <v>#NUM!</v>
      </c>
      <c r="CW134" s="22" t="e">
        <f t="shared" si="121"/>
        <v>#NUM!</v>
      </c>
      <c r="CX134" s="62" t="e">
        <f t="shared" si="122"/>
        <v>#NUM!</v>
      </c>
      <c r="CY134" s="62">
        <f ca="1">AVERAGE(OFFSET($CX$3,0,0,'Données projet'!$E$13+1,1))-AVERAGE(OFFSET($H$3,0,0,'Données projet'!$E$13+1,1))</f>
        <v>491.87038198656927</v>
      </c>
      <c r="CZ134" s="62">
        <f t="shared" si="150"/>
        <v>406.49261644949559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0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3.8</v>
      </c>
      <c r="DO134" s="13">
        <f>IF('Données projet'!$A$166&gt;35,DO133+DN134-DW133,IF(A134&lt;'Données projet'!$A$166,$DL$205^A134,IF(A134='Données projet'!$A$166,'Données projet'!$B$166,DO133+DN134-DW133)))</f>
        <v>306.79999999999978</v>
      </c>
      <c r="DP134" s="18">
        <f>DO134*VLOOKUP('Données projet'!$B$14,Paramètres!$A$1:$I$89,3,0)*VLOOKUP('Données projet'!$B$14,Paramètres!$A$1:$I$89,5,0)</f>
        <v>296.73695999999978</v>
      </c>
      <c r="DQ134" s="14">
        <f t="shared" si="151"/>
        <v>70.491970164645096</v>
      </c>
      <c r="DR134" s="22">
        <f t="shared" si="124"/>
        <v>639.59038670342318</v>
      </c>
      <c r="DS134" s="62">
        <f t="shared" si="125"/>
        <v>923.66413894652896</v>
      </c>
      <c r="DT134" s="62">
        <f ca="1">AVERAGE(OFFSET($DS$3,0,0,'Données projet'!$E$14+1,1))-AVERAGE(OFFSET($H$3,0,0,'Données projet'!$E$14+1,1))</f>
        <v>603.52431522262032</v>
      </c>
      <c r="DU134" s="62">
        <f t="shared" si="152"/>
        <v>313.56299786481338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projet'!$B$14,Paramètres!$A$1:$I$89,3,0)*0.475*44/12</f>
        <v>0</v>
      </c>
      <c r="EB134" s="23">
        <f>EXP(-LN(2)/25)*EB133+(1-EXP(-LN(2)/25))/(LN(2)/25)*Calculateur!DW134*Calculateur!DY134*VLOOKUP('Données projet'!$B$14,Paramètres!$A$1:$I$89,3,0)*0.475*44/12</f>
        <v>0</v>
      </c>
      <c r="EC134" s="23">
        <f>EXP(-LN(2)/2)*EC133+(1-EXP(-LN(2)/2))/(LN(2)/2)*DW134*DZ134*VLOOKUP('Données projet'!$B$14,Paramètres!$A$1:$I$89,3,0)*0.475*44/12</f>
        <v>0</v>
      </c>
      <c r="ED134" s="24">
        <f t="shared" si="126"/>
        <v>0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-1.1368683772161603E-13</v>
      </c>
      <c r="EK134" s="18">
        <f>EJ134*VLOOKUP('Données projet'!$B$15,Paramètres!$A$1:$I$89,3,0)*VLOOKUP('Données projet'!$B$15,Paramètres!$A$1:$I$89,5,0)</f>
        <v>-9.2222762759774927E-14</v>
      </c>
      <c r="EL134" s="14" t="e">
        <f t="shared" si="153"/>
        <v>#NUM!</v>
      </c>
      <c r="EM134" s="22" t="e">
        <f t="shared" si="127"/>
        <v>#NUM!</v>
      </c>
      <c r="EN134" s="62" t="e">
        <f t="shared" si="128"/>
        <v>#NUM!</v>
      </c>
      <c r="EO134" s="62">
        <f ca="1">AVERAGE(OFFSET($EN$3,0,0,'Données projet'!$E$15+1,1))-AVERAGE(OFFSET($H$3,0,0,'Données projet'!$E$15+1,1))</f>
        <v>272.69564942740931</v>
      </c>
      <c r="EP134" s="62">
        <f t="shared" si="154"/>
        <v>316.57989180609252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>
        <f>EXP(-LN(2)/35)*EV133+(1-EXP(-LN(2)/35))/(LN(2)/35)*ER134*ES134*VLOOKUP('Données projet'!$B$15,Paramètres!$A$1:$I$89,3,0)*0.475*44/12</f>
        <v>0</v>
      </c>
      <c r="EW134" s="23">
        <f>EXP(-LN(2)/25)*EW133+(1-EXP(-LN(2)/25))/(LN(2)/25)*Calculateur!ER134*Calculateur!ET134*VLOOKUP('Données projet'!$B$15,Paramètres!$A$1:$I$89,3,0)*0.475*44/12</f>
        <v>0</v>
      </c>
      <c r="EX134" s="23">
        <f>EXP(-LN(2)/2)*EX133+(1-EXP(-LN(2)/2))/(LN(2)/2)*ER134*EU134*VLOOKUP('Données projet'!$B$15,Paramètres!$A$1:$I$89,3,0)*0.475*44/12</f>
        <v>0</v>
      </c>
      <c r="EY134" s="24">
        <f t="shared" si="129"/>
        <v>0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-3.4106051316484809E-13</v>
      </c>
      <c r="FF134" s="18">
        <f>FE134*VLOOKUP('Données projet'!$B$16,Paramètres!$A$1:$I$89,3,0)*VLOOKUP('Données projet'!$B$16,Paramètres!$A$1:$I$89,5,0)</f>
        <v>-2.2878339223098009E-13</v>
      </c>
      <c r="FG134" s="14" t="e">
        <f t="shared" si="155"/>
        <v>#NUM!</v>
      </c>
      <c r="FH134" s="22" t="e">
        <f t="shared" si="130"/>
        <v>#NUM!</v>
      </c>
      <c r="FI134" s="62" t="e">
        <f t="shared" si="131"/>
        <v>#NUM!</v>
      </c>
      <c r="FJ134" s="62">
        <f ca="1">AVERAGE(OFFSET($FI$3,0,0,'Données projet'!$E$16+1,1))-AVERAGE(OFFSET($H$3,0,0,'Données projet'!$E$16+1,1))</f>
        <v>440.90856392064205</v>
      </c>
      <c r="FK134" s="62">
        <f t="shared" si="156"/>
        <v>373.33139300970629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>
        <f>EXP(-LN(2)/35)*FQ133+(1-EXP(-LN(2)/35))/(LN(2)/35)*FM134*FN134*VLOOKUP('Données projet'!$B$16,Paramètres!$A$1:$I$89,3,0)*0.475*44/12</f>
        <v>0</v>
      </c>
      <c r="FR134" s="23">
        <f>EXP(-LN(2)/25)*FR133+(1-EXP(-LN(2)/25))/(LN(2)/25)*Calculateur!FM134*Calculateur!FO134*VLOOKUP('Données projet'!$B$16,Paramètres!$A$1:$I$89,3,0)*0.475*44/12</f>
        <v>0</v>
      </c>
      <c r="FS134" s="23">
        <f>EXP(-LN(2)/2)*FS133+(1-EXP(-LN(2)/2))/(LN(2)/2)*FM134*FP134*VLOOKUP('Données projet'!$B$16,Paramètres!$A$1:$I$89,3,0)*0.475*44/12</f>
        <v>0</v>
      </c>
      <c r="FT134" s="24">
        <f t="shared" si="132"/>
        <v>0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70">
        <f t="shared" si="110"/>
        <v>183.33333333333334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3.8</v>
      </c>
      <c r="N135" s="14">
        <f>IF('Données projet'!$A$36&gt;35,N134+M135-V134,IF(A135&lt;'Données projet'!$A$36,$K$205^A135,IF(A135='Données projet'!$A$36,'Données projet'!$B$36,N134+M135-V134)))</f>
        <v>310.5999999999998</v>
      </c>
      <c r="O135" s="14">
        <f>N135*VLOOKUP('Données projet'!$B$9,Paramètres!$A$1:$I$89,3,0)*VLOOKUP('Données projet'!$B$9,Paramètres!$A$1:$I$89,5,0)</f>
        <v>281.03087999999985</v>
      </c>
      <c r="P135" s="14">
        <f t="shared" si="141"/>
        <v>67.184816842275467</v>
      </c>
      <c r="Q135" s="22">
        <f t="shared" si="108"/>
        <v>606.47567200029607</v>
      </c>
      <c r="R135" s="62">
        <f t="shared" si="109"/>
        <v>890.71005727399529</v>
      </c>
      <c r="S135" s="62">
        <f ca="1">AVERAGE(OFFSET($R$3,0,0,'Données projet'!$E$9+1,1))-AVERAGE(OFFSET($H$3,0,0,'Données projet'!$E$9+1,1))</f>
        <v>570.08763950759544</v>
      </c>
      <c r="T135" s="62">
        <f t="shared" si="142"/>
        <v>297.32483725004136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-2.2737367544323206E-13</v>
      </c>
      <c r="AJ135" s="14">
        <f>AI135*VLOOKUP('Données projet'!$B$10,Paramètres!$A$1:$I$89,3,0)*VLOOKUP('Données projet'!$B$10,Paramètres!$A$1:$I$89,5,0)</f>
        <v>-1.8089849618263545E-13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394.70330963327166</v>
      </c>
      <c r="AO135" s="62">
        <f t="shared" si="144"/>
        <v>424.06445894109982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-2.2737367544323206E-13</v>
      </c>
      <c r="BE135" s="14">
        <f>BD135*VLOOKUP('Données projet'!$B$11,Paramètres!$A$1:$I$89,3,0)*VLOOKUP('Données projet'!$B$11,Paramètres!$A$1:$I$89,5,0)</f>
        <v>-1.6671037883497774E-13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368.54671978064204</v>
      </c>
      <c r="BJ135" s="62">
        <f t="shared" si="146"/>
        <v>395.83504504492237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5.6843418860808015E-14</v>
      </c>
      <c r="BZ135" s="14">
        <f>BY135*VLOOKUP('Données projet'!$B$12,Paramètres!$A$1:$I$89,3,0)*VLOOKUP('Données projet'!$B$12,Paramètres!$A$1:$I$89,5,0)</f>
        <v>4.4337866711430253E-14</v>
      </c>
      <c r="CA135" s="14">
        <f t="shared" si="147"/>
        <v>7.3222115536967035E-13</v>
      </c>
      <c r="CB135" s="22">
        <f t="shared" si="118"/>
        <v>1.3525069634579169E-12</v>
      </c>
      <c r="CC135" s="62">
        <f t="shared" si="119"/>
        <v>284.23438527370052</v>
      </c>
      <c r="CD135" s="62">
        <f ca="1">AVERAGE(OFFSET($CC$3,0,0,'Données projet'!$E$12+1,1))-AVERAGE(OFFSET($H$3,0,0,'Données projet'!$E$12+1,1))</f>
        <v>309.21625451786218</v>
      </c>
      <c r="CE135" s="62">
        <f t="shared" si="148"/>
        <v>302.59481222418219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-2.8421709430404007E-13</v>
      </c>
      <c r="CU135" s="18">
        <f>CT135*VLOOKUP('Données projet'!$B$13,Paramètres!$A$1:$I$89,3,0)*VLOOKUP('Données projet'!$B$13,Paramètres!$A$1:$I$89,5,0)</f>
        <v>-2.7046098693972454E-13</v>
      </c>
      <c r="CV135" s="14" t="e">
        <f t="shared" si="149"/>
        <v>#NUM!</v>
      </c>
      <c r="CW135" s="22" t="e">
        <f t="shared" si="121"/>
        <v>#NUM!</v>
      </c>
      <c r="CX135" s="62" t="e">
        <f t="shared" si="122"/>
        <v>#NUM!</v>
      </c>
      <c r="CY135" s="62">
        <f ca="1">AVERAGE(OFFSET($CX$3,0,0,'Données projet'!$E$13+1,1))-AVERAGE(OFFSET($H$3,0,0,'Données projet'!$E$13+1,1))</f>
        <v>491.87038198656927</v>
      </c>
      <c r="CZ135" s="62">
        <f t="shared" si="150"/>
        <v>406.49261644949559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0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3.8</v>
      </c>
      <c r="DO135" s="13">
        <f>IF('Données projet'!$A$166&gt;35,DO134+DN135-DW134,IF(A135&lt;'Données projet'!$A$166,$DL$205^A135,IF(A135='Données projet'!$A$166,'Données projet'!$B$166,DO134+DN135-DW134)))</f>
        <v>310.5999999999998</v>
      </c>
      <c r="DP135" s="18">
        <f>DO135*VLOOKUP('Données projet'!$B$14,Paramètres!$A$1:$I$89,3,0)*VLOOKUP('Données projet'!$B$14,Paramètres!$A$1:$I$89,5,0)</f>
        <v>300.4123199999998</v>
      </c>
      <c r="DQ135" s="14">
        <f t="shared" si="151"/>
        <v>71.262894674416614</v>
      </c>
      <c r="DR135" s="22">
        <f t="shared" si="124"/>
        <v>647.33433222460849</v>
      </c>
      <c r="DS135" s="62">
        <f t="shared" si="125"/>
        <v>931.56871749830771</v>
      </c>
      <c r="DT135" s="62">
        <f ca="1">AVERAGE(OFFSET($DS$3,0,0,'Données projet'!$E$14+1,1))-AVERAGE(OFFSET($H$3,0,0,'Données projet'!$E$14+1,1))</f>
        <v>603.52431522262032</v>
      </c>
      <c r="DU135" s="62">
        <f t="shared" si="152"/>
        <v>313.56299786481338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projet'!$B$14,Paramètres!$A$1:$I$89,3,0)*0.475*44/12</f>
        <v>0</v>
      </c>
      <c r="EB135" s="23">
        <f>EXP(-LN(2)/25)*EB134+(1-EXP(-LN(2)/25))/(LN(2)/25)*Calculateur!DW135*Calculateur!DY135*VLOOKUP('Données projet'!$B$14,Paramètres!$A$1:$I$89,3,0)*0.475*44/12</f>
        <v>0</v>
      </c>
      <c r="EC135" s="23">
        <f>EXP(-LN(2)/2)*EC134+(1-EXP(-LN(2)/2))/(LN(2)/2)*DW135*DZ135*VLOOKUP('Données projet'!$B$14,Paramètres!$A$1:$I$89,3,0)*0.475*44/12</f>
        <v>0</v>
      </c>
      <c r="ED135" s="24">
        <f t="shared" si="126"/>
        <v>0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-1.1368683772161603E-13</v>
      </c>
      <c r="EK135" s="18">
        <f>EJ135*VLOOKUP('Données projet'!$B$15,Paramètres!$A$1:$I$89,3,0)*VLOOKUP('Données projet'!$B$15,Paramètres!$A$1:$I$89,5,0)</f>
        <v>-9.2222762759774927E-14</v>
      </c>
      <c r="EL135" s="14" t="e">
        <f t="shared" si="153"/>
        <v>#NUM!</v>
      </c>
      <c r="EM135" s="22" t="e">
        <f t="shared" si="127"/>
        <v>#NUM!</v>
      </c>
      <c r="EN135" s="62" t="e">
        <f t="shared" si="128"/>
        <v>#NUM!</v>
      </c>
      <c r="EO135" s="62">
        <f ca="1">AVERAGE(OFFSET($EN$3,0,0,'Données projet'!$E$15+1,1))-AVERAGE(OFFSET($H$3,0,0,'Données projet'!$E$15+1,1))</f>
        <v>272.69564942740931</v>
      </c>
      <c r="EP135" s="62">
        <f t="shared" si="154"/>
        <v>316.57989180609252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>
        <f>EXP(-LN(2)/35)*EV134+(1-EXP(-LN(2)/35))/(LN(2)/35)*ER135*ES135*VLOOKUP('Données projet'!$B$15,Paramètres!$A$1:$I$89,3,0)*0.475*44/12</f>
        <v>0</v>
      </c>
      <c r="EW135" s="23">
        <f>EXP(-LN(2)/25)*EW134+(1-EXP(-LN(2)/25))/(LN(2)/25)*Calculateur!ER135*Calculateur!ET135*VLOOKUP('Données projet'!$B$15,Paramètres!$A$1:$I$89,3,0)*0.475*44/12</f>
        <v>0</v>
      </c>
      <c r="EX135" s="23">
        <f>EXP(-LN(2)/2)*EX134+(1-EXP(-LN(2)/2))/(LN(2)/2)*ER135*EU135*VLOOKUP('Données projet'!$B$15,Paramètres!$A$1:$I$89,3,0)*0.475*44/12</f>
        <v>0</v>
      </c>
      <c r="EY135" s="24">
        <f t="shared" si="129"/>
        <v>0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-3.4106051316484809E-13</v>
      </c>
      <c r="FF135" s="18">
        <f>FE135*VLOOKUP('Données projet'!$B$16,Paramètres!$A$1:$I$89,3,0)*VLOOKUP('Données projet'!$B$16,Paramètres!$A$1:$I$89,5,0)</f>
        <v>-2.2878339223098009E-13</v>
      </c>
      <c r="FG135" s="14" t="e">
        <f t="shared" si="155"/>
        <v>#NUM!</v>
      </c>
      <c r="FH135" s="22" t="e">
        <f t="shared" si="130"/>
        <v>#NUM!</v>
      </c>
      <c r="FI135" s="62" t="e">
        <f t="shared" si="131"/>
        <v>#NUM!</v>
      </c>
      <c r="FJ135" s="62">
        <f ca="1">AVERAGE(OFFSET($FI$3,0,0,'Données projet'!$E$16+1,1))-AVERAGE(OFFSET($H$3,0,0,'Données projet'!$E$16+1,1))</f>
        <v>440.90856392064205</v>
      </c>
      <c r="FK135" s="62">
        <f t="shared" si="156"/>
        <v>373.33139300970629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>
        <f>EXP(-LN(2)/35)*FQ134+(1-EXP(-LN(2)/35))/(LN(2)/35)*FM135*FN135*VLOOKUP('Données projet'!$B$16,Paramètres!$A$1:$I$89,3,0)*0.475*44/12</f>
        <v>0</v>
      </c>
      <c r="FR135" s="23">
        <f>EXP(-LN(2)/25)*FR134+(1-EXP(-LN(2)/25))/(LN(2)/25)*Calculateur!FM135*Calculateur!FO135*VLOOKUP('Données projet'!$B$16,Paramètres!$A$1:$I$89,3,0)*0.475*44/12</f>
        <v>0</v>
      </c>
      <c r="FS135" s="23">
        <f>EXP(-LN(2)/2)*FS134+(1-EXP(-LN(2)/2))/(LN(2)/2)*FM135*FP135*VLOOKUP('Données projet'!$B$16,Paramètres!$A$1:$I$89,3,0)*0.475*44/12</f>
        <v>0</v>
      </c>
      <c r="FT135" s="24">
        <f t="shared" si="132"/>
        <v>0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70">
        <f t="shared" si="110"/>
        <v>183.33333333333334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3.8</v>
      </c>
      <c r="N136" s="14">
        <f>IF('Données projet'!$A$36&gt;35,N135+M136-V135,IF(A136&lt;'Données projet'!$A$36,$K$205^A136,IF(A136='Données projet'!$A$36,'Données projet'!$B$36,N135+M136-V135)))</f>
        <v>314.39999999999981</v>
      </c>
      <c r="O136" s="14">
        <f>N136*VLOOKUP('Données projet'!$B$9,Paramètres!$A$1:$I$89,3,0)*VLOOKUP('Données projet'!$B$9,Paramètres!$A$1:$I$89,5,0)</f>
        <v>284.4691199999998</v>
      </c>
      <c r="P136" s="14">
        <f t="shared" si="141"/>
        <v>67.910590237378983</v>
      </c>
      <c r="Q136" s="22">
        <f t="shared" si="108"/>
        <v>613.72799533010129</v>
      </c>
      <c r="R136" s="62">
        <f t="shared" si="109"/>
        <v>898.12022701043475</v>
      </c>
      <c r="S136" s="62">
        <f ca="1">AVERAGE(OFFSET($R$3,0,0,'Données projet'!$E$9+1,1))-AVERAGE(OFFSET($H$3,0,0,'Données projet'!$E$9+1,1))</f>
        <v>570.08763950759544</v>
      </c>
      <c r="T136" s="62">
        <f t="shared" si="142"/>
        <v>297.32483725004136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-2.2737367544323206E-13</v>
      </c>
      <c r="AJ136" s="14">
        <f>AI136*VLOOKUP('Données projet'!$B$10,Paramètres!$A$1:$I$89,3,0)*VLOOKUP('Données projet'!$B$10,Paramètres!$A$1:$I$89,5,0)</f>
        <v>-1.8089849618263545E-13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394.70330963327166</v>
      </c>
      <c r="AO136" s="62">
        <f t="shared" si="144"/>
        <v>424.06445894109982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-2.2737367544323206E-13</v>
      </c>
      <c r="BE136" s="14">
        <f>BD136*VLOOKUP('Données projet'!$B$11,Paramètres!$A$1:$I$89,3,0)*VLOOKUP('Données projet'!$B$11,Paramètres!$A$1:$I$89,5,0)</f>
        <v>-1.6671037883497774E-13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368.54671978064204</v>
      </c>
      <c r="BJ136" s="62">
        <f t="shared" si="146"/>
        <v>395.83504504492237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5.6843418860808015E-14</v>
      </c>
      <c r="BZ136" s="14">
        <f>BY136*VLOOKUP('Données projet'!$B$12,Paramètres!$A$1:$I$89,3,0)*VLOOKUP('Données projet'!$B$12,Paramètres!$A$1:$I$89,5,0)</f>
        <v>4.4337866711430253E-14</v>
      </c>
      <c r="CA136" s="14">
        <f t="shared" si="147"/>
        <v>7.3222115536967035E-13</v>
      </c>
      <c r="CB136" s="22">
        <f t="shared" si="118"/>
        <v>1.3525069634579169E-12</v>
      </c>
      <c r="CC136" s="62">
        <f t="shared" si="119"/>
        <v>284.39223168033476</v>
      </c>
      <c r="CD136" s="62">
        <f ca="1">AVERAGE(OFFSET($CC$3,0,0,'Données projet'!$E$12+1,1))-AVERAGE(OFFSET($H$3,0,0,'Données projet'!$E$12+1,1))</f>
        <v>309.21625451786218</v>
      </c>
      <c r="CE136" s="62">
        <f t="shared" si="148"/>
        <v>302.59481222418219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-2.8421709430404007E-13</v>
      </c>
      <c r="CU136" s="18">
        <f>CT136*VLOOKUP('Données projet'!$B$13,Paramètres!$A$1:$I$89,3,0)*VLOOKUP('Données projet'!$B$13,Paramètres!$A$1:$I$89,5,0)</f>
        <v>-2.7046098693972454E-13</v>
      </c>
      <c r="CV136" s="14" t="e">
        <f t="shared" si="149"/>
        <v>#NUM!</v>
      </c>
      <c r="CW136" s="22" t="e">
        <f t="shared" si="121"/>
        <v>#NUM!</v>
      </c>
      <c r="CX136" s="62" t="e">
        <f t="shared" si="122"/>
        <v>#NUM!</v>
      </c>
      <c r="CY136" s="62">
        <f ca="1">AVERAGE(OFFSET($CX$3,0,0,'Données projet'!$E$13+1,1))-AVERAGE(OFFSET($H$3,0,0,'Données projet'!$E$13+1,1))</f>
        <v>491.87038198656927</v>
      </c>
      <c r="CZ136" s="62">
        <f t="shared" si="150"/>
        <v>406.49261644949559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0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3.8</v>
      </c>
      <c r="DO136" s="13">
        <f>IF('Données projet'!$A$166&gt;35,DO135+DN136-DW135,IF(A136&lt;'Données projet'!$A$166,$DL$205^A136,IF(A136='Données projet'!$A$166,'Données projet'!$B$166,DO135+DN136-DW135)))</f>
        <v>314.39999999999981</v>
      </c>
      <c r="DP136" s="18">
        <f>DO136*VLOOKUP('Données projet'!$B$14,Paramètres!$A$1:$I$89,3,0)*VLOOKUP('Données projet'!$B$14,Paramètres!$A$1:$I$89,5,0)</f>
        <v>304.08767999999981</v>
      </c>
      <c r="DQ136" s="14">
        <f t="shared" si="151"/>
        <v>72.032722076553924</v>
      </c>
      <c r="DR136" s="22">
        <f t="shared" si="124"/>
        <v>655.07636694999781</v>
      </c>
      <c r="DS136" s="62">
        <f t="shared" si="125"/>
        <v>939.46859863033114</v>
      </c>
      <c r="DT136" s="62">
        <f ca="1">AVERAGE(OFFSET($DS$3,0,0,'Données projet'!$E$14+1,1))-AVERAGE(OFFSET($H$3,0,0,'Données projet'!$E$14+1,1))</f>
        <v>603.52431522262032</v>
      </c>
      <c r="DU136" s="62">
        <f t="shared" si="152"/>
        <v>313.56299786481338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projet'!$B$14,Paramètres!$A$1:$I$89,3,0)*0.475*44/12</f>
        <v>0</v>
      </c>
      <c r="EB136" s="23">
        <f>EXP(-LN(2)/25)*EB135+(1-EXP(-LN(2)/25))/(LN(2)/25)*Calculateur!DW136*Calculateur!DY136*VLOOKUP('Données projet'!$B$14,Paramètres!$A$1:$I$89,3,0)*0.475*44/12</f>
        <v>0</v>
      </c>
      <c r="EC136" s="23">
        <f>EXP(-LN(2)/2)*EC135+(1-EXP(-LN(2)/2))/(LN(2)/2)*DW136*DZ136*VLOOKUP('Données projet'!$B$14,Paramètres!$A$1:$I$89,3,0)*0.475*44/12</f>
        <v>0</v>
      </c>
      <c r="ED136" s="24">
        <f t="shared" si="126"/>
        <v>0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-1.1368683772161603E-13</v>
      </c>
      <c r="EK136" s="18">
        <f>EJ136*VLOOKUP('Données projet'!$B$15,Paramètres!$A$1:$I$89,3,0)*VLOOKUP('Données projet'!$B$15,Paramètres!$A$1:$I$89,5,0)</f>
        <v>-9.2222762759774927E-14</v>
      </c>
      <c r="EL136" s="14" t="e">
        <f t="shared" si="153"/>
        <v>#NUM!</v>
      </c>
      <c r="EM136" s="22" t="e">
        <f t="shared" si="127"/>
        <v>#NUM!</v>
      </c>
      <c r="EN136" s="62" t="e">
        <f t="shared" si="128"/>
        <v>#NUM!</v>
      </c>
      <c r="EO136" s="62">
        <f ca="1">AVERAGE(OFFSET($EN$3,0,0,'Données projet'!$E$15+1,1))-AVERAGE(OFFSET($H$3,0,0,'Données projet'!$E$15+1,1))</f>
        <v>272.69564942740931</v>
      </c>
      <c r="EP136" s="62">
        <f t="shared" si="154"/>
        <v>316.57989180609252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>
        <f>EXP(-LN(2)/35)*EV135+(1-EXP(-LN(2)/35))/(LN(2)/35)*ER136*ES136*VLOOKUP('Données projet'!$B$15,Paramètres!$A$1:$I$89,3,0)*0.475*44/12</f>
        <v>0</v>
      </c>
      <c r="EW136" s="23">
        <f>EXP(-LN(2)/25)*EW135+(1-EXP(-LN(2)/25))/(LN(2)/25)*Calculateur!ER136*Calculateur!ET136*VLOOKUP('Données projet'!$B$15,Paramètres!$A$1:$I$89,3,0)*0.475*44/12</f>
        <v>0</v>
      </c>
      <c r="EX136" s="23">
        <f>EXP(-LN(2)/2)*EX135+(1-EXP(-LN(2)/2))/(LN(2)/2)*ER136*EU136*VLOOKUP('Données projet'!$B$15,Paramètres!$A$1:$I$89,3,0)*0.475*44/12</f>
        <v>0</v>
      </c>
      <c r="EY136" s="24">
        <f t="shared" si="129"/>
        <v>0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-3.4106051316484809E-13</v>
      </c>
      <c r="FF136" s="18">
        <f>FE136*VLOOKUP('Données projet'!$B$16,Paramètres!$A$1:$I$89,3,0)*VLOOKUP('Données projet'!$B$16,Paramètres!$A$1:$I$89,5,0)</f>
        <v>-2.2878339223098009E-13</v>
      </c>
      <c r="FG136" s="14" t="e">
        <f t="shared" si="155"/>
        <v>#NUM!</v>
      </c>
      <c r="FH136" s="22" t="e">
        <f t="shared" si="130"/>
        <v>#NUM!</v>
      </c>
      <c r="FI136" s="62" t="e">
        <f t="shared" si="131"/>
        <v>#NUM!</v>
      </c>
      <c r="FJ136" s="62">
        <f ca="1">AVERAGE(OFFSET($FI$3,0,0,'Données projet'!$E$16+1,1))-AVERAGE(OFFSET($H$3,0,0,'Données projet'!$E$16+1,1))</f>
        <v>440.90856392064205</v>
      </c>
      <c r="FK136" s="62">
        <f t="shared" si="156"/>
        <v>373.33139300970629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>
        <f>EXP(-LN(2)/35)*FQ135+(1-EXP(-LN(2)/35))/(LN(2)/35)*FM136*FN136*VLOOKUP('Données projet'!$B$16,Paramètres!$A$1:$I$89,3,0)*0.475*44/12</f>
        <v>0</v>
      </c>
      <c r="FR136" s="23">
        <f>EXP(-LN(2)/25)*FR135+(1-EXP(-LN(2)/25))/(LN(2)/25)*Calculateur!FM136*Calculateur!FO136*VLOOKUP('Données projet'!$B$16,Paramètres!$A$1:$I$89,3,0)*0.475*44/12</f>
        <v>0</v>
      </c>
      <c r="FS136" s="23">
        <f>EXP(-LN(2)/2)*FS135+(1-EXP(-LN(2)/2))/(LN(2)/2)*FM136*FP136*VLOOKUP('Données projet'!$B$16,Paramètres!$A$1:$I$89,3,0)*0.475*44/12</f>
        <v>0</v>
      </c>
      <c r="FT136" s="24">
        <f t="shared" si="132"/>
        <v>0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70">
        <f t="shared" si="110"/>
        <v>183.33333333333334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3.8</v>
      </c>
      <c r="N137" s="14">
        <f>IF('Données projet'!$A$36&gt;35,N136+M137-V136,IF(A137&lt;'Données projet'!$A$36,$K$205^A137,IF(A137='Données projet'!$A$36,'Données projet'!$B$36,N136+M137-V136)))</f>
        <v>318.19999999999982</v>
      </c>
      <c r="O137" s="14">
        <f>N137*VLOOKUP('Données projet'!$B$9,Paramètres!$A$1:$I$89,3,0)*VLOOKUP('Données projet'!$B$9,Paramètres!$A$1:$I$89,5,0)</f>
        <v>287.90735999999981</v>
      </c>
      <c r="P137" s="14">
        <f t="shared" si="141"/>
        <v>68.635343255147305</v>
      </c>
      <c r="Q137" s="22">
        <f t="shared" si="108"/>
        <v>620.97854150271451</v>
      </c>
      <c r="R137" s="62">
        <f t="shared" si="109"/>
        <v>905.52588130741879</v>
      </c>
      <c r="S137" s="62">
        <f ca="1">AVERAGE(OFFSET($R$3,0,0,'Données projet'!$E$9+1,1))-AVERAGE(OFFSET($H$3,0,0,'Données projet'!$E$9+1,1))</f>
        <v>570.08763950759544</v>
      </c>
      <c r="T137" s="62">
        <f t="shared" si="142"/>
        <v>297.32483725004136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-2.2737367544323206E-13</v>
      </c>
      <c r="AJ137" s="14">
        <f>AI137*VLOOKUP('Données projet'!$B$10,Paramètres!$A$1:$I$89,3,0)*VLOOKUP('Données projet'!$B$10,Paramètres!$A$1:$I$89,5,0)</f>
        <v>-1.8089849618263545E-13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394.70330963327166</v>
      </c>
      <c r="AO137" s="62">
        <f t="shared" si="144"/>
        <v>424.06445894109982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-2.2737367544323206E-13</v>
      </c>
      <c r="BE137" s="14">
        <f>BD137*VLOOKUP('Données projet'!$B$11,Paramètres!$A$1:$I$89,3,0)*VLOOKUP('Données projet'!$B$11,Paramètres!$A$1:$I$89,5,0)</f>
        <v>-1.6671037883497774E-13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368.54671978064204</v>
      </c>
      <c r="BJ137" s="62">
        <f t="shared" si="146"/>
        <v>395.83504504492237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5.6843418860808015E-14</v>
      </c>
      <c r="BZ137" s="14">
        <f>BY137*VLOOKUP('Données projet'!$B$12,Paramètres!$A$1:$I$89,3,0)*VLOOKUP('Données projet'!$B$12,Paramètres!$A$1:$I$89,5,0)</f>
        <v>4.4337866711430253E-14</v>
      </c>
      <c r="CA137" s="14">
        <f t="shared" si="147"/>
        <v>7.3222115536967035E-13</v>
      </c>
      <c r="CB137" s="22">
        <f t="shared" si="118"/>
        <v>1.3525069634579169E-12</v>
      </c>
      <c r="CC137" s="62">
        <f t="shared" si="119"/>
        <v>284.54733980470564</v>
      </c>
      <c r="CD137" s="62">
        <f ca="1">AVERAGE(OFFSET($CC$3,0,0,'Données projet'!$E$12+1,1))-AVERAGE(OFFSET($H$3,0,0,'Données projet'!$E$12+1,1))</f>
        <v>309.21625451786218</v>
      </c>
      <c r="CE137" s="62">
        <f t="shared" si="148"/>
        <v>302.59481222418219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-2.8421709430404007E-13</v>
      </c>
      <c r="CU137" s="18">
        <f>CT137*VLOOKUP('Données projet'!$B$13,Paramètres!$A$1:$I$89,3,0)*VLOOKUP('Données projet'!$B$13,Paramètres!$A$1:$I$89,5,0)</f>
        <v>-2.7046098693972454E-13</v>
      </c>
      <c r="CV137" s="14" t="e">
        <f t="shared" si="149"/>
        <v>#NUM!</v>
      </c>
      <c r="CW137" s="22" t="e">
        <f t="shared" si="121"/>
        <v>#NUM!</v>
      </c>
      <c r="CX137" s="62" t="e">
        <f t="shared" si="122"/>
        <v>#NUM!</v>
      </c>
      <c r="CY137" s="62">
        <f ca="1">AVERAGE(OFFSET($CX$3,0,0,'Données projet'!$E$13+1,1))-AVERAGE(OFFSET($H$3,0,0,'Données projet'!$E$13+1,1))</f>
        <v>491.87038198656927</v>
      </c>
      <c r="CZ137" s="62">
        <f t="shared" si="150"/>
        <v>406.49261644949559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0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3.8</v>
      </c>
      <c r="DO137" s="13">
        <f>IF('Données projet'!$A$166&gt;35,DO136+DN137-DW136,IF(A137&lt;'Données projet'!$A$166,$DL$205^A137,IF(A137='Données projet'!$A$166,'Données projet'!$B$166,DO136+DN137-DW136)))</f>
        <v>318.19999999999982</v>
      </c>
      <c r="DP137" s="18">
        <f>DO137*VLOOKUP('Données projet'!$B$14,Paramètres!$A$1:$I$89,3,0)*VLOOKUP('Données projet'!$B$14,Paramètres!$A$1:$I$89,5,0)</f>
        <v>307.76303999999982</v>
      </c>
      <c r="DQ137" s="14">
        <f t="shared" si="151"/>
        <v>72.801467165067464</v>
      </c>
      <c r="DR137" s="22">
        <f t="shared" si="124"/>
        <v>662.81651664582557</v>
      </c>
      <c r="DS137" s="62">
        <f t="shared" si="125"/>
        <v>947.36385645052985</v>
      </c>
      <c r="DT137" s="62">
        <f ca="1">AVERAGE(OFFSET($DS$3,0,0,'Données projet'!$E$14+1,1))-AVERAGE(OFFSET($H$3,0,0,'Données projet'!$E$14+1,1))</f>
        <v>603.52431522262032</v>
      </c>
      <c r="DU137" s="62">
        <f t="shared" si="152"/>
        <v>313.56299786481338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projet'!$B$14,Paramètres!$A$1:$I$89,3,0)*0.475*44/12</f>
        <v>0</v>
      </c>
      <c r="EB137" s="23">
        <f>EXP(-LN(2)/25)*EB136+(1-EXP(-LN(2)/25))/(LN(2)/25)*Calculateur!DW137*Calculateur!DY137*VLOOKUP('Données projet'!$B$14,Paramètres!$A$1:$I$89,3,0)*0.475*44/12</f>
        <v>0</v>
      </c>
      <c r="EC137" s="23">
        <f>EXP(-LN(2)/2)*EC136+(1-EXP(-LN(2)/2))/(LN(2)/2)*DW137*DZ137*VLOOKUP('Données projet'!$B$14,Paramètres!$A$1:$I$89,3,0)*0.475*44/12</f>
        <v>0</v>
      </c>
      <c r="ED137" s="24">
        <f t="shared" si="126"/>
        <v>0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-1.1368683772161603E-13</v>
      </c>
      <c r="EK137" s="18">
        <f>EJ137*VLOOKUP('Données projet'!$B$15,Paramètres!$A$1:$I$89,3,0)*VLOOKUP('Données projet'!$B$15,Paramètres!$A$1:$I$89,5,0)</f>
        <v>-9.2222762759774927E-14</v>
      </c>
      <c r="EL137" s="14" t="e">
        <f t="shared" si="153"/>
        <v>#NUM!</v>
      </c>
      <c r="EM137" s="22" t="e">
        <f t="shared" si="127"/>
        <v>#NUM!</v>
      </c>
      <c r="EN137" s="62" t="e">
        <f t="shared" si="128"/>
        <v>#NUM!</v>
      </c>
      <c r="EO137" s="62">
        <f ca="1">AVERAGE(OFFSET($EN$3,0,0,'Données projet'!$E$15+1,1))-AVERAGE(OFFSET($H$3,0,0,'Données projet'!$E$15+1,1))</f>
        <v>272.69564942740931</v>
      </c>
      <c r="EP137" s="62">
        <f t="shared" si="154"/>
        <v>316.57989180609252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>
        <f>EXP(-LN(2)/35)*EV136+(1-EXP(-LN(2)/35))/(LN(2)/35)*ER137*ES137*VLOOKUP('Données projet'!$B$15,Paramètres!$A$1:$I$89,3,0)*0.475*44/12</f>
        <v>0</v>
      </c>
      <c r="EW137" s="23">
        <f>EXP(-LN(2)/25)*EW136+(1-EXP(-LN(2)/25))/(LN(2)/25)*Calculateur!ER137*Calculateur!ET137*VLOOKUP('Données projet'!$B$15,Paramètres!$A$1:$I$89,3,0)*0.475*44/12</f>
        <v>0</v>
      </c>
      <c r="EX137" s="23">
        <f>EXP(-LN(2)/2)*EX136+(1-EXP(-LN(2)/2))/(LN(2)/2)*ER137*EU137*VLOOKUP('Données projet'!$B$15,Paramètres!$A$1:$I$89,3,0)*0.475*44/12</f>
        <v>0</v>
      </c>
      <c r="EY137" s="24">
        <f t="shared" si="129"/>
        <v>0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-3.4106051316484809E-13</v>
      </c>
      <c r="FF137" s="18">
        <f>FE137*VLOOKUP('Données projet'!$B$16,Paramètres!$A$1:$I$89,3,0)*VLOOKUP('Données projet'!$B$16,Paramètres!$A$1:$I$89,5,0)</f>
        <v>-2.2878339223098009E-13</v>
      </c>
      <c r="FG137" s="14" t="e">
        <f t="shared" si="155"/>
        <v>#NUM!</v>
      </c>
      <c r="FH137" s="22" t="e">
        <f t="shared" si="130"/>
        <v>#NUM!</v>
      </c>
      <c r="FI137" s="62" t="e">
        <f t="shared" si="131"/>
        <v>#NUM!</v>
      </c>
      <c r="FJ137" s="62">
        <f ca="1">AVERAGE(OFFSET($FI$3,0,0,'Données projet'!$E$16+1,1))-AVERAGE(OFFSET($H$3,0,0,'Données projet'!$E$16+1,1))</f>
        <v>440.90856392064205</v>
      </c>
      <c r="FK137" s="62">
        <f t="shared" si="156"/>
        <v>373.33139300970629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>
        <f>EXP(-LN(2)/35)*FQ136+(1-EXP(-LN(2)/35))/(LN(2)/35)*FM137*FN137*VLOOKUP('Données projet'!$B$16,Paramètres!$A$1:$I$89,3,0)*0.475*44/12</f>
        <v>0</v>
      </c>
      <c r="FR137" s="23">
        <f>EXP(-LN(2)/25)*FR136+(1-EXP(-LN(2)/25))/(LN(2)/25)*Calculateur!FM137*Calculateur!FO137*VLOOKUP('Données projet'!$B$16,Paramètres!$A$1:$I$89,3,0)*0.475*44/12</f>
        <v>0</v>
      </c>
      <c r="FS137" s="23">
        <f>EXP(-LN(2)/2)*FS136+(1-EXP(-LN(2)/2))/(LN(2)/2)*FM137*FP137*VLOOKUP('Données projet'!$B$16,Paramètres!$A$1:$I$89,3,0)*0.475*44/12</f>
        <v>0</v>
      </c>
      <c r="FT137" s="24">
        <f t="shared" si="132"/>
        <v>0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70">
        <f t="shared" si="110"/>
        <v>183.33333333333334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3.8</v>
      </c>
      <c r="N138" s="14">
        <f>IF('Données projet'!$A$36&gt;35,N137+M138-V137,IF(A138&lt;'Données projet'!$A$36,$K$205^A138,IF(A138='Données projet'!$A$36,'Données projet'!$B$36,N137+M138-V137)))</f>
        <v>321.99999999999983</v>
      </c>
      <c r="O138" s="14">
        <f>N138*VLOOKUP('Données projet'!$B$9,Paramètres!$A$1:$I$89,3,0)*VLOOKUP('Données projet'!$B$9,Paramètres!$A$1:$I$89,5,0)</f>
        <v>291.34559999999982</v>
      </c>
      <c r="P138" s="14">
        <f t="shared" si="141"/>
        <v>69.359089490698651</v>
      </c>
      <c r="Q138" s="22">
        <f t="shared" si="108"/>
        <v>628.22733419629969</v>
      </c>
      <c r="R138" s="62">
        <f t="shared" si="109"/>
        <v>912.9270913461869</v>
      </c>
      <c r="S138" s="62">
        <f ca="1">AVERAGE(OFFSET($R$3,0,0,'Données projet'!$E$9+1,1))-AVERAGE(OFFSET($H$3,0,0,'Données projet'!$E$9+1,1))</f>
        <v>570.08763950759544</v>
      </c>
      <c r="T138" s="62">
        <f t="shared" si="142"/>
        <v>297.32483725004136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-2.2737367544323206E-13</v>
      </c>
      <c r="AJ138" s="14">
        <f>AI138*VLOOKUP('Données projet'!$B$10,Paramètres!$A$1:$I$89,3,0)*VLOOKUP('Données projet'!$B$10,Paramètres!$A$1:$I$89,5,0)</f>
        <v>-1.8089849618263545E-13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394.70330963327166</v>
      </c>
      <c r="AO138" s="62">
        <f t="shared" si="144"/>
        <v>424.06445894109982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-2.2737367544323206E-13</v>
      </c>
      <c r="BE138" s="14">
        <f>BD138*VLOOKUP('Données projet'!$B$11,Paramètres!$A$1:$I$89,3,0)*VLOOKUP('Données projet'!$B$11,Paramètres!$A$1:$I$89,5,0)</f>
        <v>-1.6671037883497774E-13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368.54671978064204</v>
      </c>
      <c r="BJ138" s="62">
        <f t="shared" si="146"/>
        <v>395.83504504492237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5.6843418860808015E-14</v>
      </c>
      <c r="BZ138" s="14">
        <f>BY138*VLOOKUP('Données projet'!$B$12,Paramètres!$A$1:$I$89,3,0)*VLOOKUP('Données projet'!$B$12,Paramètres!$A$1:$I$89,5,0)</f>
        <v>4.4337866711430253E-14</v>
      </c>
      <c r="CA138" s="14">
        <f t="shared" si="147"/>
        <v>7.3222115536967035E-13</v>
      </c>
      <c r="CB138" s="22">
        <f t="shared" si="118"/>
        <v>1.3525069634579169E-12</v>
      </c>
      <c r="CC138" s="62">
        <f t="shared" si="119"/>
        <v>284.69975714988851</v>
      </c>
      <c r="CD138" s="62">
        <f ca="1">AVERAGE(OFFSET($CC$3,0,0,'Données projet'!$E$12+1,1))-AVERAGE(OFFSET($H$3,0,0,'Données projet'!$E$12+1,1))</f>
        <v>309.21625451786218</v>
      </c>
      <c r="CE138" s="62">
        <f t="shared" si="148"/>
        <v>302.59481222418219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-2.8421709430404007E-13</v>
      </c>
      <c r="CU138" s="18">
        <f>CT138*VLOOKUP('Données projet'!$B$13,Paramètres!$A$1:$I$89,3,0)*VLOOKUP('Données projet'!$B$13,Paramètres!$A$1:$I$89,5,0)</f>
        <v>-2.7046098693972454E-13</v>
      </c>
      <c r="CV138" s="14" t="e">
        <f t="shared" si="149"/>
        <v>#NUM!</v>
      </c>
      <c r="CW138" s="22" t="e">
        <f t="shared" si="121"/>
        <v>#NUM!</v>
      </c>
      <c r="CX138" s="62" t="e">
        <f t="shared" si="122"/>
        <v>#NUM!</v>
      </c>
      <c r="CY138" s="62">
        <f ca="1">AVERAGE(OFFSET($CX$3,0,0,'Données projet'!$E$13+1,1))-AVERAGE(OFFSET($H$3,0,0,'Données projet'!$E$13+1,1))</f>
        <v>491.87038198656927</v>
      </c>
      <c r="CZ138" s="62">
        <f t="shared" si="150"/>
        <v>406.49261644949559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0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3.8</v>
      </c>
      <c r="DO138" s="13">
        <f>IF('Données projet'!$A$166&gt;35,DO137+DN138-DW137,IF(A138&lt;'Données projet'!$A$166,$DL$205^A138,IF(A138='Données projet'!$A$166,'Données projet'!$B$166,DO137+DN138-DW137)))</f>
        <v>321.99999999999983</v>
      </c>
      <c r="DP138" s="18">
        <f>DO138*VLOOKUP('Données projet'!$B$14,Paramètres!$A$1:$I$89,3,0)*VLOOKUP('Données projet'!$B$14,Paramètres!$A$1:$I$89,5,0)</f>
        <v>311.43839999999983</v>
      </c>
      <c r="DQ138" s="14">
        <f t="shared" si="151"/>
        <v>73.569144360291361</v>
      </c>
      <c r="DR138" s="22">
        <f t="shared" si="124"/>
        <v>670.55480642750706</v>
      </c>
      <c r="DS138" s="62">
        <f t="shared" si="125"/>
        <v>955.25456357739426</v>
      </c>
      <c r="DT138" s="62">
        <f ca="1">AVERAGE(OFFSET($DS$3,0,0,'Données projet'!$E$14+1,1))-AVERAGE(OFFSET($H$3,0,0,'Données projet'!$E$14+1,1))</f>
        <v>603.52431522262032</v>
      </c>
      <c r="DU138" s="62">
        <f t="shared" si="152"/>
        <v>313.56299786481338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projet'!$B$14,Paramètres!$A$1:$I$89,3,0)*0.475*44/12</f>
        <v>0</v>
      </c>
      <c r="EB138" s="23">
        <f>EXP(-LN(2)/25)*EB137+(1-EXP(-LN(2)/25))/(LN(2)/25)*Calculateur!DW138*Calculateur!DY138*VLOOKUP('Données projet'!$B$14,Paramètres!$A$1:$I$89,3,0)*0.475*44/12</f>
        <v>0</v>
      </c>
      <c r="EC138" s="23">
        <f>EXP(-LN(2)/2)*EC137+(1-EXP(-LN(2)/2))/(LN(2)/2)*DW138*DZ138*VLOOKUP('Données projet'!$B$14,Paramètres!$A$1:$I$89,3,0)*0.475*44/12</f>
        <v>0</v>
      </c>
      <c r="ED138" s="24">
        <f t="shared" si="126"/>
        <v>0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-1.1368683772161603E-13</v>
      </c>
      <c r="EK138" s="18">
        <f>EJ138*VLOOKUP('Données projet'!$B$15,Paramètres!$A$1:$I$89,3,0)*VLOOKUP('Données projet'!$B$15,Paramètres!$A$1:$I$89,5,0)</f>
        <v>-9.2222762759774927E-14</v>
      </c>
      <c r="EL138" s="14" t="e">
        <f t="shared" si="153"/>
        <v>#NUM!</v>
      </c>
      <c r="EM138" s="22" t="e">
        <f t="shared" si="127"/>
        <v>#NUM!</v>
      </c>
      <c r="EN138" s="62" t="e">
        <f t="shared" si="128"/>
        <v>#NUM!</v>
      </c>
      <c r="EO138" s="62">
        <f ca="1">AVERAGE(OFFSET($EN$3,0,0,'Données projet'!$E$15+1,1))-AVERAGE(OFFSET($H$3,0,0,'Données projet'!$E$15+1,1))</f>
        <v>272.69564942740931</v>
      </c>
      <c r="EP138" s="62">
        <f t="shared" si="154"/>
        <v>316.57989180609252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>
        <f>EXP(-LN(2)/35)*EV137+(1-EXP(-LN(2)/35))/(LN(2)/35)*ER138*ES138*VLOOKUP('Données projet'!$B$15,Paramètres!$A$1:$I$89,3,0)*0.475*44/12</f>
        <v>0</v>
      </c>
      <c r="EW138" s="23">
        <f>EXP(-LN(2)/25)*EW137+(1-EXP(-LN(2)/25))/(LN(2)/25)*Calculateur!ER138*Calculateur!ET138*VLOOKUP('Données projet'!$B$15,Paramètres!$A$1:$I$89,3,0)*0.475*44/12</f>
        <v>0</v>
      </c>
      <c r="EX138" s="23">
        <f>EXP(-LN(2)/2)*EX137+(1-EXP(-LN(2)/2))/(LN(2)/2)*ER138*EU138*VLOOKUP('Données projet'!$B$15,Paramètres!$A$1:$I$89,3,0)*0.475*44/12</f>
        <v>0</v>
      </c>
      <c r="EY138" s="24">
        <f t="shared" si="129"/>
        <v>0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-3.4106051316484809E-13</v>
      </c>
      <c r="FF138" s="18">
        <f>FE138*VLOOKUP('Données projet'!$B$16,Paramètres!$A$1:$I$89,3,0)*VLOOKUP('Données projet'!$B$16,Paramètres!$A$1:$I$89,5,0)</f>
        <v>-2.2878339223098009E-13</v>
      </c>
      <c r="FG138" s="14" t="e">
        <f t="shared" si="155"/>
        <v>#NUM!</v>
      </c>
      <c r="FH138" s="22" t="e">
        <f t="shared" si="130"/>
        <v>#NUM!</v>
      </c>
      <c r="FI138" s="62" t="e">
        <f t="shared" si="131"/>
        <v>#NUM!</v>
      </c>
      <c r="FJ138" s="62">
        <f ca="1">AVERAGE(OFFSET($FI$3,0,0,'Données projet'!$E$16+1,1))-AVERAGE(OFFSET($H$3,0,0,'Données projet'!$E$16+1,1))</f>
        <v>440.90856392064205</v>
      </c>
      <c r="FK138" s="62">
        <f t="shared" si="156"/>
        <v>373.33139300970629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>
        <f>EXP(-LN(2)/35)*FQ137+(1-EXP(-LN(2)/35))/(LN(2)/35)*FM138*FN138*VLOOKUP('Données projet'!$B$16,Paramètres!$A$1:$I$89,3,0)*0.475*44/12</f>
        <v>0</v>
      </c>
      <c r="FR138" s="23">
        <f>EXP(-LN(2)/25)*FR137+(1-EXP(-LN(2)/25))/(LN(2)/25)*Calculateur!FM138*Calculateur!FO138*VLOOKUP('Données projet'!$B$16,Paramètres!$A$1:$I$89,3,0)*0.475*44/12</f>
        <v>0</v>
      </c>
      <c r="FS138" s="23">
        <f>EXP(-LN(2)/2)*FS137+(1-EXP(-LN(2)/2))/(LN(2)/2)*FM138*FP138*VLOOKUP('Données projet'!$B$16,Paramètres!$A$1:$I$89,3,0)*0.475*44/12</f>
        <v>0</v>
      </c>
      <c r="FT138" s="24">
        <f t="shared" si="132"/>
        <v>0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70">
        <f t="shared" si="110"/>
        <v>183.33333333333334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3.8</v>
      </c>
      <c r="N139" s="14">
        <f>IF('Données projet'!$A$36&gt;35,N138+M139-V138,IF(A139&lt;'Données projet'!$A$36,$K$205^A139,IF(A139='Données projet'!$A$36,'Données projet'!$B$36,N138+M139-V138)))</f>
        <v>325.79999999999984</v>
      </c>
      <c r="O139" s="14">
        <f>N139*VLOOKUP('Données projet'!$B$9,Paramètres!$A$1:$I$89,3,0)*VLOOKUP('Données projet'!$B$9,Paramètres!$A$1:$I$89,5,0)</f>
        <v>294.78383999999983</v>
      </c>
      <c r="P139" s="14">
        <f t="shared" si="141"/>
        <v>70.081842199807596</v>
      </c>
      <c r="Q139" s="22">
        <f t="shared" si="108"/>
        <v>635.47439649799799</v>
      </c>
      <c r="R139" s="62">
        <f t="shared" si="109"/>
        <v>920.32392689288326</v>
      </c>
      <c r="S139" s="62">
        <f ca="1">AVERAGE(OFFSET($R$3,0,0,'Données projet'!$E$9+1,1))-AVERAGE(OFFSET($H$3,0,0,'Données projet'!$E$9+1,1))</f>
        <v>570.08763950759544</v>
      </c>
      <c r="T139" s="62">
        <f t="shared" si="142"/>
        <v>297.32483725004136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-2.2737367544323206E-13</v>
      </c>
      <c r="AJ139" s="14">
        <f>AI139*VLOOKUP('Données projet'!$B$10,Paramètres!$A$1:$I$89,3,0)*VLOOKUP('Données projet'!$B$10,Paramètres!$A$1:$I$89,5,0)</f>
        <v>-1.8089849618263545E-13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394.70330963327166</v>
      </c>
      <c r="AO139" s="62">
        <f t="shared" si="144"/>
        <v>424.06445894109982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-2.2737367544323206E-13</v>
      </c>
      <c r="BE139" s="14">
        <f>BD139*VLOOKUP('Données projet'!$B$11,Paramètres!$A$1:$I$89,3,0)*VLOOKUP('Données projet'!$B$11,Paramètres!$A$1:$I$89,5,0)</f>
        <v>-1.6671037883497774E-13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368.54671978064204</v>
      </c>
      <c r="BJ139" s="62">
        <f t="shared" si="146"/>
        <v>395.83504504492237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5.6843418860808015E-14</v>
      </c>
      <c r="BZ139" s="14">
        <f>BY139*VLOOKUP('Données projet'!$B$12,Paramètres!$A$1:$I$89,3,0)*VLOOKUP('Données projet'!$B$12,Paramètres!$A$1:$I$89,5,0)</f>
        <v>4.4337866711430253E-14</v>
      </c>
      <c r="CA139" s="14">
        <f t="shared" si="147"/>
        <v>7.3222115536967035E-13</v>
      </c>
      <c r="CB139" s="22">
        <f t="shared" si="118"/>
        <v>1.3525069634579169E-12</v>
      </c>
      <c r="CC139" s="62">
        <f t="shared" si="119"/>
        <v>284.84953039488659</v>
      </c>
      <c r="CD139" s="62">
        <f ca="1">AVERAGE(OFFSET($CC$3,0,0,'Données projet'!$E$12+1,1))-AVERAGE(OFFSET($H$3,0,0,'Données projet'!$E$12+1,1))</f>
        <v>309.21625451786218</v>
      </c>
      <c r="CE139" s="62">
        <f t="shared" si="148"/>
        <v>302.59481222418219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-2.8421709430404007E-13</v>
      </c>
      <c r="CU139" s="18">
        <f>CT139*VLOOKUP('Données projet'!$B$13,Paramètres!$A$1:$I$89,3,0)*VLOOKUP('Données projet'!$B$13,Paramètres!$A$1:$I$89,5,0)</f>
        <v>-2.7046098693972454E-13</v>
      </c>
      <c r="CV139" s="14" t="e">
        <f t="shared" si="149"/>
        <v>#NUM!</v>
      </c>
      <c r="CW139" s="22" t="e">
        <f t="shared" si="121"/>
        <v>#NUM!</v>
      </c>
      <c r="CX139" s="62" t="e">
        <f t="shared" si="122"/>
        <v>#NUM!</v>
      </c>
      <c r="CY139" s="62">
        <f ca="1">AVERAGE(OFFSET($CX$3,0,0,'Données projet'!$E$13+1,1))-AVERAGE(OFFSET($H$3,0,0,'Données projet'!$E$13+1,1))</f>
        <v>491.87038198656927</v>
      </c>
      <c r="CZ139" s="62">
        <f t="shared" si="150"/>
        <v>406.49261644949559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0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3.8</v>
      </c>
      <c r="DO139" s="13">
        <f>IF('Données projet'!$A$166&gt;35,DO138+DN139-DW138,IF(A139&lt;'Données projet'!$A$166,$DL$205^A139,IF(A139='Données projet'!$A$166,'Données projet'!$B$166,DO138+DN139-DW138)))</f>
        <v>325.79999999999984</v>
      </c>
      <c r="DP139" s="18">
        <f>DO139*VLOOKUP('Données projet'!$B$14,Paramètres!$A$1:$I$89,3,0)*VLOOKUP('Données projet'!$B$14,Paramètres!$A$1:$I$89,5,0)</f>
        <v>315.11375999999984</v>
      </c>
      <c r="DQ139" s="14">
        <f t="shared" si="151"/>
        <v>74.335767722617277</v>
      </c>
      <c r="DR139" s="22">
        <f t="shared" si="124"/>
        <v>678.29126078355807</v>
      </c>
      <c r="DS139" s="62">
        <f t="shared" si="125"/>
        <v>963.14079117844335</v>
      </c>
      <c r="DT139" s="62">
        <f ca="1">AVERAGE(OFFSET($DS$3,0,0,'Données projet'!$E$14+1,1))-AVERAGE(OFFSET($H$3,0,0,'Données projet'!$E$14+1,1))</f>
        <v>603.52431522262032</v>
      </c>
      <c r="DU139" s="62">
        <f t="shared" si="152"/>
        <v>313.56299786481338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projet'!$B$14,Paramètres!$A$1:$I$89,3,0)*0.475*44/12</f>
        <v>0</v>
      </c>
      <c r="EB139" s="23">
        <f>EXP(-LN(2)/25)*EB138+(1-EXP(-LN(2)/25))/(LN(2)/25)*Calculateur!DW139*Calculateur!DY139*VLOOKUP('Données projet'!$B$14,Paramètres!$A$1:$I$89,3,0)*0.475*44/12</f>
        <v>0</v>
      </c>
      <c r="EC139" s="23">
        <f>EXP(-LN(2)/2)*EC138+(1-EXP(-LN(2)/2))/(LN(2)/2)*DW139*DZ139*VLOOKUP('Données projet'!$B$14,Paramètres!$A$1:$I$89,3,0)*0.475*44/12</f>
        <v>0</v>
      </c>
      <c r="ED139" s="24">
        <f t="shared" si="126"/>
        <v>0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-1.1368683772161603E-13</v>
      </c>
      <c r="EK139" s="18">
        <f>EJ139*VLOOKUP('Données projet'!$B$15,Paramètres!$A$1:$I$89,3,0)*VLOOKUP('Données projet'!$B$15,Paramètres!$A$1:$I$89,5,0)</f>
        <v>-9.2222762759774927E-14</v>
      </c>
      <c r="EL139" s="14" t="e">
        <f t="shared" si="153"/>
        <v>#NUM!</v>
      </c>
      <c r="EM139" s="22" t="e">
        <f t="shared" si="127"/>
        <v>#NUM!</v>
      </c>
      <c r="EN139" s="62" t="e">
        <f t="shared" si="128"/>
        <v>#NUM!</v>
      </c>
      <c r="EO139" s="62">
        <f ca="1">AVERAGE(OFFSET($EN$3,0,0,'Données projet'!$E$15+1,1))-AVERAGE(OFFSET($H$3,0,0,'Données projet'!$E$15+1,1))</f>
        <v>272.69564942740931</v>
      </c>
      <c r="EP139" s="62">
        <f t="shared" si="154"/>
        <v>316.57989180609252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>
        <f>EXP(-LN(2)/35)*EV138+(1-EXP(-LN(2)/35))/(LN(2)/35)*ER139*ES139*VLOOKUP('Données projet'!$B$15,Paramètres!$A$1:$I$89,3,0)*0.475*44/12</f>
        <v>0</v>
      </c>
      <c r="EW139" s="23">
        <f>EXP(-LN(2)/25)*EW138+(1-EXP(-LN(2)/25))/(LN(2)/25)*Calculateur!ER139*Calculateur!ET139*VLOOKUP('Données projet'!$B$15,Paramètres!$A$1:$I$89,3,0)*0.475*44/12</f>
        <v>0</v>
      </c>
      <c r="EX139" s="23">
        <f>EXP(-LN(2)/2)*EX138+(1-EXP(-LN(2)/2))/(LN(2)/2)*ER139*EU139*VLOOKUP('Données projet'!$B$15,Paramètres!$A$1:$I$89,3,0)*0.475*44/12</f>
        <v>0</v>
      </c>
      <c r="EY139" s="24">
        <f t="shared" si="129"/>
        <v>0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-3.4106051316484809E-13</v>
      </c>
      <c r="FF139" s="18">
        <f>FE139*VLOOKUP('Données projet'!$B$16,Paramètres!$A$1:$I$89,3,0)*VLOOKUP('Données projet'!$B$16,Paramètres!$A$1:$I$89,5,0)</f>
        <v>-2.2878339223098009E-13</v>
      </c>
      <c r="FG139" s="14" t="e">
        <f t="shared" si="155"/>
        <v>#NUM!</v>
      </c>
      <c r="FH139" s="22" t="e">
        <f t="shared" si="130"/>
        <v>#NUM!</v>
      </c>
      <c r="FI139" s="62" t="e">
        <f t="shared" si="131"/>
        <v>#NUM!</v>
      </c>
      <c r="FJ139" s="62">
        <f ca="1">AVERAGE(OFFSET($FI$3,0,0,'Données projet'!$E$16+1,1))-AVERAGE(OFFSET($H$3,0,0,'Données projet'!$E$16+1,1))</f>
        <v>440.90856392064205</v>
      </c>
      <c r="FK139" s="62">
        <f t="shared" si="156"/>
        <v>373.33139300970629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>
        <f>EXP(-LN(2)/35)*FQ138+(1-EXP(-LN(2)/35))/(LN(2)/35)*FM139*FN139*VLOOKUP('Données projet'!$B$16,Paramètres!$A$1:$I$89,3,0)*0.475*44/12</f>
        <v>0</v>
      </c>
      <c r="FR139" s="23">
        <f>EXP(-LN(2)/25)*FR138+(1-EXP(-LN(2)/25))/(LN(2)/25)*Calculateur!FM139*Calculateur!FO139*VLOOKUP('Données projet'!$B$16,Paramètres!$A$1:$I$89,3,0)*0.475*44/12</f>
        <v>0</v>
      </c>
      <c r="FS139" s="23">
        <f>EXP(-LN(2)/2)*FS138+(1-EXP(-LN(2)/2))/(LN(2)/2)*FM139*FP139*VLOOKUP('Données projet'!$B$16,Paramètres!$A$1:$I$89,3,0)*0.475*44/12</f>
        <v>0</v>
      </c>
      <c r="FT139" s="24">
        <f t="shared" si="132"/>
        <v>0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70">
        <f t="shared" si="110"/>
        <v>183.33333333333334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3.8</v>
      </c>
      <c r="N140" s="14">
        <f>IF('Données projet'!$A$36&gt;35,N139+M140-V139,IF(A140&lt;'Données projet'!$A$36,$K$205^A140,IF(A140='Données projet'!$A$36,'Données projet'!$B$36,N139+M140-V139)))</f>
        <v>329.59999999999985</v>
      </c>
      <c r="O140" s="14">
        <f>N140*VLOOKUP('Données projet'!$B$9,Paramètres!$A$1:$I$89,3,0)*VLOOKUP('Données projet'!$B$9,Paramètres!$A$1:$I$89,5,0)</f>
        <v>298.22207999999983</v>
      </c>
      <c r="P140" s="14">
        <f t="shared" si="141"/>
        <v>70.803614311231783</v>
      </c>
      <c r="Q140" s="22">
        <f t="shared" si="108"/>
        <v>642.71975092539503</v>
      </c>
      <c r="R140" s="62">
        <f t="shared" si="109"/>
        <v>927.71645633432036</v>
      </c>
      <c r="S140" s="62">
        <f ca="1">AVERAGE(OFFSET($R$3,0,0,'Données projet'!$E$9+1,1))-AVERAGE(OFFSET($H$3,0,0,'Données projet'!$E$9+1,1))</f>
        <v>570.08763950759544</v>
      </c>
      <c r="T140" s="62">
        <f t="shared" si="142"/>
        <v>297.32483725004136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-2.2737367544323206E-13</v>
      </c>
      <c r="AJ140" s="14">
        <f>AI140*VLOOKUP('Données projet'!$B$10,Paramètres!$A$1:$I$89,3,0)*VLOOKUP('Données projet'!$B$10,Paramètres!$A$1:$I$89,5,0)</f>
        <v>-1.8089849618263545E-13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394.70330963327166</v>
      </c>
      <c r="AO140" s="62">
        <f t="shared" si="144"/>
        <v>424.06445894109982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-2.2737367544323206E-13</v>
      </c>
      <c r="BE140" s="14">
        <f>BD140*VLOOKUP('Données projet'!$B$11,Paramètres!$A$1:$I$89,3,0)*VLOOKUP('Données projet'!$B$11,Paramètres!$A$1:$I$89,5,0)</f>
        <v>-1.6671037883497774E-13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368.54671978064204</v>
      </c>
      <c r="BJ140" s="62">
        <f t="shared" si="146"/>
        <v>395.83504504492237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5.6843418860808015E-14</v>
      </c>
      <c r="BZ140" s="14">
        <f>BY140*VLOOKUP('Données projet'!$B$12,Paramètres!$A$1:$I$89,3,0)*VLOOKUP('Données projet'!$B$12,Paramètres!$A$1:$I$89,5,0)</f>
        <v>4.4337866711430253E-14</v>
      </c>
      <c r="CA140" s="14">
        <f t="shared" si="147"/>
        <v>7.3222115536967035E-13</v>
      </c>
      <c r="CB140" s="22">
        <f t="shared" si="118"/>
        <v>1.3525069634579169E-12</v>
      </c>
      <c r="CC140" s="62">
        <f t="shared" si="119"/>
        <v>284.99670540892674</v>
      </c>
      <c r="CD140" s="62">
        <f ca="1">AVERAGE(OFFSET($CC$3,0,0,'Données projet'!$E$12+1,1))-AVERAGE(OFFSET($H$3,0,0,'Données projet'!$E$12+1,1))</f>
        <v>309.21625451786218</v>
      </c>
      <c r="CE140" s="62">
        <f t="shared" si="148"/>
        <v>302.59481222418219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-2.8421709430404007E-13</v>
      </c>
      <c r="CU140" s="18">
        <f>CT140*VLOOKUP('Données projet'!$B$13,Paramètres!$A$1:$I$89,3,0)*VLOOKUP('Données projet'!$B$13,Paramètres!$A$1:$I$89,5,0)</f>
        <v>-2.7046098693972454E-13</v>
      </c>
      <c r="CV140" s="14" t="e">
        <f t="shared" si="149"/>
        <v>#NUM!</v>
      </c>
      <c r="CW140" s="22" t="e">
        <f t="shared" si="121"/>
        <v>#NUM!</v>
      </c>
      <c r="CX140" s="62" t="e">
        <f t="shared" si="122"/>
        <v>#NUM!</v>
      </c>
      <c r="CY140" s="62">
        <f ca="1">AVERAGE(OFFSET($CX$3,0,0,'Données projet'!$E$13+1,1))-AVERAGE(OFFSET($H$3,0,0,'Données projet'!$E$13+1,1))</f>
        <v>491.87038198656927</v>
      </c>
      <c r="CZ140" s="62">
        <f t="shared" si="150"/>
        <v>406.49261644949559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0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3.8</v>
      </c>
      <c r="DO140" s="13">
        <f>IF('Données projet'!$A$166&gt;35,DO139+DN140-DW139,IF(A140&lt;'Données projet'!$A$166,$DL$205^A140,IF(A140='Données projet'!$A$166,'Données projet'!$B$166,DO139+DN140-DW139)))</f>
        <v>329.59999999999985</v>
      </c>
      <c r="DP140" s="18">
        <f>DO140*VLOOKUP('Données projet'!$B$14,Paramètres!$A$1:$I$89,3,0)*VLOOKUP('Données projet'!$B$14,Paramètres!$A$1:$I$89,5,0)</f>
        <v>318.78911999999991</v>
      </c>
      <c r="DQ140" s="14">
        <f t="shared" si="151"/>
        <v>75.101350965570944</v>
      </c>
      <c r="DR140" s="22">
        <f t="shared" si="124"/>
        <v>686.02590359836915</v>
      </c>
      <c r="DS140" s="62">
        <f t="shared" si="125"/>
        <v>971.02260900729448</v>
      </c>
      <c r="DT140" s="62">
        <f ca="1">AVERAGE(OFFSET($DS$3,0,0,'Données projet'!$E$14+1,1))-AVERAGE(OFFSET($H$3,0,0,'Données projet'!$E$14+1,1))</f>
        <v>603.52431522262032</v>
      </c>
      <c r="DU140" s="62">
        <f t="shared" si="152"/>
        <v>313.56299786481338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projet'!$B$14,Paramètres!$A$1:$I$89,3,0)*0.475*44/12</f>
        <v>0</v>
      </c>
      <c r="EB140" s="23">
        <f>EXP(-LN(2)/25)*EB139+(1-EXP(-LN(2)/25))/(LN(2)/25)*Calculateur!DW140*Calculateur!DY140*VLOOKUP('Données projet'!$B$14,Paramètres!$A$1:$I$89,3,0)*0.475*44/12</f>
        <v>0</v>
      </c>
      <c r="EC140" s="23">
        <f>EXP(-LN(2)/2)*EC139+(1-EXP(-LN(2)/2))/(LN(2)/2)*DW140*DZ140*VLOOKUP('Données projet'!$B$14,Paramètres!$A$1:$I$89,3,0)*0.475*44/12</f>
        <v>0</v>
      </c>
      <c r="ED140" s="24">
        <f t="shared" si="126"/>
        <v>0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-1.1368683772161603E-13</v>
      </c>
      <c r="EK140" s="18">
        <f>EJ140*VLOOKUP('Données projet'!$B$15,Paramètres!$A$1:$I$89,3,0)*VLOOKUP('Données projet'!$B$15,Paramètres!$A$1:$I$89,5,0)</f>
        <v>-9.2222762759774927E-14</v>
      </c>
      <c r="EL140" s="14" t="e">
        <f t="shared" si="153"/>
        <v>#NUM!</v>
      </c>
      <c r="EM140" s="22" t="e">
        <f t="shared" si="127"/>
        <v>#NUM!</v>
      </c>
      <c r="EN140" s="62" t="e">
        <f t="shared" si="128"/>
        <v>#NUM!</v>
      </c>
      <c r="EO140" s="62">
        <f ca="1">AVERAGE(OFFSET($EN$3,0,0,'Données projet'!$E$15+1,1))-AVERAGE(OFFSET($H$3,0,0,'Données projet'!$E$15+1,1))</f>
        <v>272.69564942740931</v>
      </c>
      <c r="EP140" s="62">
        <f t="shared" si="154"/>
        <v>316.57989180609252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>
        <f>EXP(-LN(2)/35)*EV139+(1-EXP(-LN(2)/35))/(LN(2)/35)*ER140*ES140*VLOOKUP('Données projet'!$B$15,Paramètres!$A$1:$I$89,3,0)*0.475*44/12</f>
        <v>0</v>
      </c>
      <c r="EW140" s="23">
        <f>EXP(-LN(2)/25)*EW139+(1-EXP(-LN(2)/25))/(LN(2)/25)*Calculateur!ER140*Calculateur!ET140*VLOOKUP('Données projet'!$B$15,Paramètres!$A$1:$I$89,3,0)*0.475*44/12</f>
        <v>0</v>
      </c>
      <c r="EX140" s="23">
        <f>EXP(-LN(2)/2)*EX139+(1-EXP(-LN(2)/2))/(LN(2)/2)*ER140*EU140*VLOOKUP('Données projet'!$B$15,Paramètres!$A$1:$I$89,3,0)*0.475*44/12</f>
        <v>0</v>
      </c>
      <c r="EY140" s="24">
        <f t="shared" si="129"/>
        <v>0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-3.4106051316484809E-13</v>
      </c>
      <c r="FF140" s="18">
        <f>FE140*VLOOKUP('Données projet'!$B$16,Paramètres!$A$1:$I$89,3,0)*VLOOKUP('Données projet'!$B$16,Paramètres!$A$1:$I$89,5,0)</f>
        <v>-2.2878339223098009E-13</v>
      </c>
      <c r="FG140" s="14" t="e">
        <f t="shared" si="155"/>
        <v>#NUM!</v>
      </c>
      <c r="FH140" s="22" t="e">
        <f t="shared" si="130"/>
        <v>#NUM!</v>
      </c>
      <c r="FI140" s="62" t="e">
        <f t="shared" si="131"/>
        <v>#NUM!</v>
      </c>
      <c r="FJ140" s="62">
        <f ca="1">AVERAGE(OFFSET($FI$3,0,0,'Données projet'!$E$16+1,1))-AVERAGE(OFFSET($H$3,0,0,'Données projet'!$E$16+1,1))</f>
        <v>440.90856392064205</v>
      </c>
      <c r="FK140" s="62">
        <f t="shared" si="156"/>
        <v>373.33139300970629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>
        <f>EXP(-LN(2)/35)*FQ139+(1-EXP(-LN(2)/35))/(LN(2)/35)*FM140*FN140*VLOOKUP('Données projet'!$B$16,Paramètres!$A$1:$I$89,3,0)*0.475*44/12</f>
        <v>0</v>
      </c>
      <c r="FR140" s="23">
        <f>EXP(-LN(2)/25)*FR139+(1-EXP(-LN(2)/25))/(LN(2)/25)*Calculateur!FM140*Calculateur!FO140*VLOOKUP('Données projet'!$B$16,Paramètres!$A$1:$I$89,3,0)*0.475*44/12</f>
        <v>0</v>
      </c>
      <c r="FS140" s="23">
        <f>EXP(-LN(2)/2)*FS139+(1-EXP(-LN(2)/2))/(LN(2)/2)*FM140*FP140*VLOOKUP('Données projet'!$B$16,Paramètres!$A$1:$I$89,3,0)*0.475*44/12</f>
        <v>0</v>
      </c>
      <c r="FT140" s="24">
        <f t="shared" si="132"/>
        <v>0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70">
        <f t="shared" si="110"/>
        <v>183.33333333333334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3.8</v>
      </c>
      <c r="N141" s="14">
        <f>IF('Données projet'!$A$36&gt;35,N140+M141-V140,IF(A141&lt;'Données projet'!$A$36,$K$205^A141,IF(A141='Données projet'!$A$36,'Données projet'!$B$36,N140+M141-V140)))</f>
        <v>333.39999999999986</v>
      </c>
      <c r="O141" s="14">
        <f>N141*VLOOKUP('Données projet'!$B$9,Paramètres!$A$1:$I$89,3,0)*VLOOKUP('Données projet'!$B$9,Paramètres!$A$1:$I$89,5,0)</f>
        <v>301.66031999999984</v>
      </c>
      <c r="P141" s="14">
        <f t="shared" si="141"/>
        <v>71.524418438455001</v>
      </c>
      <c r="Q141" s="22">
        <f t="shared" si="108"/>
        <v>649.96341944697554</v>
      </c>
      <c r="R141" s="62">
        <f t="shared" si="109"/>
        <v>935.10474671248153</v>
      </c>
      <c r="S141" s="62">
        <f ca="1">AVERAGE(OFFSET($R$3,0,0,'Données projet'!$E$9+1,1))-AVERAGE(OFFSET($H$3,0,0,'Données projet'!$E$9+1,1))</f>
        <v>570.08763950759544</v>
      </c>
      <c r="T141" s="62">
        <f t="shared" si="142"/>
        <v>297.32483725004136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-2.2737367544323206E-13</v>
      </c>
      <c r="AJ141" s="14">
        <f>AI141*VLOOKUP('Données projet'!$B$10,Paramètres!$A$1:$I$89,3,0)*VLOOKUP('Données projet'!$B$10,Paramètres!$A$1:$I$89,5,0)</f>
        <v>-1.8089849618263545E-13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394.70330963327166</v>
      </c>
      <c r="AO141" s="62">
        <f t="shared" si="144"/>
        <v>424.06445894109982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-2.2737367544323206E-13</v>
      </c>
      <c r="BE141" s="14">
        <f>BD141*VLOOKUP('Données projet'!$B$11,Paramètres!$A$1:$I$89,3,0)*VLOOKUP('Données projet'!$B$11,Paramètres!$A$1:$I$89,5,0)</f>
        <v>-1.6671037883497774E-13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368.54671978064204</v>
      </c>
      <c r="BJ141" s="62">
        <f t="shared" si="146"/>
        <v>395.83504504492237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5.6843418860808015E-14</v>
      </c>
      <c r="BZ141" s="14">
        <f>BY141*VLOOKUP('Données projet'!$B$12,Paramètres!$A$1:$I$89,3,0)*VLOOKUP('Données projet'!$B$12,Paramètres!$A$1:$I$89,5,0)</f>
        <v>4.4337866711430253E-14</v>
      </c>
      <c r="CA141" s="14">
        <f t="shared" si="147"/>
        <v>7.3222115536967035E-13</v>
      </c>
      <c r="CB141" s="22">
        <f t="shared" si="118"/>
        <v>1.3525069634579169E-12</v>
      </c>
      <c r="CC141" s="62">
        <f t="shared" si="119"/>
        <v>285.1413272655073</v>
      </c>
      <c r="CD141" s="62">
        <f ca="1">AVERAGE(OFFSET($CC$3,0,0,'Données projet'!$E$12+1,1))-AVERAGE(OFFSET($H$3,0,0,'Données projet'!$E$12+1,1))</f>
        <v>309.21625451786218</v>
      </c>
      <c r="CE141" s="62">
        <f t="shared" si="148"/>
        <v>302.59481222418219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-2.8421709430404007E-13</v>
      </c>
      <c r="CU141" s="18">
        <f>CT141*VLOOKUP('Données projet'!$B$13,Paramètres!$A$1:$I$89,3,0)*VLOOKUP('Données projet'!$B$13,Paramètres!$A$1:$I$89,5,0)</f>
        <v>-2.7046098693972454E-13</v>
      </c>
      <c r="CV141" s="14" t="e">
        <f t="shared" si="149"/>
        <v>#NUM!</v>
      </c>
      <c r="CW141" s="22" t="e">
        <f t="shared" si="121"/>
        <v>#NUM!</v>
      </c>
      <c r="CX141" s="62" t="e">
        <f t="shared" si="122"/>
        <v>#NUM!</v>
      </c>
      <c r="CY141" s="62">
        <f ca="1">AVERAGE(OFFSET($CX$3,0,0,'Données projet'!$E$13+1,1))-AVERAGE(OFFSET($H$3,0,0,'Données projet'!$E$13+1,1))</f>
        <v>491.87038198656927</v>
      </c>
      <c r="CZ141" s="62">
        <f t="shared" si="150"/>
        <v>406.49261644949559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0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3.8</v>
      </c>
      <c r="DO141" s="13">
        <f>IF('Données projet'!$A$166&gt;35,DO140+DN141-DW140,IF(A141&lt;'Données projet'!$A$166,$DL$205^A141,IF(A141='Données projet'!$A$166,'Données projet'!$B$166,DO140+DN141-DW140)))</f>
        <v>333.39999999999986</v>
      </c>
      <c r="DP141" s="18">
        <f>DO141*VLOOKUP('Données projet'!$B$14,Paramètres!$A$1:$I$89,3,0)*VLOOKUP('Données projet'!$B$14,Paramètres!$A$1:$I$89,5,0)</f>
        <v>322.46447999999987</v>
      </c>
      <c r="DQ141" s="14">
        <f t="shared" si="151"/>
        <v>75.865907468266684</v>
      </c>
      <c r="DR141" s="22">
        <f t="shared" si="124"/>
        <v>693.7587581738976</v>
      </c>
      <c r="DS141" s="62">
        <f t="shared" si="125"/>
        <v>978.90008543940348</v>
      </c>
      <c r="DT141" s="62">
        <f ca="1">AVERAGE(OFFSET($DS$3,0,0,'Données projet'!$E$14+1,1))-AVERAGE(OFFSET($H$3,0,0,'Données projet'!$E$14+1,1))</f>
        <v>603.52431522262032</v>
      </c>
      <c r="DU141" s="62">
        <f t="shared" si="152"/>
        <v>313.56299786481338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projet'!$B$14,Paramètres!$A$1:$I$89,3,0)*0.475*44/12</f>
        <v>0</v>
      </c>
      <c r="EB141" s="23">
        <f>EXP(-LN(2)/25)*EB140+(1-EXP(-LN(2)/25))/(LN(2)/25)*Calculateur!DW141*Calculateur!DY141*VLOOKUP('Données projet'!$B$14,Paramètres!$A$1:$I$89,3,0)*0.475*44/12</f>
        <v>0</v>
      </c>
      <c r="EC141" s="23">
        <f>EXP(-LN(2)/2)*EC140+(1-EXP(-LN(2)/2))/(LN(2)/2)*DW141*DZ141*VLOOKUP('Données projet'!$B$14,Paramètres!$A$1:$I$89,3,0)*0.475*44/12</f>
        <v>0</v>
      </c>
      <c r="ED141" s="24">
        <f t="shared" si="126"/>
        <v>0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-1.1368683772161603E-13</v>
      </c>
      <c r="EK141" s="18">
        <f>EJ141*VLOOKUP('Données projet'!$B$15,Paramètres!$A$1:$I$89,3,0)*VLOOKUP('Données projet'!$B$15,Paramètres!$A$1:$I$89,5,0)</f>
        <v>-9.2222762759774927E-14</v>
      </c>
      <c r="EL141" s="14" t="e">
        <f t="shared" si="153"/>
        <v>#NUM!</v>
      </c>
      <c r="EM141" s="22" t="e">
        <f t="shared" si="127"/>
        <v>#NUM!</v>
      </c>
      <c r="EN141" s="62" t="e">
        <f t="shared" si="128"/>
        <v>#NUM!</v>
      </c>
      <c r="EO141" s="62">
        <f ca="1">AVERAGE(OFFSET($EN$3,0,0,'Données projet'!$E$15+1,1))-AVERAGE(OFFSET($H$3,0,0,'Données projet'!$E$15+1,1))</f>
        <v>272.69564942740931</v>
      </c>
      <c r="EP141" s="62">
        <f t="shared" si="154"/>
        <v>316.57989180609252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>
        <f>EXP(-LN(2)/35)*EV140+(1-EXP(-LN(2)/35))/(LN(2)/35)*ER141*ES141*VLOOKUP('Données projet'!$B$15,Paramètres!$A$1:$I$89,3,0)*0.475*44/12</f>
        <v>0</v>
      </c>
      <c r="EW141" s="23">
        <f>EXP(-LN(2)/25)*EW140+(1-EXP(-LN(2)/25))/(LN(2)/25)*Calculateur!ER141*Calculateur!ET141*VLOOKUP('Données projet'!$B$15,Paramètres!$A$1:$I$89,3,0)*0.475*44/12</f>
        <v>0</v>
      </c>
      <c r="EX141" s="23">
        <f>EXP(-LN(2)/2)*EX140+(1-EXP(-LN(2)/2))/(LN(2)/2)*ER141*EU141*VLOOKUP('Données projet'!$B$15,Paramètres!$A$1:$I$89,3,0)*0.475*44/12</f>
        <v>0</v>
      </c>
      <c r="EY141" s="24">
        <f t="shared" si="129"/>
        <v>0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-3.4106051316484809E-13</v>
      </c>
      <c r="FF141" s="18">
        <f>FE141*VLOOKUP('Données projet'!$B$16,Paramètres!$A$1:$I$89,3,0)*VLOOKUP('Données projet'!$B$16,Paramètres!$A$1:$I$89,5,0)</f>
        <v>-2.2878339223098009E-13</v>
      </c>
      <c r="FG141" s="14" t="e">
        <f t="shared" si="155"/>
        <v>#NUM!</v>
      </c>
      <c r="FH141" s="22" t="e">
        <f t="shared" si="130"/>
        <v>#NUM!</v>
      </c>
      <c r="FI141" s="62" t="e">
        <f t="shared" si="131"/>
        <v>#NUM!</v>
      </c>
      <c r="FJ141" s="62">
        <f ca="1">AVERAGE(OFFSET($FI$3,0,0,'Données projet'!$E$16+1,1))-AVERAGE(OFFSET($H$3,0,0,'Données projet'!$E$16+1,1))</f>
        <v>440.90856392064205</v>
      </c>
      <c r="FK141" s="62">
        <f t="shared" si="156"/>
        <v>373.33139300970629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>
        <f>EXP(-LN(2)/35)*FQ140+(1-EXP(-LN(2)/35))/(LN(2)/35)*FM141*FN141*VLOOKUP('Données projet'!$B$16,Paramètres!$A$1:$I$89,3,0)*0.475*44/12</f>
        <v>0</v>
      </c>
      <c r="FR141" s="23">
        <f>EXP(-LN(2)/25)*FR140+(1-EXP(-LN(2)/25))/(LN(2)/25)*Calculateur!FM141*Calculateur!FO141*VLOOKUP('Données projet'!$B$16,Paramètres!$A$1:$I$89,3,0)*0.475*44/12</f>
        <v>0</v>
      </c>
      <c r="FS141" s="23">
        <f>EXP(-LN(2)/2)*FS140+(1-EXP(-LN(2)/2))/(LN(2)/2)*FM141*FP141*VLOOKUP('Données projet'!$B$16,Paramètres!$A$1:$I$89,3,0)*0.475*44/12</f>
        <v>0</v>
      </c>
      <c r="FT141" s="24">
        <f t="shared" si="132"/>
        <v>0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70">
        <f t="shared" si="110"/>
        <v>183.33333333333334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3.8</v>
      </c>
      <c r="N142" s="14">
        <f>IF('Données projet'!$A$36&gt;35,N141+M142-V141,IF(A142&lt;'Données projet'!$A$36,$K$205^A142,IF(A142='Données projet'!$A$36,'Données projet'!$B$36,N141+M142-V141)))</f>
        <v>337.19999999999987</v>
      </c>
      <c r="O142" s="14">
        <f>N142*VLOOKUP('Données projet'!$B$9,Paramètres!$A$1:$I$89,3,0)*VLOOKUP('Données projet'!$B$9,Paramètres!$A$1:$I$89,5,0)</f>
        <v>305.09855999999985</v>
      </c>
      <c r="P142" s="14">
        <f t="shared" si="141"/>
        <v>72.244266890878791</v>
      </c>
      <c r="Q142" s="22">
        <f t="shared" si="108"/>
        <v>657.20542350161361</v>
      </c>
      <c r="R142" s="62">
        <f t="shared" si="109"/>
        <v>942.48886375781444</v>
      </c>
      <c r="S142" s="62">
        <f ca="1">AVERAGE(OFFSET($R$3,0,0,'Données projet'!$E$9+1,1))-AVERAGE(OFFSET($H$3,0,0,'Données projet'!$E$9+1,1))</f>
        <v>570.08763950759544</v>
      </c>
      <c r="T142" s="62">
        <f t="shared" si="142"/>
        <v>297.32483725004136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-2.2737367544323206E-13</v>
      </c>
      <c r="AJ142" s="14">
        <f>AI142*VLOOKUP('Données projet'!$B$10,Paramètres!$A$1:$I$89,3,0)*VLOOKUP('Données projet'!$B$10,Paramètres!$A$1:$I$89,5,0)</f>
        <v>-1.8089849618263545E-13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394.70330963327166</v>
      </c>
      <c r="AO142" s="62">
        <f t="shared" si="144"/>
        <v>424.06445894109982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-2.2737367544323206E-13</v>
      </c>
      <c r="BE142" s="14">
        <f>BD142*VLOOKUP('Données projet'!$B$11,Paramètres!$A$1:$I$89,3,0)*VLOOKUP('Données projet'!$B$11,Paramètres!$A$1:$I$89,5,0)</f>
        <v>-1.6671037883497774E-13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368.54671978064204</v>
      </c>
      <c r="BJ142" s="62">
        <f t="shared" si="146"/>
        <v>395.83504504492237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5.6843418860808015E-14</v>
      </c>
      <c r="BZ142" s="14">
        <f>BY142*VLOOKUP('Données projet'!$B$12,Paramètres!$A$1:$I$89,3,0)*VLOOKUP('Données projet'!$B$12,Paramètres!$A$1:$I$89,5,0)</f>
        <v>4.4337866711430253E-14</v>
      </c>
      <c r="CA142" s="14">
        <f t="shared" si="147"/>
        <v>7.3222115536967035E-13</v>
      </c>
      <c r="CB142" s="22">
        <f t="shared" si="118"/>
        <v>1.3525069634579169E-12</v>
      </c>
      <c r="CC142" s="62">
        <f t="shared" si="119"/>
        <v>285.28344025620225</v>
      </c>
      <c r="CD142" s="62">
        <f ca="1">AVERAGE(OFFSET($CC$3,0,0,'Données projet'!$E$12+1,1))-AVERAGE(OFFSET($H$3,0,0,'Données projet'!$E$12+1,1))</f>
        <v>309.21625451786218</v>
      </c>
      <c r="CE142" s="62">
        <f t="shared" si="148"/>
        <v>302.59481222418219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-2.8421709430404007E-13</v>
      </c>
      <c r="CU142" s="18">
        <f>CT142*VLOOKUP('Données projet'!$B$13,Paramètres!$A$1:$I$89,3,0)*VLOOKUP('Données projet'!$B$13,Paramètres!$A$1:$I$89,5,0)</f>
        <v>-2.7046098693972454E-13</v>
      </c>
      <c r="CV142" s="14" t="e">
        <f t="shared" si="149"/>
        <v>#NUM!</v>
      </c>
      <c r="CW142" s="22" t="e">
        <f t="shared" si="121"/>
        <v>#NUM!</v>
      </c>
      <c r="CX142" s="62" t="e">
        <f t="shared" si="122"/>
        <v>#NUM!</v>
      </c>
      <c r="CY142" s="62">
        <f ca="1">AVERAGE(OFFSET($CX$3,0,0,'Données projet'!$E$13+1,1))-AVERAGE(OFFSET($H$3,0,0,'Données projet'!$E$13+1,1))</f>
        <v>491.87038198656927</v>
      </c>
      <c r="CZ142" s="62">
        <f t="shared" si="150"/>
        <v>406.49261644949559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0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3.8</v>
      </c>
      <c r="DO142" s="13">
        <f>IF('Données projet'!$A$166&gt;35,DO141+DN142-DW141,IF(A142&lt;'Données projet'!$A$166,$DL$205^A142,IF(A142='Données projet'!$A$166,'Données projet'!$B$166,DO141+DN142-DW141)))</f>
        <v>337.19999999999987</v>
      </c>
      <c r="DP142" s="18">
        <f>DO142*VLOOKUP('Données projet'!$B$14,Paramètres!$A$1:$I$89,3,0)*VLOOKUP('Données projet'!$B$14,Paramètres!$A$1:$I$89,5,0)</f>
        <v>326.13983999999988</v>
      </c>
      <c r="DQ142" s="14">
        <f t="shared" si="151"/>
        <v>76.62945028727961</v>
      </c>
      <c r="DR142" s="22">
        <f t="shared" si="124"/>
        <v>701.48984725034506</v>
      </c>
      <c r="DS142" s="62">
        <f t="shared" si="125"/>
        <v>986.77328750654601</v>
      </c>
      <c r="DT142" s="62">
        <f ca="1">AVERAGE(OFFSET($DS$3,0,0,'Données projet'!$E$14+1,1))-AVERAGE(OFFSET($H$3,0,0,'Données projet'!$E$14+1,1))</f>
        <v>603.52431522262032</v>
      </c>
      <c r="DU142" s="62">
        <f t="shared" si="152"/>
        <v>313.56299786481338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projet'!$B$14,Paramètres!$A$1:$I$89,3,0)*0.475*44/12</f>
        <v>0</v>
      </c>
      <c r="EB142" s="23">
        <f>EXP(-LN(2)/25)*EB141+(1-EXP(-LN(2)/25))/(LN(2)/25)*Calculateur!DW142*Calculateur!DY142*VLOOKUP('Données projet'!$B$14,Paramètres!$A$1:$I$89,3,0)*0.475*44/12</f>
        <v>0</v>
      </c>
      <c r="EC142" s="23">
        <f>EXP(-LN(2)/2)*EC141+(1-EXP(-LN(2)/2))/(LN(2)/2)*DW142*DZ142*VLOOKUP('Données projet'!$B$14,Paramètres!$A$1:$I$89,3,0)*0.475*44/12</f>
        <v>0</v>
      </c>
      <c r="ED142" s="24">
        <f t="shared" si="126"/>
        <v>0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-1.1368683772161603E-13</v>
      </c>
      <c r="EK142" s="18">
        <f>EJ142*VLOOKUP('Données projet'!$B$15,Paramètres!$A$1:$I$89,3,0)*VLOOKUP('Données projet'!$B$15,Paramètres!$A$1:$I$89,5,0)</f>
        <v>-9.2222762759774927E-14</v>
      </c>
      <c r="EL142" s="14" t="e">
        <f t="shared" si="153"/>
        <v>#NUM!</v>
      </c>
      <c r="EM142" s="22" t="e">
        <f t="shared" si="127"/>
        <v>#NUM!</v>
      </c>
      <c r="EN142" s="62" t="e">
        <f t="shared" si="128"/>
        <v>#NUM!</v>
      </c>
      <c r="EO142" s="62">
        <f ca="1">AVERAGE(OFFSET($EN$3,0,0,'Données projet'!$E$15+1,1))-AVERAGE(OFFSET($H$3,0,0,'Données projet'!$E$15+1,1))</f>
        <v>272.69564942740931</v>
      </c>
      <c r="EP142" s="62">
        <f t="shared" si="154"/>
        <v>316.57989180609252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>
        <f>EXP(-LN(2)/35)*EV141+(1-EXP(-LN(2)/35))/(LN(2)/35)*ER142*ES142*VLOOKUP('Données projet'!$B$15,Paramètres!$A$1:$I$89,3,0)*0.475*44/12</f>
        <v>0</v>
      </c>
      <c r="EW142" s="23">
        <f>EXP(-LN(2)/25)*EW141+(1-EXP(-LN(2)/25))/(LN(2)/25)*Calculateur!ER142*Calculateur!ET142*VLOOKUP('Données projet'!$B$15,Paramètres!$A$1:$I$89,3,0)*0.475*44/12</f>
        <v>0</v>
      </c>
      <c r="EX142" s="23">
        <f>EXP(-LN(2)/2)*EX141+(1-EXP(-LN(2)/2))/(LN(2)/2)*ER142*EU142*VLOOKUP('Données projet'!$B$15,Paramètres!$A$1:$I$89,3,0)*0.475*44/12</f>
        <v>0</v>
      </c>
      <c r="EY142" s="24">
        <f t="shared" si="129"/>
        <v>0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-3.4106051316484809E-13</v>
      </c>
      <c r="FF142" s="18">
        <f>FE142*VLOOKUP('Données projet'!$B$16,Paramètres!$A$1:$I$89,3,0)*VLOOKUP('Données projet'!$B$16,Paramètres!$A$1:$I$89,5,0)</f>
        <v>-2.2878339223098009E-13</v>
      </c>
      <c r="FG142" s="14" t="e">
        <f t="shared" si="155"/>
        <v>#NUM!</v>
      </c>
      <c r="FH142" s="22" t="e">
        <f t="shared" si="130"/>
        <v>#NUM!</v>
      </c>
      <c r="FI142" s="62" t="e">
        <f t="shared" si="131"/>
        <v>#NUM!</v>
      </c>
      <c r="FJ142" s="62">
        <f ca="1">AVERAGE(OFFSET($FI$3,0,0,'Données projet'!$E$16+1,1))-AVERAGE(OFFSET($H$3,0,0,'Données projet'!$E$16+1,1))</f>
        <v>440.90856392064205</v>
      </c>
      <c r="FK142" s="62">
        <f t="shared" si="156"/>
        <v>373.33139300970629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>
        <f>EXP(-LN(2)/35)*FQ141+(1-EXP(-LN(2)/35))/(LN(2)/35)*FM142*FN142*VLOOKUP('Données projet'!$B$16,Paramètres!$A$1:$I$89,3,0)*0.475*44/12</f>
        <v>0</v>
      </c>
      <c r="FR142" s="23">
        <f>EXP(-LN(2)/25)*FR141+(1-EXP(-LN(2)/25))/(LN(2)/25)*Calculateur!FM142*Calculateur!FO142*VLOOKUP('Données projet'!$B$16,Paramètres!$A$1:$I$89,3,0)*0.475*44/12</f>
        <v>0</v>
      </c>
      <c r="FS142" s="23">
        <f>EXP(-LN(2)/2)*FS141+(1-EXP(-LN(2)/2))/(LN(2)/2)*FM142*FP142*VLOOKUP('Données projet'!$B$16,Paramètres!$A$1:$I$89,3,0)*0.475*44/12</f>
        <v>0</v>
      </c>
      <c r="FT142" s="24">
        <f t="shared" si="132"/>
        <v>0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70">
        <f t="shared" si="110"/>
        <v>183.33333333333334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>
        <f>VLOOKUP(A143,'Données projet'!$A$35:$I$55,2,0)</f>
        <v>341</v>
      </c>
      <c r="L143" s="13">
        <f>VLOOKUP(A143,'Données projet'!$A$35:$I$55,9,0)</f>
        <v>3.8</v>
      </c>
      <c r="M143" s="13">
        <f t="array" ref="M143">INDEX(L:L,MIN(IF(ISNUMBER(L143:L339),ROW(L143:L339),"")))</f>
        <v>3.8</v>
      </c>
      <c r="N143" s="14">
        <f>IF('Données projet'!$A$36&gt;35,N142+M143-V142,IF(A143&lt;'Données projet'!$A$36,$K$205^A143,IF(A143='Données projet'!$A$36,'Données projet'!$B$36,N142+M143-V142)))</f>
        <v>340.99999999999989</v>
      </c>
      <c r="O143" s="14">
        <f>N143*VLOOKUP('Données projet'!$B$9,Paramètres!$A$1:$I$89,3,0)*VLOOKUP('Données projet'!$B$9,Paramètres!$A$1:$I$89,5,0)</f>
        <v>308.53679999999986</v>
      </c>
      <c r="P143" s="14">
        <f t="shared" si="141"/>
        <v>72.963171684496103</v>
      </c>
      <c r="Q143" s="22">
        <f t="shared" si="108"/>
        <v>664.44578401716376</v>
      </c>
      <c r="R143" s="62">
        <f t="shared" si="109"/>
        <v>949.86887192138806</v>
      </c>
      <c r="S143" s="62">
        <f ca="1">AVERAGE(OFFSET($R$3,0,0,'Données projet'!$E$9+1,1))-AVERAGE(OFFSET($H$3,0,0,'Données projet'!$E$9+1,1))</f>
        <v>570.08763950759544</v>
      </c>
      <c r="T143" s="62">
        <f t="shared" si="142"/>
        <v>297.32483725004136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-2.2737367544323206E-13</v>
      </c>
      <c r="AJ143" s="14">
        <f>AI143*VLOOKUP('Données projet'!$B$10,Paramètres!$A$1:$I$89,3,0)*VLOOKUP('Données projet'!$B$10,Paramètres!$A$1:$I$89,5,0)</f>
        <v>-1.8089849618263545E-13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394.70330963327166</v>
      </c>
      <c r="AO143" s="62">
        <f t="shared" si="144"/>
        <v>424.06445894109982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-2.2737367544323206E-13</v>
      </c>
      <c r="BE143" s="14">
        <f>BD143*VLOOKUP('Données projet'!$B$11,Paramètres!$A$1:$I$89,3,0)*VLOOKUP('Données projet'!$B$11,Paramètres!$A$1:$I$89,5,0)</f>
        <v>-1.6671037883497774E-13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368.54671978064204</v>
      </c>
      <c r="BJ143" s="62">
        <f t="shared" si="146"/>
        <v>395.83504504492237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5.6843418860808015E-14</v>
      </c>
      <c r="BZ143" s="14">
        <f>BY143*VLOOKUP('Données projet'!$B$12,Paramètres!$A$1:$I$89,3,0)*VLOOKUP('Données projet'!$B$12,Paramètres!$A$1:$I$89,5,0)</f>
        <v>4.4337866711430253E-14</v>
      </c>
      <c r="CA143" s="14">
        <f t="shared" si="147"/>
        <v>7.3222115536967035E-13</v>
      </c>
      <c r="CB143" s="22">
        <f t="shared" si="118"/>
        <v>1.3525069634579169E-12</v>
      </c>
      <c r="CC143" s="62">
        <f t="shared" si="119"/>
        <v>285.42308790422572</v>
      </c>
      <c r="CD143" s="62">
        <f ca="1">AVERAGE(OFFSET($CC$3,0,0,'Données projet'!$E$12+1,1))-AVERAGE(OFFSET($H$3,0,0,'Données projet'!$E$12+1,1))</f>
        <v>309.21625451786218</v>
      </c>
      <c r="CE143" s="62">
        <f t="shared" si="148"/>
        <v>302.59481222418219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-2.8421709430404007E-13</v>
      </c>
      <c r="CU143" s="18">
        <f>CT143*VLOOKUP('Données projet'!$B$13,Paramètres!$A$1:$I$89,3,0)*VLOOKUP('Données projet'!$B$13,Paramètres!$A$1:$I$89,5,0)</f>
        <v>-2.7046098693972454E-13</v>
      </c>
      <c r="CV143" s="14" t="e">
        <f t="shared" si="149"/>
        <v>#NUM!</v>
      </c>
      <c r="CW143" s="22" t="e">
        <f t="shared" si="121"/>
        <v>#NUM!</v>
      </c>
      <c r="CX143" s="62" t="e">
        <f t="shared" si="122"/>
        <v>#NUM!</v>
      </c>
      <c r="CY143" s="62">
        <f ca="1">AVERAGE(OFFSET($CX$3,0,0,'Données projet'!$E$13+1,1))-AVERAGE(OFFSET($H$3,0,0,'Données projet'!$E$13+1,1))</f>
        <v>491.87038198656927</v>
      </c>
      <c r="CZ143" s="62">
        <f t="shared" si="150"/>
        <v>406.49261644949559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0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>
        <f>VLOOKUP(A143,'Données projet'!$A$165:$I$185,2,0)</f>
        <v>341</v>
      </c>
      <c r="DM143" s="13">
        <f>VLOOKUP(A143,'Données projet'!$A$165:$I$185,9,0)</f>
        <v>3.8</v>
      </c>
      <c r="DN143" s="13">
        <f t="array" ref="DN143">INDEX(DM:DM,MIN(IF(ISNUMBER(DM143:DM339),ROW(DM143:DM339),"")))</f>
        <v>3.8</v>
      </c>
      <c r="DO143" s="13">
        <f>IF('Données projet'!$A$166&gt;35,DO142+DN143-DW142,IF(A143&lt;'Données projet'!$A$166,$DL$205^A143,IF(A143='Données projet'!$A$166,'Données projet'!$B$166,DO142+DN143-DW142)))</f>
        <v>340.99999999999989</v>
      </c>
      <c r="DP143" s="18">
        <f>DO143*VLOOKUP('Données projet'!$B$14,Paramètres!$A$1:$I$89,3,0)*VLOOKUP('Données projet'!$B$14,Paramètres!$A$1:$I$89,5,0)</f>
        <v>329.81519999999989</v>
      </c>
      <c r="DQ143" s="14">
        <f t="shared" si="151"/>
        <v>77.391992167966066</v>
      </c>
      <c r="DR143" s="22">
        <f t="shared" si="124"/>
        <v>709.21919302587401</v>
      </c>
      <c r="DS143" s="62">
        <f t="shared" si="125"/>
        <v>994.64228093009842</v>
      </c>
      <c r="DT143" s="62">
        <f ca="1">AVERAGE(OFFSET($DS$3,0,0,'Données projet'!$E$14+1,1))-AVERAGE(OFFSET($H$3,0,0,'Données projet'!$E$14+1,1))</f>
        <v>603.52431522262032</v>
      </c>
      <c r="DU143" s="62">
        <f t="shared" si="152"/>
        <v>313.56299786481338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projet'!$B$14,Paramètres!$A$1:$I$89,3,0)*0.475*44/12</f>
        <v>0</v>
      </c>
      <c r="EB143" s="23">
        <f>EXP(-LN(2)/25)*EB142+(1-EXP(-LN(2)/25))/(LN(2)/25)*Calculateur!DW143*Calculateur!DY143*VLOOKUP('Données projet'!$B$14,Paramètres!$A$1:$I$89,3,0)*0.475*44/12</f>
        <v>0</v>
      </c>
      <c r="EC143" s="23">
        <f>EXP(-LN(2)/2)*EC142+(1-EXP(-LN(2)/2))/(LN(2)/2)*DW143*DZ143*VLOOKUP('Données projet'!$B$14,Paramètres!$A$1:$I$89,3,0)*0.475*44/12</f>
        <v>0</v>
      </c>
      <c r="ED143" s="24">
        <f t="shared" si="126"/>
        <v>0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-1.1368683772161603E-13</v>
      </c>
      <c r="EK143" s="18">
        <f>EJ143*VLOOKUP('Données projet'!$B$15,Paramètres!$A$1:$I$89,3,0)*VLOOKUP('Données projet'!$B$15,Paramètres!$A$1:$I$89,5,0)</f>
        <v>-9.2222762759774927E-14</v>
      </c>
      <c r="EL143" s="14" t="e">
        <f t="shared" si="153"/>
        <v>#NUM!</v>
      </c>
      <c r="EM143" s="22" t="e">
        <f t="shared" si="127"/>
        <v>#NUM!</v>
      </c>
      <c r="EN143" s="62" t="e">
        <f t="shared" si="128"/>
        <v>#NUM!</v>
      </c>
      <c r="EO143" s="62">
        <f ca="1">AVERAGE(OFFSET($EN$3,0,0,'Données projet'!$E$15+1,1))-AVERAGE(OFFSET($H$3,0,0,'Données projet'!$E$15+1,1))</f>
        <v>272.69564942740931</v>
      </c>
      <c r="EP143" s="62">
        <f t="shared" si="154"/>
        <v>316.57989180609252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>
        <f>EXP(-LN(2)/35)*EV142+(1-EXP(-LN(2)/35))/(LN(2)/35)*ER143*ES143*VLOOKUP('Données projet'!$B$15,Paramètres!$A$1:$I$89,3,0)*0.475*44/12</f>
        <v>0</v>
      </c>
      <c r="EW143" s="23">
        <f>EXP(-LN(2)/25)*EW142+(1-EXP(-LN(2)/25))/(LN(2)/25)*Calculateur!ER143*Calculateur!ET143*VLOOKUP('Données projet'!$B$15,Paramètres!$A$1:$I$89,3,0)*0.475*44/12</f>
        <v>0</v>
      </c>
      <c r="EX143" s="23">
        <f>EXP(-LN(2)/2)*EX142+(1-EXP(-LN(2)/2))/(LN(2)/2)*ER143*EU143*VLOOKUP('Données projet'!$B$15,Paramètres!$A$1:$I$89,3,0)*0.475*44/12</f>
        <v>0</v>
      </c>
      <c r="EY143" s="24">
        <f t="shared" si="129"/>
        <v>0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-3.4106051316484809E-13</v>
      </c>
      <c r="FF143" s="18">
        <f>FE143*VLOOKUP('Données projet'!$B$16,Paramètres!$A$1:$I$89,3,0)*VLOOKUP('Données projet'!$B$16,Paramètres!$A$1:$I$89,5,0)</f>
        <v>-2.2878339223098009E-13</v>
      </c>
      <c r="FG143" s="14" t="e">
        <f t="shared" si="155"/>
        <v>#NUM!</v>
      </c>
      <c r="FH143" s="22" t="e">
        <f t="shared" si="130"/>
        <v>#NUM!</v>
      </c>
      <c r="FI143" s="62" t="e">
        <f t="shared" si="131"/>
        <v>#NUM!</v>
      </c>
      <c r="FJ143" s="62">
        <f ca="1">AVERAGE(OFFSET($FI$3,0,0,'Données projet'!$E$16+1,1))-AVERAGE(OFFSET($H$3,0,0,'Données projet'!$E$16+1,1))</f>
        <v>440.90856392064205</v>
      </c>
      <c r="FK143" s="62">
        <f t="shared" si="156"/>
        <v>373.33139300970629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>
        <f>EXP(-LN(2)/35)*FQ142+(1-EXP(-LN(2)/35))/(LN(2)/35)*FM143*FN143*VLOOKUP('Données projet'!$B$16,Paramètres!$A$1:$I$89,3,0)*0.475*44/12</f>
        <v>0</v>
      </c>
      <c r="FR143" s="23">
        <f>EXP(-LN(2)/25)*FR142+(1-EXP(-LN(2)/25))/(LN(2)/25)*Calculateur!FM143*Calculateur!FO143*VLOOKUP('Données projet'!$B$16,Paramètres!$A$1:$I$89,3,0)*0.475*44/12</f>
        <v>0</v>
      </c>
      <c r="FS143" s="23">
        <f>EXP(-LN(2)/2)*FS142+(1-EXP(-LN(2)/2))/(LN(2)/2)*FM143*FP143*VLOOKUP('Données projet'!$B$16,Paramètres!$A$1:$I$89,3,0)*0.475*44/12</f>
        <v>0</v>
      </c>
      <c r="FT143" s="24">
        <f t="shared" si="132"/>
        <v>0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70">
        <f t="shared" si="110"/>
        <v>183.33333333333334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3.5</v>
      </c>
      <c r="N144" s="14">
        <f>IF('Données projet'!$A$36&gt;35,N143+M144-V143,IF(A144&lt;'Données projet'!$A$36,$K$205^A144,IF(A144='Données projet'!$A$36,'Données projet'!$B$36,N143+M144-V143)))</f>
        <v>344.49999999999989</v>
      </c>
      <c r="O144" s="14">
        <f>N144*VLOOKUP('Données projet'!$B$9,Paramètres!$A$1:$I$89,3,0)*VLOOKUP('Données projet'!$B$9,Paramètres!$A$1:$I$89,5,0)</f>
        <v>311.70359999999988</v>
      </c>
      <c r="P144" s="14">
        <f t="shared" si="141"/>
        <v>73.624496097462782</v>
      </c>
      <c r="Q144" s="22">
        <f t="shared" si="108"/>
        <v>671.1131007030807</v>
      </c>
      <c r="R144" s="62">
        <f t="shared" si="109"/>
        <v>956.67341368084067</v>
      </c>
      <c r="S144" s="62">
        <f ca="1">AVERAGE(OFFSET($R$3,0,0,'Données projet'!$E$9+1,1))-AVERAGE(OFFSET($H$3,0,0,'Données projet'!$E$9+1,1))</f>
        <v>570.08763950759544</v>
      </c>
      <c r="T144" s="62">
        <f t="shared" si="142"/>
        <v>297.32483725004136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-2.2737367544323206E-13</v>
      </c>
      <c r="AJ144" s="14">
        <f>AI144*VLOOKUP('Données projet'!$B$10,Paramètres!$A$1:$I$89,3,0)*VLOOKUP('Données projet'!$B$10,Paramètres!$A$1:$I$89,5,0)</f>
        <v>-1.8089849618263545E-13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394.70330963327166</v>
      </c>
      <c r="AO144" s="62">
        <f t="shared" si="144"/>
        <v>424.06445894109982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-2.2737367544323206E-13</v>
      </c>
      <c r="BE144" s="14">
        <f>BD144*VLOOKUP('Données projet'!$B$11,Paramètres!$A$1:$I$89,3,0)*VLOOKUP('Données projet'!$B$11,Paramètres!$A$1:$I$89,5,0)</f>
        <v>-1.6671037883497774E-13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368.54671978064204</v>
      </c>
      <c r="BJ144" s="62">
        <f t="shared" si="146"/>
        <v>395.83504504492237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5.6843418860808015E-14</v>
      </c>
      <c r="BZ144" s="14">
        <f>BY144*VLOOKUP('Données projet'!$B$12,Paramètres!$A$1:$I$89,3,0)*VLOOKUP('Données projet'!$B$12,Paramètres!$A$1:$I$89,5,0)</f>
        <v>4.4337866711430253E-14</v>
      </c>
      <c r="CA144" s="14">
        <f t="shared" si="147"/>
        <v>7.3222115536967035E-13</v>
      </c>
      <c r="CB144" s="22">
        <f t="shared" si="118"/>
        <v>1.3525069634579169E-12</v>
      </c>
      <c r="CC144" s="62">
        <f t="shared" si="119"/>
        <v>285.56031297776138</v>
      </c>
      <c r="CD144" s="62">
        <f ca="1">AVERAGE(OFFSET($CC$3,0,0,'Données projet'!$E$12+1,1))-AVERAGE(OFFSET($H$3,0,0,'Données projet'!$E$12+1,1))</f>
        <v>309.21625451786218</v>
      </c>
      <c r="CE144" s="62">
        <f t="shared" si="148"/>
        <v>302.59481222418219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-2.8421709430404007E-13</v>
      </c>
      <c r="CU144" s="18">
        <f>CT144*VLOOKUP('Données projet'!$B$13,Paramètres!$A$1:$I$89,3,0)*VLOOKUP('Données projet'!$B$13,Paramètres!$A$1:$I$89,5,0)</f>
        <v>-2.7046098693972454E-13</v>
      </c>
      <c r="CV144" s="14" t="e">
        <f t="shared" si="149"/>
        <v>#NUM!</v>
      </c>
      <c r="CW144" s="22" t="e">
        <f t="shared" si="121"/>
        <v>#NUM!</v>
      </c>
      <c r="CX144" s="62" t="e">
        <f t="shared" si="122"/>
        <v>#NUM!</v>
      </c>
      <c r="CY144" s="62">
        <f ca="1">AVERAGE(OFFSET($CX$3,0,0,'Données projet'!$E$13+1,1))-AVERAGE(OFFSET($H$3,0,0,'Données projet'!$E$13+1,1))</f>
        <v>491.87038198656927</v>
      </c>
      <c r="CZ144" s="62">
        <f t="shared" si="150"/>
        <v>406.49261644949559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0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3.5</v>
      </c>
      <c r="DO144" s="13">
        <f>IF('Données projet'!$A$166&gt;35,DO143+DN144-DW143,IF(A144&lt;'Données projet'!$A$166,$DL$205^A144,IF(A144='Données projet'!$A$166,'Données projet'!$B$166,DO143+DN144-DW143)))</f>
        <v>344.49999999999989</v>
      </c>
      <c r="DP144" s="18">
        <f>DO144*VLOOKUP('Données projet'!$B$14,Paramètres!$A$1:$I$89,3,0)*VLOOKUP('Données projet'!$B$14,Paramètres!$A$1:$I$89,5,0)</f>
        <v>333.20039999999989</v>
      </c>
      <c r="DQ144" s="14">
        <f t="shared" si="151"/>
        <v>78.093458573649713</v>
      </c>
      <c r="DR144" s="22">
        <f t="shared" si="124"/>
        <v>716.33680368243961</v>
      </c>
      <c r="DS144" s="62">
        <f t="shared" si="125"/>
        <v>1001.8971166601996</v>
      </c>
      <c r="DT144" s="62">
        <f ca="1">AVERAGE(OFFSET($DS$3,0,0,'Données projet'!$E$14+1,1))-AVERAGE(OFFSET($H$3,0,0,'Données projet'!$E$14+1,1))</f>
        <v>603.52431522262032</v>
      </c>
      <c r="DU144" s="62">
        <f t="shared" si="152"/>
        <v>313.56299786481338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projet'!$B$14,Paramètres!$A$1:$I$89,3,0)*0.475*44/12</f>
        <v>0</v>
      </c>
      <c r="EB144" s="23">
        <f>EXP(-LN(2)/25)*EB143+(1-EXP(-LN(2)/25))/(LN(2)/25)*Calculateur!DW144*Calculateur!DY144*VLOOKUP('Données projet'!$B$14,Paramètres!$A$1:$I$89,3,0)*0.475*44/12</f>
        <v>0</v>
      </c>
      <c r="EC144" s="23">
        <f>EXP(-LN(2)/2)*EC143+(1-EXP(-LN(2)/2))/(LN(2)/2)*DW144*DZ144*VLOOKUP('Données projet'!$B$14,Paramètres!$A$1:$I$89,3,0)*0.475*44/12</f>
        <v>0</v>
      </c>
      <c r="ED144" s="24">
        <f t="shared" si="126"/>
        <v>0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-1.1368683772161603E-13</v>
      </c>
      <c r="EK144" s="18">
        <f>EJ144*VLOOKUP('Données projet'!$B$15,Paramètres!$A$1:$I$89,3,0)*VLOOKUP('Données projet'!$B$15,Paramètres!$A$1:$I$89,5,0)</f>
        <v>-9.2222762759774927E-14</v>
      </c>
      <c r="EL144" s="14" t="e">
        <f t="shared" si="153"/>
        <v>#NUM!</v>
      </c>
      <c r="EM144" s="22" t="e">
        <f t="shared" si="127"/>
        <v>#NUM!</v>
      </c>
      <c r="EN144" s="62" t="e">
        <f t="shared" si="128"/>
        <v>#NUM!</v>
      </c>
      <c r="EO144" s="62">
        <f ca="1">AVERAGE(OFFSET($EN$3,0,0,'Données projet'!$E$15+1,1))-AVERAGE(OFFSET($H$3,0,0,'Données projet'!$E$15+1,1))</f>
        <v>272.69564942740931</v>
      </c>
      <c r="EP144" s="62">
        <f t="shared" si="154"/>
        <v>316.57989180609252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>
        <f>EXP(-LN(2)/35)*EV143+(1-EXP(-LN(2)/35))/(LN(2)/35)*ER144*ES144*VLOOKUP('Données projet'!$B$15,Paramètres!$A$1:$I$89,3,0)*0.475*44/12</f>
        <v>0</v>
      </c>
      <c r="EW144" s="23">
        <f>EXP(-LN(2)/25)*EW143+(1-EXP(-LN(2)/25))/(LN(2)/25)*Calculateur!ER144*Calculateur!ET144*VLOOKUP('Données projet'!$B$15,Paramètres!$A$1:$I$89,3,0)*0.475*44/12</f>
        <v>0</v>
      </c>
      <c r="EX144" s="23">
        <f>EXP(-LN(2)/2)*EX143+(1-EXP(-LN(2)/2))/(LN(2)/2)*ER144*EU144*VLOOKUP('Données projet'!$B$15,Paramètres!$A$1:$I$89,3,0)*0.475*44/12</f>
        <v>0</v>
      </c>
      <c r="EY144" s="24">
        <f t="shared" si="129"/>
        <v>0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-3.4106051316484809E-13</v>
      </c>
      <c r="FF144" s="18">
        <f>FE144*VLOOKUP('Données projet'!$B$16,Paramètres!$A$1:$I$89,3,0)*VLOOKUP('Données projet'!$B$16,Paramètres!$A$1:$I$89,5,0)</f>
        <v>-2.2878339223098009E-13</v>
      </c>
      <c r="FG144" s="14" t="e">
        <f t="shared" si="155"/>
        <v>#NUM!</v>
      </c>
      <c r="FH144" s="22" t="e">
        <f t="shared" si="130"/>
        <v>#NUM!</v>
      </c>
      <c r="FI144" s="62" t="e">
        <f t="shared" si="131"/>
        <v>#NUM!</v>
      </c>
      <c r="FJ144" s="62">
        <f ca="1">AVERAGE(OFFSET($FI$3,0,0,'Données projet'!$E$16+1,1))-AVERAGE(OFFSET($H$3,0,0,'Données projet'!$E$16+1,1))</f>
        <v>440.90856392064205</v>
      </c>
      <c r="FK144" s="62">
        <f t="shared" si="156"/>
        <v>373.33139300970629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>
        <f>EXP(-LN(2)/35)*FQ143+(1-EXP(-LN(2)/35))/(LN(2)/35)*FM144*FN144*VLOOKUP('Données projet'!$B$16,Paramètres!$A$1:$I$89,3,0)*0.475*44/12</f>
        <v>0</v>
      </c>
      <c r="FR144" s="23">
        <f>EXP(-LN(2)/25)*FR143+(1-EXP(-LN(2)/25))/(LN(2)/25)*Calculateur!FM144*Calculateur!FO144*VLOOKUP('Données projet'!$B$16,Paramètres!$A$1:$I$89,3,0)*0.475*44/12</f>
        <v>0</v>
      </c>
      <c r="FS144" s="23">
        <f>EXP(-LN(2)/2)*FS143+(1-EXP(-LN(2)/2))/(LN(2)/2)*FM144*FP144*VLOOKUP('Données projet'!$B$16,Paramètres!$A$1:$I$89,3,0)*0.475*44/12</f>
        <v>0</v>
      </c>
      <c r="FT144" s="24">
        <f t="shared" si="132"/>
        <v>0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70">
        <f t="shared" si="110"/>
        <v>183.33333333333334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3.5</v>
      </c>
      <c r="N145" s="14">
        <f>IF('Données projet'!$A$36&gt;35,N144+M145-V144,IF(A145&lt;'Données projet'!$A$36,$K$205^A145,IF(A145='Données projet'!$A$36,'Données projet'!$B$36,N144+M145-V144)))</f>
        <v>347.99999999999989</v>
      </c>
      <c r="O145" s="14">
        <f>N145*VLOOKUP('Données projet'!$B$9,Paramètres!$A$1:$I$89,3,0)*VLOOKUP('Données projet'!$B$9,Paramètres!$A$1:$I$89,5,0)</f>
        <v>314.8703999999999</v>
      </c>
      <c r="P145" s="14">
        <f t="shared" si="141"/>
        <v>74.285038887149952</v>
      </c>
      <c r="Q145" s="22">
        <f t="shared" si="108"/>
        <v>677.77905606178604</v>
      </c>
      <c r="R145" s="62">
        <f t="shared" si="109"/>
        <v>963.47421356484506</v>
      </c>
      <c r="S145" s="62">
        <f ca="1">AVERAGE(OFFSET($R$3,0,0,'Données projet'!$E$9+1,1))-AVERAGE(OFFSET($H$3,0,0,'Données projet'!$E$9+1,1))</f>
        <v>570.08763950759544</v>
      </c>
      <c r="T145" s="62">
        <f t="shared" si="142"/>
        <v>297.32483725004136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-2.2737367544323206E-13</v>
      </c>
      <c r="AJ145" s="14">
        <f>AI145*VLOOKUP('Données projet'!$B$10,Paramètres!$A$1:$I$89,3,0)*VLOOKUP('Données projet'!$B$10,Paramètres!$A$1:$I$89,5,0)</f>
        <v>-1.8089849618263545E-13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394.70330963327166</v>
      </c>
      <c r="AO145" s="62">
        <f t="shared" si="144"/>
        <v>424.06445894109982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-2.2737367544323206E-13</v>
      </c>
      <c r="BE145" s="14">
        <f>BD145*VLOOKUP('Données projet'!$B$11,Paramètres!$A$1:$I$89,3,0)*VLOOKUP('Données projet'!$B$11,Paramètres!$A$1:$I$89,5,0)</f>
        <v>-1.6671037883497774E-13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368.54671978064204</v>
      </c>
      <c r="BJ145" s="62">
        <f t="shared" si="146"/>
        <v>395.83504504492237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5.6843418860808015E-14</v>
      </c>
      <c r="BZ145" s="14">
        <f>BY145*VLOOKUP('Données projet'!$B$12,Paramètres!$A$1:$I$89,3,0)*VLOOKUP('Données projet'!$B$12,Paramètres!$A$1:$I$89,5,0)</f>
        <v>4.4337866711430253E-14</v>
      </c>
      <c r="CA145" s="14">
        <f t="shared" si="147"/>
        <v>7.3222115536967035E-13</v>
      </c>
      <c r="CB145" s="22">
        <f t="shared" si="118"/>
        <v>1.3525069634579169E-12</v>
      </c>
      <c r="CC145" s="62">
        <f t="shared" si="119"/>
        <v>285.69515750306044</v>
      </c>
      <c r="CD145" s="62">
        <f ca="1">AVERAGE(OFFSET($CC$3,0,0,'Données projet'!$E$12+1,1))-AVERAGE(OFFSET($H$3,0,0,'Données projet'!$E$12+1,1))</f>
        <v>309.21625451786218</v>
      </c>
      <c r="CE145" s="62">
        <f t="shared" si="148"/>
        <v>302.59481222418219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-2.8421709430404007E-13</v>
      </c>
      <c r="CU145" s="18">
        <f>CT145*VLOOKUP('Données projet'!$B$13,Paramètres!$A$1:$I$89,3,0)*VLOOKUP('Données projet'!$B$13,Paramètres!$A$1:$I$89,5,0)</f>
        <v>-2.7046098693972454E-13</v>
      </c>
      <c r="CV145" s="14" t="e">
        <f t="shared" si="149"/>
        <v>#NUM!</v>
      </c>
      <c r="CW145" s="22" t="e">
        <f t="shared" si="121"/>
        <v>#NUM!</v>
      </c>
      <c r="CX145" s="62" t="e">
        <f t="shared" si="122"/>
        <v>#NUM!</v>
      </c>
      <c r="CY145" s="62">
        <f ca="1">AVERAGE(OFFSET($CX$3,0,0,'Données projet'!$E$13+1,1))-AVERAGE(OFFSET($H$3,0,0,'Données projet'!$E$13+1,1))</f>
        <v>491.87038198656927</v>
      </c>
      <c r="CZ145" s="62">
        <f t="shared" si="150"/>
        <v>406.49261644949559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0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3.5</v>
      </c>
      <c r="DO145" s="13">
        <f>IF('Données projet'!$A$166&gt;35,DO144+DN145-DW144,IF(A145&lt;'Données projet'!$A$166,$DL$205^A145,IF(A145='Données projet'!$A$166,'Données projet'!$B$166,DO144+DN145-DW144)))</f>
        <v>347.99999999999989</v>
      </c>
      <c r="DP145" s="18">
        <f>DO145*VLOOKUP('Données projet'!$B$14,Paramètres!$A$1:$I$89,3,0)*VLOOKUP('Données projet'!$B$14,Paramètres!$A$1:$I$89,5,0)</f>
        <v>336.58559999999989</v>
      </c>
      <c r="DQ145" s="14">
        <f t="shared" si="151"/>
        <v>78.794095911992599</v>
      </c>
      <c r="DR145" s="22">
        <f t="shared" si="124"/>
        <v>723.45297038005356</v>
      </c>
      <c r="DS145" s="62">
        <f t="shared" si="125"/>
        <v>1009.1481278831127</v>
      </c>
      <c r="DT145" s="62">
        <f ca="1">AVERAGE(OFFSET($DS$3,0,0,'Données projet'!$E$14+1,1))-AVERAGE(OFFSET($H$3,0,0,'Données projet'!$E$14+1,1))</f>
        <v>603.52431522262032</v>
      </c>
      <c r="DU145" s="62">
        <f t="shared" si="152"/>
        <v>313.56299786481338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projet'!$B$14,Paramètres!$A$1:$I$89,3,0)*0.475*44/12</f>
        <v>0</v>
      </c>
      <c r="EB145" s="23">
        <f>EXP(-LN(2)/25)*EB144+(1-EXP(-LN(2)/25))/(LN(2)/25)*Calculateur!DW145*Calculateur!DY145*VLOOKUP('Données projet'!$B$14,Paramètres!$A$1:$I$89,3,0)*0.475*44/12</f>
        <v>0</v>
      </c>
      <c r="EC145" s="23">
        <f>EXP(-LN(2)/2)*EC144+(1-EXP(-LN(2)/2))/(LN(2)/2)*DW145*DZ145*VLOOKUP('Données projet'!$B$14,Paramètres!$A$1:$I$89,3,0)*0.475*44/12</f>
        <v>0</v>
      </c>
      <c r="ED145" s="24">
        <f t="shared" si="126"/>
        <v>0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-1.1368683772161603E-13</v>
      </c>
      <c r="EK145" s="18">
        <f>EJ145*VLOOKUP('Données projet'!$B$15,Paramètres!$A$1:$I$89,3,0)*VLOOKUP('Données projet'!$B$15,Paramètres!$A$1:$I$89,5,0)</f>
        <v>-9.2222762759774927E-14</v>
      </c>
      <c r="EL145" s="14" t="e">
        <f t="shared" si="153"/>
        <v>#NUM!</v>
      </c>
      <c r="EM145" s="22" t="e">
        <f t="shared" si="127"/>
        <v>#NUM!</v>
      </c>
      <c r="EN145" s="62" t="e">
        <f t="shared" si="128"/>
        <v>#NUM!</v>
      </c>
      <c r="EO145" s="62">
        <f ca="1">AVERAGE(OFFSET($EN$3,0,0,'Données projet'!$E$15+1,1))-AVERAGE(OFFSET($H$3,0,0,'Données projet'!$E$15+1,1))</f>
        <v>272.69564942740931</v>
      </c>
      <c r="EP145" s="62">
        <f t="shared" si="154"/>
        <v>316.57989180609252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>
        <f>EXP(-LN(2)/35)*EV144+(1-EXP(-LN(2)/35))/(LN(2)/35)*ER145*ES145*VLOOKUP('Données projet'!$B$15,Paramètres!$A$1:$I$89,3,0)*0.475*44/12</f>
        <v>0</v>
      </c>
      <c r="EW145" s="23">
        <f>EXP(-LN(2)/25)*EW144+(1-EXP(-LN(2)/25))/(LN(2)/25)*Calculateur!ER145*Calculateur!ET145*VLOOKUP('Données projet'!$B$15,Paramètres!$A$1:$I$89,3,0)*0.475*44/12</f>
        <v>0</v>
      </c>
      <c r="EX145" s="23">
        <f>EXP(-LN(2)/2)*EX144+(1-EXP(-LN(2)/2))/(LN(2)/2)*ER145*EU145*VLOOKUP('Données projet'!$B$15,Paramètres!$A$1:$I$89,3,0)*0.475*44/12</f>
        <v>0</v>
      </c>
      <c r="EY145" s="24">
        <f t="shared" si="129"/>
        <v>0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-3.4106051316484809E-13</v>
      </c>
      <c r="FF145" s="18">
        <f>FE145*VLOOKUP('Données projet'!$B$16,Paramètres!$A$1:$I$89,3,0)*VLOOKUP('Données projet'!$B$16,Paramètres!$A$1:$I$89,5,0)</f>
        <v>-2.2878339223098009E-13</v>
      </c>
      <c r="FG145" s="14" t="e">
        <f t="shared" si="155"/>
        <v>#NUM!</v>
      </c>
      <c r="FH145" s="22" t="e">
        <f t="shared" si="130"/>
        <v>#NUM!</v>
      </c>
      <c r="FI145" s="62" t="e">
        <f t="shared" si="131"/>
        <v>#NUM!</v>
      </c>
      <c r="FJ145" s="62">
        <f ca="1">AVERAGE(OFFSET($FI$3,0,0,'Données projet'!$E$16+1,1))-AVERAGE(OFFSET($H$3,0,0,'Données projet'!$E$16+1,1))</f>
        <v>440.90856392064205</v>
      </c>
      <c r="FK145" s="62">
        <f t="shared" si="156"/>
        <v>373.33139300970629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>
        <f>EXP(-LN(2)/35)*FQ144+(1-EXP(-LN(2)/35))/(LN(2)/35)*FM145*FN145*VLOOKUP('Données projet'!$B$16,Paramètres!$A$1:$I$89,3,0)*0.475*44/12</f>
        <v>0</v>
      </c>
      <c r="FR145" s="23">
        <f>EXP(-LN(2)/25)*FR144+(1-EXP(-LN(2)/25))/(LN(2)/25)*Calculateur!FM145*Calculateur!FO145*VLOOKUP('Données projet'!$B$16,Paramètres!$A$1:$I$89,3,0)*0.475*44/12</f>
        <v>0</v>
      </c>
      <c r="FS145" s="23">
        <f>EXP(-LN(2)/2)*FS144+(1-EXP(-LN(2)/2))/(LN(2)/2)*FM145*FP145*VLOOKUP('Données projet'!$B$16,Paramètres!$A$1:$I$89,3,0)*0.475*44/12</f>
        <v>0</v>
      </c>
      <c r="FT145" s="24">
        <f t="shared" si="132"/>
        <v>0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70">
        <f t="shared" si="110"/>
        <v>183.33333333333334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3.5</v>
      </c>
      <c r="N146" s="14">
        <f>IF('Données projet'!$A$36&gt;35,N145+M146-V145,IF(A146&lt;'Données projet'!$A$36,$K$205^A146,IF(A146='Données projet'!$A$36,'Données projet'!$B$36,N145+M146-V145)))</f>
        <v>351.49999999999989</v>
      </c>
      <c r="O146" s="14">
        <f>N146*VLOOKUP('Données projet'!$B$9,Paramètres!$A$1:$I$89,3,0)*VLOOKUP('Données projet'!$B$9,Paramètres!$A$1:$I$89,5,0)</f>
        <v>318.03719999999987</v>
      </c>
      <c r="P146" s="14">
        <f t="shared" si="141"/>
        <v>74.944808824911618</v>
      </c>
      <c r="Q146" s="22">
        <f t="shared" si="108"/>
        <v>684.44366537005408</v>
      </c>
      <c r="R146" s="62">
        <f t="shared" si="109"/>
        <v>970.27132814736547</v>
      </c>
      <c r="S146" s="62">
        <f ca="1">AVERAGE(OFFSET($R$3,0,0,'Données projet'!$E$9+1,1))-AVERAGE(OFFSET($H$3,0,0,'Données projet'!$E$9+1,1))</f>
        <v>570.08763950759544</v>
      </c>
      <c r="T146" s="62">
        <f t="shared" si="142"/>
        <v>297.32483725004136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-2.2737367544323206E-13</v>
      </c>
      <c r="AJ146" s="14">
        <f>AI146*VLOOKUP('Données projet'!$B$10,Paramètres!$A$1:$I$89,3,0)*VLOOKUP('Données projet'!$B$10,Paramètres!$A$1:$I$89,5,0)</f>
        <v>-1.8089849618263545E-13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394.70330963327166</v>
      </c>
      <c r="AO146" s="62">
        <f t="shared" si="144"/>
        <v>424.06445894109982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-2.2737367544323206E-13</v>
      </c>
      <c r="BE146" s="14">
        <f>BD146*VLOOKUP('Données projet'!$B$11,Paramètres!$A$1:$I$89,3,0)*VLOOKUP('Données projet'!$B$11,Paramètres!$A$1:$I$89,5,0)</f>
        <v>-1.6671037883497774E-13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368.54671978064204</v>
      </c>
      <c r="BJ146" s="62">
        <f t="shared" si="146"/>
        <v>395.83504504492237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5.6843418860808015E-14</v>
      </c>
      <c r="BZ146" s="14">
        <f>BY146*VLOOKUP('Données projet'!$B$12,Paramètres!$A$1:$I$89,3,0)*VLOOKUP('Données projet'!$B$12,Paramètres!$A$1:$I$89,5,0)</f>
        <v>4.4337866711430253E-14</v>
      </c>
      <c r="CA146" s="14">
        <f t="shared" si="147"/>
        <v>7.3222115536967035E-13</v>
      </c>
      <c r="CB146" s="22">
        <f t="shared" si="118"/>
        <v>1.3525069634579169E-12</v>
      </c>
      <c r="CC146" s="62">
        <f t="shared" si="119"/>
        <v>285.82766277731281</v>
      </c>
      <c r="CD146" s="62">
        <f ca="1">AVERAGE(OFFSET($CC$3,0,0,'Données projet'!$E$12+1,1))-AVERAGE(OFFSET($H$3,0,0,'Données projet'!$E$12+1,1))</f>
        <v>309.21625451786218</v>
      </c>
      <c r="CE146" s="62">
        <f t="shared" si="148"/>
        <v>302.59481222418219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-2.8421709430404007E-13</v>
      </c>
      <c r="CU146" s="18">
        <f>CT146*VLOOKUP('Données projet'!$B$13,Paramètres!$A$1:$I$89,3,0)*VLOOKUP('Données projet'!$B$13,Paramètres!$A$1:$I$89,5,0)</f>
        <v>-2.7046098693972454E-13</v>
      </c>
      <c r="CV146" s="14" t="e">
        <f t="shared" si="149"/>
        <v>#NUM!</v>
      </c>
      <c r="CW146" s="22" t="e">
        <f t="shared" si="121"/>
        <v>#NUM!</v>
      </c>
      <c r="CX146" s="62" t="e">
        <f t="shared" si="122"/>
        <v>#NUM!</v>
      </c>
      <c r="CY146" s="62">
        <f ca="1">AVERAGE(OFFSET($CX$3,0,0,'Données projet'!$E$13+1,1))-AVERAGE(OFFSET($H$3,0,0,'Données projet'!$E$13+1,1))</f>
        <v>491.87038198656927</v>
      </c>
      <c r="CZ146" s="62">
        <f t="shared" si="150"/>
        <v>406.49261644949559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0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3.5</v>
      </c>
      <c r="DO146" s="13">
        <f>IF('Données projet'!$A$166&gt;35,DO145+DN146-DW145,IF(A146&lt;'Données projet'!$A$166,$DL$205^A146,IF(A146='Données projet'!$A$166,'Données projet'!$B$166,DO145+DN146-DW145)))</f>
        <v>351.49999999999989</v>
      </c>
      <c r="DP146" s="18">
        <f>DO146*VLOOKUP('Données projet'!$B$14,Paramètres!$A$1:$I$89,3,0)*VLOOKUP('Données projet'!$B$14,Paramètres!$A$1:$I$89,5,0)</f>
        <v>339.97079999999988</v>
      </c>
      <c r="DQ146" s="14">
        <f t="shared" si="151"/>
        <v>79.493913486764498</v>
      </c>
      <c r="DR146" s="22">
        <f t="shared" si="124"/>
        <v>730.5677093227813</v>
      </c>
      <c r="DS146" s="62">
        <f t="shared" si="125"/>
        <v>1016.3953721000928</v>
      </c>
      <c r="DT146" s="62">
        <f ca="1">AVERAGE(OFFSET($DS$3,0,0,'Données projet'!$E$14+1,1))-AVERAGE(OFFSET($H$3,0,0,'Données projet'!$E$14+1,1))</f>
        <v>603.52431522262032</v>
      </c>
      <c r="DU146" s="62">
        <f t="shared" si="152"/>
        <v>313.56299786481338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projet'!$B$14,Paramètres!$A$1:$I$89,3,0)*0.475*44/12</f>
        <v>0</v>
      </c>
      <c r="EB146" s="23">
        <f>EXP(-LN(2)/25)*EB145+(1-EXP(-LN(2)/25))/(LN(2)/25)*Calculateur!DW146*Calculateur!DY146*VLOOKUP('Données projet'!$B$14,Paramètres!$A$1:$I$89,3,0)*0.475*44/12</f>
        <v>0</v>
      </c>
      <c r="EC146" s="23">
        <f>EXP(-LN(2)/2)*EC145+(1-EXP(-LN(2)/2))/(LN(2)/2)*DW146*DZ146*VLOOKUP('Données projet'!$B$14,Paramètres!$A$1:$I$89,3,0)*0.475*44/12</f>
        <v>0</v>
      </c>
      <c r="ED146" s="24">
        <f t="shared" si="126"/>
        <v>0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-1.1368683772161603E-13</v>
      </c>
      <c r="EK146" s="18">
        <f>EJ146*VLOOKUP('Données projet'!$B$15,Paramètres!$A$1:$I$89,3,0)*VLOOKUP('Données projet'!$B$15,Paramètres!$A$1:$I$89,5,0)</f>
        <v>-9.2222762759774927E-14</v>
      </c>
      <c r="EL146" s="14" t="e">
        <f t="shared" si="153"/>
        <v>#NUM!</v>
      </c>
      <c r="EM146" s="22" t="e">
        <f t="shared" si="127"/>
        <v>#NUM!</v>
      </c>
      <c r="EN146" s="62" t="e">
        <f t="shared" si="128"/>
        <v>#NUM!</v>
      </c>
      <c r="EO146" s="62">
        <f ca="1">AVERAGE(OFFSET($EN$3,0,0,'Données projet'!$E$15+1,1))-AVERAGE(OFFSET($H$3,0,0,'Données projet'!$E$15+1,1))</f>
        <v>272.69564942740931</v>
      </c>
      <c r="EP146" s="62">
        <f t="shared" si="154"/>
        <v>316.57989180609252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>
        <f>EXP(-LN(2)/35)*EV145+(1-EXP(-LN(2)/35))/(LN(2)/35)*ER146*ES146*VLOOKUP('Données projet'!$B$15,Paramètres!$A$1:$I$89,3,0)*0.475*44/12</f>
        <v>0</v>
      </c>
      <c r="EW146" s="23">
        <f>EXP(-LN(2)/25)*EW145+(1-EXP(-LN(2)/25))/(LN(2)/25)*Calculateur!ER146*Calculateur!ET146*VLOOKUP('Données projet'!$B$15,Paramètres!$A$1:$I$89,3,0)*0.475*44/12</f>
        <v>0</v>
      </c>
      <c r="EX146" s="23">
        <f>EXP(-LN(2)/2)*EX145+(1-EXP(-LN(2)/2))/(LN(2)/2)*ER146*EU146*VLOOKUP('Données projet'!$B$15,Paramètres!$A$1:$I$89,3,0)*0.475*44/12</f>
        <v>0</v>
      </c>
      <c r="EY146" s="24">
        <f t="shared" si="129"/>
        <v>0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-3.4106051316484809E-13</v>
      </c>
      <c r="FF146" s="18">
        <f>FE146*VLOOKUP('Données projet'!$B$16,Paramètres!$A$1:$I$89,3,0)*VLOOKUP('Données projet'!$B$16,Paramètres!$A$1:$I$89,5,0)</f>
        <v>-2.2878339223098009E-13</v>
      </c>
      <c r="FG146" s="14" t="e">
        <f t="shared" si="155"/>
        <v>#NUM!</v>
      </c>
      <c r="FH146" s="22" t="e">
        <f t="shared" si="130"/>
        <v>#NUM!</v>
      </c>
      <c r="FI146" s="62" t="e">
        <f t="shared" si="131"/>
        <v>#NUM!</v>
      </c>
      <c r="FJ146" s="62">
        <f ca="1">AVERAGE(OFFSET($FI$3,0,0,'Données projet'!$E$16+1,1))-AVERAGE(OFFSET($H$3,0,0,'Données projet'!$E$16+1,1))</f>
        <v>440.90856392064205</v>
      </c>
      <c r="FK146" s="62">
        <f t="shared" si="156"/>
        <v>373.33139300970629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>
        <f>EXP(-LN(2)/35)*FQ145+(1-EXP(-LN(2)/35))/(LN(2)/35)*FM146*FN146*VLOOKUP('Données projet'!$B$16,Paramètres!$A$1:$I$89,3,0)*0.475*44/12</f>
        <v>0</v>
      </c>
      <c r="FR146" s="23">
        <f>EXP(-LN(2)/25)*FR145+(1-EXP(-LN(2)/25))/(LN(2)/25)*Calculateur!FM146*Calculateur!FO146*VLOOKUP('Données projet'!$B$16,Paramètres!$A$1:$I$89,3,0)*0.475*44/12</f>
        <v>0</v>
      </c>
      <c r="FS146" s="23">
        <f>EXP(-LN(2)/2)*FS145+(1-EXP(-LN(2)/2))/(LN(2)/2)*FM146*FP146*VLOOKUP('Données projet'!$B$16,Paramètres!$A$1:$I$89,3,0)*0.475*44/12</f>
        <v>0</v>
      </c>
      <c r="FT146" s="24">
        <f t="shared" si="132"/>
        <v>0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70">
        <f t="shared" si="110"/>
        <v>183.33333333333334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3.5</v>
      </c>
      <c r="N147" s="14">
        <f>IF('Données projet'!$A$36&gt;35,N146+M147-V146,IF(A147&lt;'Données projet'!$A$36,$K$205^A147,IF(A147='Données projet'!$A$36,'Données projet'!$B$36,N146+M147-V146)))</f>
        <v>354.99999999999989</v>
      </c>
      <c r="O147" s="14">
        <f>N147*VLOOKUP('Données projet'!$B$9,Paramètres!$A$1:$I$89,3,0)*VLOOKUP('Données projet'!$B$9,Paramètres!$A$1:$I$89,5,0)</f>
        <v>321.20399999999989</v>
      </c>
      <c r="P147" s="14">
        <f t="shared" si="141"/>
        <v>75.603814497354989</v>
      </c>
      <c r="Q147" s="22">
        <f t="shared" si="108"/>
        <v>691.10694358289311</v>
      </c>
      <c r="R147" s="62">
        <f t="shared" si="109"/>
        <v>977.06481296418599</v>
      </c>
      <c r="S147" s="62">
        <f ca="1">AVERAGE(OFFSET($R$3,0,0,'Données projet'!$E$9+1,1))-AVERAGE(OFFSET($H$3,0,0,'Données projet'!$E$9+1,1))</f>
        <v>570.08763950759544</v>
      </c>
      <c r="T147" s="62">
        <f t="shared" si="142"/>
        <v>297.32483725004136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-2.2737367544323206E-13</v>
      </c>
      <c r="AJ147" s="14">
        <f>AI147*VLOOKUP('Données projet'!$B$10,Paramètres!$A$1:$I$89,3,0)*VLOOKUP('Données projet'!$B$10,Paramètres!$A$1:$I$89,5,0)</f>
        <v>-1.8089849618263545E-13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394.70330963327166</v>
      </c>
      <c r="AO147" s="62">
        <f t="shared" si="144"/>
        <v>424.06445894109982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-2.2737367544323206E-13</v>
      </c>
      <c r="BE147" s="14">
        <f>BD147*VLOOKUP('Données projet'!$B$11,Paramètres!$A$1:$I$89,3,0)*VLOOKUP('Données projet'!$B$11,Paramètres!$A$1:$I$89,5,0)</f>
        <v>-1.6671037883497774E-13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368.54671978064204</v>
      </c>
      <c r="BJ147" s="62">
        <f t="shared" si="146"/>
        <v>395.83504504492237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5.6843418860808015E-14</v>
      </c>
      <c r="BZ147" s="14">
        <f>BY147*VLOOKUP('Données projet'!$B$12,Paramètres!$A$1:$I$89,3,0)*VLOOKUP('Données projet'!$B$12,Paramètres!$A$1:$I$89,5,0)</f>
        <v>4.4337866711430253E-14</v>
      </c>
      <c r="CA147" s="14">
        <f t="shared" si="147"/>
        <v>7.3222115536967035E-13</v>
      </c>
      <c r="CB147" s="22">
        <f t="shared" si="118"/>
        <v>1.3525069634579169E-12</v>
      </c>
      <c r="CC147" s="62">
        <f t="shared" si="119"/>
        <v>285.95786938129424</v>
      </c>
      <c r="CD147" s="62">
        <f ca="1">AVERAGE(OFFSET($CC$3,0,0,'Données projet'!$E$12+1,1))-AVERAGE(OFFSET($H$3,0,0,'Données projet'!$E$12+1,1))</f>
        <v>309.21625451786218</v>
      </c>
      <c r="CE147" s="62">
        <f t="shared" si="148"/>
        <v>302.59481222418219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-2.8421709430404007E-13</v>
      </c>
      <c r="CU147" s="18">
        <f>CT147*VLOOKUP('Données projet'!$B$13,Paramètres!$A$1:$I$89,3,0)*VLOOKUP('Données projet'!$B$13,Paramètres!$A$1:$I$89,5,0)</f>
        <v>-2.7046098693972454E-13</v>
      </c>
      <c r="CV147" s="14" t="e">
        <f t="shared" si="149"/>
        <v>#NUM!</v>
      </c>
      <c r="CW147" s="22" t="e">
        <f t="shared" si="121"/>
        <v>#NUM!</v>
      </c>
      <c r="CX147" s="62" t="e">
        <f t="shared" si="122"/>
        <v>#NUM!</v>
      </c>
      <c r="CY147" s="62">
        <f ca="1">AVERAGE(OFFSET($CX$3,0,0,'Données projet'!$E$13+1,1))-AVERAGE(OFFSET($H$3,0,0,'Données projet'!$E$13+1,1))</f>
        <v>491.87038198656927</v>
      </c>
      <c r="CZ147" s="62">
        <f t="shared" si="150"/>
        <v>406.49261644949559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0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3.5</v>
      </c>
      <c r="DO147" s="13">
        <f>IF('Données projet'!$A$166&gt;35,DO146+DN147-DW146,IF(A147&lt;'Données projet'!$A$166,$DL$205^A147,IF(A147='Données projet'!$A$166,'Données projet'!$B$166,DO146+DN147-DW146)))</f>
        <v>354.99999999999989</v>
      </c>
      <c r="DP147" s="18">
        <f>DO147*VLOOKUP('Données projet'!$B$14,Paramètres!$A$1:$I$89,3,0)*VLOOKUP('Données projet'!$B$14,Paramètres!$A$1:$I$89,5,0)</f>
        <v>343.35599999999994</v>
      </c>
      <c r="DQ147" s="14">
        <f t="shared" si="151"/>
        <v>80.192920405774515</v>
      </c>
      <c r="DR147" s="22">
        <f t="shared" si="124"/>
        <v>737.68103637339038</v>
      </c>
      <c r="DS147" s="62">
        <f t="shared" si="125"/>
        <v>1023.6389057546833</v>
      </c>
      <c r="DT147" s="62">
        <f ca="1">AVERAGE(OFFSET($DS$3,0,0,'Données projet'!$E$14+1,1))-AVERAGE(OFFSET($H$3,0,0,'Données projet'!$E$14+1,1))</f>
        <v>603.52431522262032</v>
      </c>
      <c r="DU147" s="62">
        <f t="shared" si="152"/>
        <v>313.56299786481338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projet'!$B$14,Paramètres!$A$1:$I$89,3,0)*0.475*44/12</f>
        <v>0</v>
      </c>
      <c r="EB147" s="23">
        <f>EXP(-LN(2)/25)*EB146+(1-EXP(-LN(2)/25))/(LN(2)/25)*Calculateur!DW147*Calculateur!DY147*VLOOKUP('Données projet'!$B$14,Paramètres!$A$1:$I$89,3,0)*0.475*44/12</f>
        <v>0</v>
      </c>
      <c r="EC147" s="23">
        <f>EXP(-LN(2)/2)*EC146+(1-EXP(-LN(2)/2))/(LN(2)/2)*DW147*DZ147*VLOOKUP('Données projet'!$B$14,Paramètres!$A$1:$I$89,3,0)*0.475*44/12</f>
        <v>0</v>
      </c>
      <c r="ED147" s="24">
        <f t="shared" si="126"/>
        <v>0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-1.1368683772161603E-13</v>
      </c>
      <c r="EK147" s="18">
        <f>EJ147*VLOOKUP('Données projet'!$B$15,Paramètres!$A$1:$I$89,3,0)*VLOOKUP('Données projet'!$B$15,Paramètres!$A$1:$I$89,5,0)</f>
        <v>-9.2222762759774927E-14</v>
      </c>
      <c r="EL147" s="14" t="e">
        <f t="shared" si="153"/>
        <v>#NUM!</v>
      </c>
      <c r="EM147" s="22" t="e">
        <f t="shared" si="127"/>
        <v>#NUM!</v>
      </c>
      <c r="EN147" s="62" t="e">
        <f t="shared" si="128"/>
        <v>#NUM!</v>
      </c>
      <c r="EO147" s="62">
        <f ca="1">AVERAGE(OFFSET($EN$3,0,0,'Données projet'!$E$15+1,1))-AVERAGE(OFFSET($H$3,0,0,'Données projet'!$E$15+1,1))</f>
        <v>272.69564942740931</v>
      </c>
      <c r="EP147" s="62">
        <f t="shared" si="154"/>
        <v>316.57989180609252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>
        <f>EXP(-LN(2)/35)*EV146+(1-EXP(-LN(2)/35))/(LN(2)/35)*ER147*ES147*VLOOKUP('Données projet'!$B$15,Paramètres!$A$1:$I$89,3,0)*0.475*44/12</f>
        <v>0</v>
      </c>
      <c r="EW147" s="23">
        <f>EXP(-LN(2)/25)*EW146+(1-EXP(-LN(2)/25))/(LN(2)/25)*Calculateur!ER147*Calculateur!ET147*VLOOKUP('Données projet'!$B$15,Paramètres!$A$1:$I$89,3,0)*0.475*44/12</f>
        <v>0</v>
      </c>
      <c r="EX147" s="23">
        <f>EXP(-LN(2)/2)*EX146+(1-EXP(-LN(2)/2))/(LN(2)/2)*ER147*EU147*VLOOKUP('Données projet'!$B$15,Paramètres!$A$1:$I$89,3,0)*0.475*44/12</f>
        <v>0</v>
      </c>
      <c r="EY147" s="24">
        <f t="shared" si="129"/>
        <v>0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-3.4106051316484809E-13</v>
      </c>
      <c r="FF147" s="18">
        <f>FE147*VLOOKUP('Données projet'!$B$16,Paramètres!$A$1:$I$89,3,0)*VLOOKUP('Données projet'!$B$16,Paramètres!$A$1:$I$89,5,0)</f>
        <v>-2.2878339223098009E-13</v>
      </c>
      <c r="FG147" s="14" t="e">
        <f t="shared" si="155"/>
        <v>#NUM!</v>
      </c>
      <c r="FH147" s="22" t="e">
        <f t="shared" si="130"/>
        <v>#NUM!</v>
      </c>
      <c r="FI147" s="62" t="e">
        <f t="shared" si="131"/>
        <v>#NUM!</v>
      </c>
      <c r="FJ147" s="62">
        <f ca="1">AVERAGE(OFFSET($FI$3,0,0,'Données projet'!$E$16+1,1))-AVERAGE(OFFSET($H$3,0,0,'Données projet'!$E$16+1,1))</f>
        <v>440.90856392064205</v>
      </c>
      <c r="FK147" s="62">
        <f t="shared" si="156"/>
        <v>373.33139300970629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>
        <f>EXP(-LN(2)/35)*FQ146+(1-EXP(-LN(2)/35))/(LN(2)/35)*FM147*FN147*VLOOKUP('Données projet'!$B$16,Paramètres!$A$1:$I$89,3,0)*0.475*44/12</f>
        <v>0</v>
      </c>
      <c r="FR147" s="23">
        <f>EXP(-LN(2)/25)*FR146+(1-EXP(-LN(2)/25))/(LN(2)/25)*Calculateur!FM147*Calculateur!FO147*VLOOKUP('Données projet'!$B$16,Paramètres!$A$1:$I$89,3,0)*0.475*44/12</f>
        <v>0</v>
      </c>
      <c r="FS147" s="23">
        <f>EXP(-LN(2)/2)*FS146+(1-EXP(-LN(2)/2))/(LN(2)/2)*FM147*FP147*VLOOKUP('Données projet'!$B$16,Paramètres!$A$1:$I$89,3,0)*0.475*44/12</f>
        <v>0</v>
      </c>
      <c r="FT147" s="24">
        <f t="shared" si="132"/>
        <v>0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70">
        <f t="shared" si="110"/>
        <v>183.33333333333334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3.5</v>
      </c>
      <c r="N148" s="14">
        <f>IF('Données projet'!$A$36&gt;35,N147+M148-V147,IF(A148&lt;'Données projet'!$A$36,$K$205^A148,IF(A148='Données projet'!$A$36,'Données projet'!$B$36,N147+M148-V147)))</f>
        <v>358.49999999999989</v>
      </c>
      <c r="O148" s="14">
        <f>N148*VLOOKUP('Données projet'!$B$9,Paramètres!$A$1:$I$89,3,0)*VLOOKUP('Données projet'!$B$9,Paramètres!$A$1:$I$89,5,0)</f>
        <v>324.37079999999986</v>
      </c>
      <c r="P148" s="14">
        <f t="shared" si="141"/>
        <v>76.262064312013905</v>
      </c>
      <c r="Q148" s="22">
        <f t="shared" si="108"/>
        <v>697.76890534342408</v>
      </c>
      <c r="R148" s="62">
        <f t="shared" si="109"/>
        <v>983.85472253521766</v>
      </c>
      <c r="S148" s="62">
        <f ca="1">AVERAGE(OFFSET($R$3,0,0,'Données projet'!$E$9+1,1))-AVERAGE(OFFSET($H$3,0,0,'Données projet'!$E$9+1,1))</f>
        <v>570.08763950759544</v>
      </c>
      <c r="T148" s="62">
        <f t="shared" si="142"/>
        <v>297.32483725004136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-2.2737367544323206E-13</v>
      </c>
      <c r="AJ148" s="14">
        <f>AI148*VLOOKUP('Données projet'!$B$10,Paramètres!$A$1:$I$89,3,0)*VLOOKUP('Données projet'!$B$10,Paramètres!$A$1:$I$89,5,0)</f>
        <v>-1.8089849618263545E-13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394.70330963327166</v>
      </c>
      <c r="AO148" s="62">
        <f t="shared" si="144"/>
        <v>424.06445894109982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-2.2737367544323206E-13</v>
      </c>
      <c r="BE148" s="14">
        <f>BD148*VLOOKUP('Données projet'!$B$11,Paramètres!$A$1:$I$89,3,0)*VLOOKUP('Données projet'!$B$11,Paramètres!$A$1:$I$89,5,0)</f>
        <v>-1.6671037883497774E-13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368.54671978064204</v>
      </c>
      <c r="BJ148" s="62">
        <f t="shared" si="146"/>
        <v>395.83504504492237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5.6843418860808015E-14</v>
      </c>
      <c r="BZ148" s="14">
        <f>BY148*VLOOKUP('Données projet'!$B$12,Paramètres!$A$1:$I$89,3,0)*VLOOKUP('Données projet'!$B$12,Paramètres!$A$1:$I$89,5,0)</f>
        <v>4.4337866711430253E-14</v>
      </c>
      <c r="CA148" s="14">
        <f t="shared" si="147"/>
        <v>7.3222115536967035E-13</v>
      </c>
      <c r="CB148" s="22">
        <f t="shared" si="118"/>
        <v>1.3525069634579169E-12</v>
      </c>
      <c r="CC148" s="62">
        <f t="shared" si="119"/>
        <v>286.08581719179494</v>
      </c>
      <c r="CD148" s="62">
        <f ca="1">AVERAGE(OFFSET($CC$3,0,0,'Données projet'!$E$12+1,1))-AVERAGE(OFFSET($H$3,0,0,'Données projet'!$E$12+1,1))</f>
        <v>309.21625451786218</v>
      </c>
      <c r="CE148" s="62">
        <f t="shared" si="148"/>
        <v>302.59481222418219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-2.8421709430404007E-13</v>
      </c>
      <c r="CU148" s="18">
        <f>CT148*VLOOKUP('Données projet'!$B$13,Paramètres!$A$1:$I$89,3,0)*VLOOKUP('Données projet'!$B$13,Paramètres!$A$1:$I$89,5,0)</f>
        <v>-2.7046098693972454E-13</v>
      </c>
      <c r="CV148" s="14" t="e">
        <f t="shared" si="149"/>
        <v>#NUM!</v>
      </c>
      <c r="CW148" s="22" t="e">
        <f t="shared" si="121"/>
        <v>#NUM!</v>
      </c>
      <c r="CX148" s="62" t="e">
        <f t="shared" si="122"/>
        <v>#NUM!</v>
      </c>
      <c r="CY148" s="62">
        <f ca="1">AVERAGE(OFFSET($CX$3,0,0,'Données projet'!$E$13+1,1))-AVERAGE(OFFSET($H$3,0,0,'Données projet'!$E$13+1,1))</f>
        <v>491.87038198656927</v>
      </c>
      <c r="CZ148" s="62">
        <f t="shared" si="150"/>
        <v>406.49261644949559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0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3.5</v>
      </c>
      <c r="DO148" s="13">
        <f>IF('Données projet'!$A$166&gt;35,DO147+DN148-DW147,IF(A148&lt;'Données projet'!$A$166,$DL$205^A148,IF(A148='Données projet'!$A$166,'Données projet'!$B$166,DO147+DN148-DW147)))</f>
        <v>358.49999999999989</v>
      </c>
      <c r="DP148" s="18">
        <f>DO148*VLOOKUP('Données projet'!$B$14,Paramètres!$A$1:$I$89,3,0)*VLOOKUP('Données projet'!$B$14,Paramètres!$A$1:$I$89,5,0)</f>
        <v>346.74119999999988</v>
      </c>
      <c r="DQ148" s="14">
        <f t="shared" si="151"/>
        <v>80.891125586888961</v>
      </c>
      <c r="DR148" s="22">
        <f t="shared" si="124"/>
        <v>744.79296706383138</v>
      </c>
      <c r="DS148" s="62">
        <f t="shared" si="125"/>
        <v>1030.8787842556249</v>
      </c>
      <c r="DT148" s="62">
        <f ca="1">AVERAGE(OFFSET($DS$3,0,0,'Données projet'!$E$14+1,1))-AVERAGE(OFFSET($H$3,0,0,'Données projet'!$E$14+1,1))</f>
        <v>603.52431522262032</v>
      </c>
      <c r="DU148" s="62">
        <f t="shared" si="152"/>
        <v>313.56299786481338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projet'!$B$14,Paramètres!$A$1:$I$89,3,0)*0.475*44/12</f>
        <v>0</v>
      </c>
      <c r="EB148" s="23">
        <f>EXP(-LN(2)/25)*EB147+(1-EXP(-LN(2)/25))/(LN(2)/25)*Calculateur!DW148*Calculateur!DY148*VLOOKUP('Données projet'!$B$14,Paramètres!$A$1:$I$89,3,0)*0.475*44/12</f>
        <v>0</v>
      </c>
      <c r="EC148" s="23">
        <f>EXP(-LN(2)/2)*EC147+(1-EXP(-LN(2)/2))/(LN(2)/2)*DW148*DZ148*VLOOKUP('Données projet'!$B$14,Paramètres!$A$1:$I$89,3,0)*0.475*44/12</f>
        <v>0</v>
      </c>
      <c r="ED148" s="24">
        <f t="shared" si="126"/>
        <v>0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-1.1368683772161603E-13</v>
      </c>
      <c r="EK148" s="18">
        <f>EJ148*VLOOKUP('Données projet'!$B$15,Paramètres!$A$1:$I$89,3,0)*VLOOKUP('Données projet'!$B$15,Paramètres!$A$1:$I$89,5,0)</f>
        <v>-9.2222762759774927E-14</v>
      </c>
      <c r="EL148" s="14" t="e">
        <f t="shared" si="153"/>
        <v>#NUM!</v>
      </c>
      <c r="EM148" s="22" t="e">
        <f t="shared" si="127"/>
        <v>#NUM!</v>
      </c>
      <c r="EN148" s="62" t="e">
        <f t="shared" si="128"/>
        <v>#NUM!</v>
      </c>
      <c r="EO148" s="62">
        <f ca="1">AVERAGE(OFFSET($EN$3,0,0,'Données projet'!$E$15+1,1))-AVERAGE(OFFSET($H$3,0,0,'Données projet'!$E$15+1,1))</f>
        <v>272.69564942740931</v>
      </c>
      <c r="EP148" s="62">
        <f t="shared" si="154"/>
        <v>316.57989180609252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>
        <f>EXP(-LN(2)/35)*EV147+(1-EXP(-LN(2)/35))/(LN(2)/35)*ER148*ES148*VLOOKUP('Données projet'!$B$15,Paramètres!$A$1:$I$89,3,0)*0.475*44/12</f>
        <v>0</v>
      </c>
      <c r="EW148" s="23">
        <f>EXP(-LN(2)/25)*EW147+(1-EXP(-LN(2)/25))/(LN(2)/25)*Calculateur!ER148*Calculateur!ET148*VLOOKUP('Données projet'!$B$15,Paramètres!$A$1:$I$89,3,0)*0.475*44/12</f>
        <v>0</v>
      </c>
      <c r="EX148" s="23">
        <f>EXP(-LN(2)/2)*EX147+(1-EXP(-LN(2)/2))/(LN(2)/2)*ER148*EU148*VLOOKUP('Données projet'!$B$15,Paramètres!$A$1:$I$89,3,0)*0.475*44/12</f>
        <v>0</v>
      </c>
      <c r="EY148" s="24">
        <f t="shared" si="129"/>
        <v>0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-3.4106051316484809E-13</v>
      </c>
      <c r="FF148" s="18">
        <f>FE148*VLOOKUP('Données projet'!$B$16,Paramètres!$A$1:$I$89,3,0)*VLOOKUP('Données projet'!$B$16,Paramètres!$A$1:$I$89,5,0)</f>
        <v>-2.2878339223098009E-13</v>
      </c>
      <c r="FG148" s="14" t="e">
        <f t="shared" si="155"/>
        <v>#NUM!</v>
      </c>
      <c r="FH148" s="22" t="e">
        <f t="shared" si="130"/>
        <v>#NUM!</v>
      </c>
      <c r="FI148" s="62" t="e">
        <f t="shared" si="131"/>
        <v>#NUM!</v>
      </c>
      <c r="FJ148" s="62">
        <f ca="1">AVERAGE(OFFSET($FI$3,0,0,'Données projet'!$E$16+1,1))-AVERAGE(OFFSET($H$3,0,0,'Données projet'!$E$16+1,1))</f>
        <v>440.90856392064205</v>
      </c>
      <c r="FK148" s="62">
        <f t="shared" si="156"/>
        <v>373.33139300970629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>
        <f>EXP(-LN(2)/35)*FQ147+(1-EXP(-LN(2)/35))/(LN(2)/35)*FM148*FN148*VLOOKUP('Données projet'!$B$16,Paramètres!$A$1:$I$89,3,0)*0.475*44/12</f>
        <v>0</v>
      </c>
      <c r="FR148" s="23">
        <f>EXP(-LN(2)/25)*FR147+(1-EXP(-LN(2)/25))/(LN(2)/25)*Calculateur!FM148*Calculateur!FO148*VLOOKUP('Données projet'!$B$16,Paramètres!$A$1:$I$89,3,0)*0.475*44/12</f>
        <v>0</v>
      </c>
      <c r="FS148" s="23">
        <f>EXP(-LN(2)/2)*FS147+(1-EXP(-LN(2)/2))/(LN(2)/2)*FM148*FP148*VLOOKUP('Données projet'!$B$16,Paramètres!$A$1:$I$89,3,0)*0.475*44/12</f>
        <v>0</v>
      </c>
      <c r="FT148" s="24">
        <f t="shared" si="132"/>
        <v>0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70">
        <f t="shared" si="110"/>
        <v>183.33333333333334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3.5</v>
      </c>
      <c r="N149" s="14">
        <f>IF('Données projet'!$A$36&gt;35,N148+M149-V148,IF(A149&lt;'Données projet'!$A$36,$K$205^A149,IF(A149='Données projet'!$A$36,'Données projet'!$B$36,N148+M149-V148)))</f>
        <v>361.99999999999989</v>
      </c>
      <c r="O149" s="14">
        <f>N149*VLOOKUP('Données projet'!$B$9,Paramètres!$A$1:$I$89,3,0)*VLOOKUP('Données projet'!$B$9,Paramètres!$A$1:$I$89,5,0)</f>
        <v>327.53759999999988</v>
      </c>
      <c r="P149" s="14">
        <f t="shared" si="141"/>
        <v>76.919566502794808</v>
      </c>
      <c r="Q149" s="22">
        <f t="shared" si="108"/>
        <v>704.42956499236743</v>
      </c>
      <c r="R149" s="62">
        <f t="shared" si="109"/>
        <v>990.64111038619808</v>
      </c>
      <c r="S149" s="62">
        <f ca="1">AVERAGE(OFFSET($R$3,0,0,'Données projet'!$E$9+1,1))-AVERAGE(OFFSET($H$3,0,0,'Données projet'!$E$9+1,1))</f>
        <v>570.08763950759544</v>
      </c>
      <c r="T149" s="62">
        <f t="shared" si="142"/>
        <v>297.32483725004136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-2.2737367544323206E-13</v>
      </c>
      <c r="AJ149" s="14">
        <f>AI149*VLOOKUP('Données projet'!$B$10,Paramètres!$A$1:$I$89,3,0)*VLOOKUP('Données projet'!$B$10,Paramètres!$A$1:$I$89,5,0)</f>
        <v>-1.8089849618263545E-13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394.70330963327166</v>
      </c>
      <c r="AO149" s="62">
        <f t="shared" si="144"/>
        <v>424.06445894109982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-2.2737367544323206E-13</v>
      </c>
      <c r="BE149" s="14">
        <f>BD149*VLOOKUP('Données projet'!$B$11,Paramètres!$A$1:$I$89,3,0)*VLOOKUP('Données projet'!$B$11,Paramètres!$A$1:$I$89,5,0)</f>
        <v>-1.6671037883497774E-13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368.54671978064204</v>
      </c>
      <c r="BJ149" s="62">
        <f t="shared" si="146"/>
        <v>395.83504504492237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5.6843418860808015E-14</v>
      </c>
      <c r="BZ149" s="14">
        <f>BY149*VLOOKUP('Données projet'!$B$12,Paramètres!$A$1:$I$89,3,0)*VLOOKUP('Données projet'!$B$12,Paramètres!$A$1:$I$89,5,0)</f>
        <v>4.4337866711430253E-14</v>
      </c>
      <c r="CA149" s="14">
        <f t="shared" si="147"/>
        <v>7.3222115536967035E-13</v>
      </c>
      <c r="CB149" s="22">
        <f t="shared" si="118"/>
        <v>1.3525069634579169E-12</v>
      </c>
      <c r="CC149" s="62">
        <f t="shared" si="119"/>
        <v>286.21154539383201</v>
      </c>
      <c r="CD149" s="62">
        <f ca="1">AVERAGE(OFFSET($CC$3,0,0,'Données projet'!$E$12+1,1))-AVERAGE(OFFSET($H$3,0,0,'Données projet'!$E$12+1,1))</f>
        <v>309.21625451786218</v>
      </c>
      <c r="CE149" s="62">
        <f t="shared" si="148"/>
        <v>302.59481222418219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-2.8421709430404007E-13</v>
      </c>
      <c r="CU149" s="18">
        <f>CT149*VLOOKUP('Données projet'!$B$13,Paramètres!$A$1:$I$89,3,0)*VLOOKUP('Données projet'!$B$13,Paramètres!$A$1:$I$89,5,0)</f>
        <v>-2.7046098693972454E-13</v>
      </c>
      <c r="CV149" s="14" t="e">
        <f t="shared" si="149"/>
        <v>#NUM!</v>
      </c>
      <c r="CW149" s="22" t="e">
        <f t="shared" si="121"/>
        <v>#NUM!</v>
      </c>
      <c r="CX149" s="62" t="e">
        <f t="shared" si="122"/>
        <v>#NUM!</v>
      </c>
      <c r="CY149" s="62">
        <f ca="1">AVERAGE(OFFSET($CX$3,0,0,'Données projet'!$E$13+1,1))-AVERAGE(OFFSET($H$3,0,0,'Données projet'!$E$13+1,1))</f>
        <v>491.87038198656927</v>
      </c>
      <c r="CZ149" s="62">
        <f t="shared" si="150"/>
        <v>406.49261644949559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0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3.5</v>
      </c>
      <c r="DO149" s="13">
        <f>IF('Données projet'!$A$166&gt;35,DO148+DN149-DW148,IF(A149&lt;'Données projet'!$A$166,$DL$205^A149,IF(A149='Données projet'!$A$166,'Données projet'!$B$166,DO148+DN149-DW148)))</f>
        <v>361.99999999999989</v>
      </c>
      <c r="DP149" s="18">
        <f>DO149*VLOOKUP('Données projet'!$B$14,Paramètres!$A$1:$I$89,3,0)*VLOOKUP('Données projet'!$B$14,Paramètres!$A$1:$I$89,5,0)</f>
        <v>350.12639999999993</v>
      </c>
      <c r="DQ149" s="14">
        <f t="shared" si="151"/>
        <v>81.588537763807025</v>
      </c>
      <c r="DR149" s="22">
        <f t="shared" si="124"/>
        <v>751.90351660529711</v>
      </c>
      <c r="DS149" s="62">
        <f t="shared" si="125"/>
        <v>1038.1150619991276</v>
      </c>
      <c r="DT149" s="62">
        <f ca="1">AVERAGE(OFFSET($DS$3,0,0,'Données projet'!$E$14+1,1))-AVERAGE(OFFSET($H$3,0,0,'Données projet'!$E$14+1,1))</f>
        <v>603.52431522262032</v>
      </c>
      <c r="DU149" s="62">
        <f t="shared" si="152"/>
        <v>313.56299786481338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projet'!$B$14,Paramètres!$A$1:$I$89,3,0)*0.475*44/12</f>
        <v>0</v>
      </c>
      <c r="EB149" s="23">
        <f>EXP(-LN(2)/25)*EB148+(1-EXP(-LN(2)/25))/(LN(2)/25)*Calculateur!DW149*Calculateur!DY149*VLOOKUP('Données projet'!$B$14,Paramètres!$A$1:$I$89,3,0)*0.475*44/12</f>
        <v>0</v>
      </c>
      <c r="EC149" s="23">
        <f>EXP(-LN(2)/2)*EC148+(1-EXP(-LN(2)/2))/(LN(2)/2)*DW149*DZ149*VLOOKUP('Données projet'!$B$14,Paramètres!$A$1:$I$89,3,0)*0.475*44/12</f>
        <v>0</v>
      </c>
      <c r="ED149" s="24">
        <f t="shared" si="126"/>
        <v>0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-1.1368683772161603E-13</v>
      </c>
      <c r="EK149" s="18">
        <f>EJ149*VLOOKUP('Données projet'!$B$15,Paramètres!$A$1:$I$89,3,0)*VLOOKUP('Données projet'!$B$15,Paramètres!$A$1:$I$89,5,0)</f>
        <v>-9.2222762759774927E-14</v>
      </c>
      <c r="EL149" s="14" t="e">
        <f t="shared" si="153"/>
        <v>#NUM!</v>
      </c>
      <c r="EM149" s="22" t="e">
        <f t="shared" si="127"/>
        <v>#NUM!</v>
      </c>
      <c r="EN149" s="62" t="e">
        <f t="shared" si="128"/>
        <v>#NUM!</v>
      </c>
      <c r="EO149" s="62">
        <f ca="1">AVERAGE(OFFSET($EN$3,0,0,'Données projet'!$E$15+1,1))-AVERAGE(OFFSET($H$3,0,0,'Données projet'!$E$15+1,1))</f>
        <v>272.69564942740931</v>
      </c>
      <c r="EP149" s="62">
        <f t="shared" si="154"/>
        <v>316.57989180609252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>
        <f>EXP(-LN(2)/35)*EV148+(1-EXP(-LN(2)/35))/(LN(2)/35)*ER149*ES149*VLOOKUP('Données projet'!$B$15,Paramètres!$A$1:$I$89,3,0)*0.475*44/12</f>
        <v>0</v>
      </c>
      <c r="EW149" s="23">
        <f>EXP(-LN(2)/25)*EW148+(1-EXP(-LN(2)/25))/(LN(2)/25)*Calculateur!ER149*Calculateur!ET149*VLOOKUP('Données projet'!$B$15,Paramètres!$A$1:$I$89,3,0)*0.475*44/12</f>
        <v>0</v>
      </c>
      <c r="EX149" s="23">
        <f>EXP(-LN(2)/2)*EX148+(1-EXP(-LN(2)/2))/(LN(2)/2)*ER149*EU149*VLOOKUP('Données projet'!$B$15,Paramètres!$A$1:$I$89,3,0)*0.475*44/12</f>
        <v>0</v>
      </c>
      <c r="EY149" s="24">
        <f t="shared" si="129"/>
        <v>0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-3.4106051316484809E-13</v>
      </c>
      <c r="FF149" s="18">
        <f>FE149*VLOOKUP('Données projet'!$B$16,Paramètres!$A$1:$I$89,3,0)*VLOOKUP('Données projet'!$B$16,Paramètres!$A$1:$I$89,5,0)</f>
        <v>-2.2878339223098009E-13</v>
      </c>
      <c r="FG149" s="14" t="e">
        <f t="shared" si="155"/>
        <v>#NUM!</v>
      </c>
      <c r="FH149" s="22" t="e">
        <f t="shared" si="130"/>
        <v>#NUM!</v>
      </c>
      <c r="FI149" s="62" t="e">
        <f t="shared" si="131"/>
        <v>#NUM!</v>
      </c>
      <c r="FJ149" s="62">
        <f ca="1">AVERAGE(OFFSET($FI$3,0,0,'Données projet'!$E$16+1,1))-AVERAGE(OFFSET($H$3,0,0,'Données projet'!$E$16+1,1))</f>
        <v>440.90856392064205</v>
      </c>
      <c r="FK149" s="62">
        <f t="shared" si="156"/>
        <v>373.33139300970629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>
        <f>EXP(-LN(2)/35)*FQ148+(1-EXP(-LN(2)/35))/(LN(2)/35)*FM149*FN149*VLOOKUP('Données projet'!$B$16,Paramètres!$A$1:$I$89,3,0)*0.475*44/12</f>
        <v>0</v>
      </c>
      <c r="FR149" s="23">
        <f>EXP(-LN(2)/25)*FR148+(1-EXP(-LN(2)/25))/(LN(2)/25)*Calculateur!FM149*Calculateur!FO149*VLOOKUP('Données projet'!$B$16,Paramètres!$A$1:$I$89,3,0)*0.475*44/12</f>
        <v>0</v>
      </c>
      <c r="FS149" s="23">
        <f>EXP(-LN(2)/2)*FS148+(1-EXP(-LN(2)/2))/(LN(2)/2)*FM149*FP149*VLOOKUP('Données projet'!$B$16,Paramètres!$A$1:$I$89,3,0)*0.475*44/12</f>
        <v>0</v>
      </c>
      <c r="FT149" s="24">
        <f t="shared" si="132"/>
        <v>0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70">
        <f t="shared" si="110"/>
        <v>183.33333333333334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3.5</v>
      </c>
      <c r="N150" s="14">
        <f>IF('Données projet'!$A$36&gt;35,N149+M150-V149,IF(A150&lt;'Données projet'!$A$36,$K$205^A150,IF(A150='Données projet'!$A$36,'Données projet'!$B$36,N149+M150-V149)))</f>
        <v>365.49999999999989</v>
      </c>
      <c r="O150" s="14">
        <f>N150*VLOOKUP('Données projet'!$B$9,Paramètres!$A$1:$I$89,3,0)*VLOOKUP('Données projet'!$B$9,Paramètres!$A$1:$I$89,5,0)</f>
        <v>330.70439999999991</v>
      </c>
      <c r="P150" s="14">
        <f t="shared" si="141"/>
        <v>77.576329135205029</v>
      </c>
      <c r="Q150" s="22">
        <f t="shared" si="108"/>
        <v>711.08893657714862</v>
      </c>
      <c r="R150" s="62">
        <f t="shared" si="109"/>
        <v>997.42402906979703</v>
      </c>
      <c r="S150" s="62">
        <f ca="1">AVERAGE(OFFSET($R$3,0,0,'Données projet'!$E$9+1,1))-AVERAGE(OFFSET($H$3,0,0,'Données projet'!$E$9+1,1))</f>
        <v>570.08763950759544</v>
      </c>
      <c r="T150" s="62">
        <f t="shared" si="142"/>
        <v>297.32483725004136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-2.2737367544323206E-13</v>
      </c>
      <c r="AJ150" s="14">
        <f>AI150*VLOOKUP('Données projet'!$B$10,Paramètres!$A$1:$I$89,3,0)*VLOOKUP('Données projet'!$B$10,Paramètres!$A$1:$I$89,5,0)</f>
        <v>-1.8089849618263545E-13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394.70330963327166</v>
      </c>
      <c r="AO150" s="62">
        <f t="shared" si="144"/>
        <v>424.06445894109982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-2.2737367544323206E-13</v>
      </c>
      <c r="BE150" s="14">
        <f>BD150*VLOOKUP('Données projet'!$B$11,Paramètres!$A$1:$I$89,3,0)*VLOOKUP('Données projet'!$B$11,Paramètres!$A$1:$I$89,5,0)</f>
        <v>-1.6671037883497774E-13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368.54671978064204</v>
      </c>
      <c r="BJ150" s="62">
        <f t="shared" si="146"/>
        <v>395.83504504492237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5.6843418860808015E-14</v>
      </c>
      <c r="BZ150" s="14">
        <f>BY150*VLOOKUP('Données projet'!$B$12,Paramètres!$A$1:$I$89,3,0)*VLOOKUP('Données projet'!$B$12,Paramètres!$A$1:$I$89,5,0)</f>
        <v>4.4337866711430253E-14</v>
      </c>
      <c r="CA150" s="14">
        <f t="shared" si="147"/>
        <v>7.3222115536967035E-13</v>
      </c>
      <c r="CB150" s="22">
        <f t="shared" si="118"/>
        <v>1.3525069634579169E-12</v>
      </c>
      <c r="CC150" s="62">
        <f t="shared" si="119"/>
        <v>286.33509249264978</v>
      </c>
      <c r="CD150" s="62">
        <f ca="1">AVERAGE(OFFSET($CC$3,0,0,'Données projet'!$E$12+1,1))-AVERAGE(OFFSET($H$3,0,0,'Données projet'!$E$12+1,1))</f>
        <v>309.21625451786218</v>
      </c>
      <c r="CE150" s="62">
        <f t="shared" si="148"/>
        <v>302.59481222418219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-2.8421709430404007E-13</v>
      </c>
      <c r="CU150" s="18">
        <f>CT150*VLOOKUP('Données projet'!$B$13,Paramètres!$A$1:$I$89,3,0)*VLOOKUP('Données projet'!$B$13,Paramètres!$A$1:$I$89,5,0)</f>
        <v>-2.7046098693972454E-13</v>
      </c>
      <c r="CV150" s="14" t="e">
        <f t="shared" si="149"/>
        <v>#NUM!</v>
      </c>
      <c r="CW150" s="22" t="e">
        <f t="shared" si="121"/>
        <v>#NUM!</v>
      </c>
      <c r="CX150" s="62" t="e">
        <f t="shared" si="122"/>
        <v>#NUM!</v>
      </c>
      <c r="CY150" s="62">
        <f ca="1">AVERAGE(OFFSET($CX$3,0,0,'Données projet'!$E$13+1,1))-AVERAGE(OFFSET($H$3,0,0,'Données projet'!$E$13+1,1))</f>
        <v>491.87038198656927</v>
      </c>
      <c r="CZ150" s="62">
        <f t="shared" si="150"/>
        <v>406.49261644949559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0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3.5</v>
      </c>
      <c r="DO150" s="13">
        <f>IF('Données projet'!$A$166&gt;35,DO149+DN150-DW149,IF(A150&lt;'Données projet'!$A$166,$DL$205^A150,IF(A150='Données projet'!$A$166,'Données projet'!$B$166,DO149+DN150-DW149)))</f>
        <v>365.49999999999989</v>
      </c>
      <c r="DP150" s="18">
        <f>DO150*VLOOKUP('Données projet'!$B$14,Paramètres!$A$1:$I$89,3,0)*VLOOKUP('Données projet'!$B$14,Paramètres!$A$1:$I$89,5,0)</f>
        <v>353.51159999999987</v>
      </c>
      <c r="DQ150" s="14">
        <f t="shared" si="151"/>
        <v>82.285165491607756</v>
      </c>
      <c r="DR150" s="22">
        <f t="shared" si="124"/>
        <v>759.01269989788318</v>
      </c>
      <c r="DS150" s="62">
        <f t="shared" si="125"/>
        <v>1045.3477923905316</v>
      </c>
      <c r="DT150" s="62">
        <f ca="1">AVERAGE(OFFSET($DS$3,0,0,'Données projet'!$E$14+1,1))-AVERAGE(OFFSET($H$3,0,0,'Données projet'!$E$14+1,1))</f>
        <v>603.52431522262032</v>
      </c>
      <c r="DU150" s="62">
        <f t="shared" si="152"/>
        <v>313.56299786481338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projet'!$B$14,Paramètres!$A$1:$I$89,3,0)*0.475*44/12</f>
        <v>0</v>
      </c>
      <c r="EB150" s="23">
        <f>EXP(-LN(2)/25)*EB149+(1-EXP(-LN(2)/25))/(LN(2)/25)*Calculateur!DW150*Calculateur!DY150*VLOOKUP('Données projet'!$B$14,Paramètres!$A$1:$I$89,3,0)*0.475*44/12</f>
        <v>0</v>
      </c>
      <c r="EC150" s="23">
        <f>EXP(-LN(2)/2)*EC149+(1-EXP(-LN(2)/2))/(LN(2)/2)*DW150*DZ150*VLOOKUP('Données projet'!$B$14,Paramètres!$A$1:$I$89,3,0)*0.475*44/12</f>
        <v>0</v>
      </c>
      <c r="ED150" s="24">
        <f t="shared" si="126"/>
        <v>0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-1.1368683772161603E-13</v>
      </c>
      <c r="EK150" s="18">
        <f>EJ150*VLOOKUP('Données projet'!$B$15,Paramètres!$A$1:$I$89,3,0)*VLOOKUP('Données projet'!$B$15,Paramètres!$A$1:$I$89,5,0)</f>
        <v>-9.2222762759774927E-14</v>
      </c>
      <c r="EL150" s="14" t="e">
        <f t="shared" si="153"/>
        <v>#NUM!</v>
      </c>
      <c r="EM150" s="22" t="e">
        <f t="shared" si="127"/>
        <v>#NUM!</v>
      </c>
      <c r="EN150" s="62" t="e">
        <f t="shared" si="128"/>
        <v>#NUM!</v>
      </c>
      <c r="EO150" s="62">
        <f ca="1">AVERAGE(OFFSET($EN$3,0,0,'Données projet'!$E$15+1,1))-AVERAGE(OFFSET($H$3,0,0,'Données projet'!$E$15+1,1))</f>
        <v>272.69564942740931</v>
      </c>
      <c r="EP150" s="62">
        <f t="shared" si="154"/>
        <v>316.57989180609252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>
        <f>EXP(-LN(2)/35)*EV149+(1-EXP(-LN(2)/35))/(LN(2)/35)*ER150*ES150*VLOOKUP('Données projet'!$B$15,Paramètres!$A$1:$I$89,3,0)*0.475*44/12</f>
        <v>0</v>
      </c>
      <c r="EW150" s="23">
        <f>EXP(-LN(2)/25)*EW149+(1-EXP(-LN(2)/25))/(LN(2)/25)*Calculateur!ER150*Calculateur!ET150*VLOOKUP('Données projet'!$B$15,Paramètres!$A$1:$I$89,3,0)*0.475*44/12</f>
        <v>0</v>
      </c>
      <c r="EX150" s="23">
        <f>EXP(-LN(2)/2)*EX149+(1-EXP(-LN(2)/2))/(LN(2)/2)*ER150*EU150*VLOOKUP('Données projet'!$B$15,Paramètres!$A$1:$I$89,3,0)*0.475*44/12</f>
        <v>0</v>
      </c>
      <c r="EY150" s="24">
        <f t="shared" si="129"/>
        <v>0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-3.4106051316484809E-13</v>
      </c>
      <c r="FF150" s="18">
        <f>FE150*VLOOKUP('Données projet'!$B$16,Paramètres!$A$1:$I$89,3,0)*VLOOKUP('Données projet'!$B$16,Paramètres!$A$1:$I$89,5,0)</f>
        <v>-2.2878339223098009E-13</v>
      </c>
      <c r="FG150" s="14" t="e">
        <f t="shared" si="155"/>
        <v>#NUM!</v>
      </c>
      <c r="FH150" s="22" t="e">
        <f t="shared" si="130"/>
        <v>#NUM!</v>
      </c>
      <c r="FI150" s="62" t="e">
        <f t="shared" si="131"/>
        <v>#NUM!</v>
      </c>
      <c r="FJ150" s="62">
        <f ca="1">AVERAGE(OFFSET($FI$3,0,0,'Données projet'!$E$16+1,1))-AVERAGE(OFFSET($H$3,0,0,'Données projet'!$E$16+1,1))</f>
        <v>440.90856392064205</v>
      </c>
      <c r="FK150" s="62">
        <f t="shared" si="156"/>
        <v>373.33139300970629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>
        <f>EXP(-LN(2)/35)*FQ149+(1-EXP(-LN(2)/35))/(LN(2)/35)*FM150*FN150*VLOOKUP('Données projet'!$B$16,Paramètres!$A$1:$I$89,3,0)*0.475*44/12</f>
        <v>0</v>
      </c>
      <c r="FR150" s="23">
        <f>EXP(-LN(2)/25)*FR149+(1-EXP(-LN(2)/25))/(LN(2)/25)*Calculateur!FM150*Calculateur!FO150*VLOOKUP('Données projet'!$B$16,Paramètres!$A$1:$I$89,3,0)*0.475*44/12</f>
        <v>0</v>
      </c>
      <c r="FS150" s="23">
        <f>EXP(-LN(2)/2)*FS149+(1-EXP(-LN(2)/2))/(LN(2)/2)*FM150*FP150*VLOOKUP('Données projet'!$B$16,Paramètres!$A$1:$I$89,3,0)*0.475*44/12</f>
        <v>0</v>
      </c>
      <c r="FT150" s="24">
        <f t="shared" si="132"/>
        <v>0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70">
        <f t="shared" si="110"/>
        <v>183.33333333333334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3.5</v>
      </c>
      <c r="N151" s="14">
        <f>IF('Données projet'!$A$36&gt;35,N150+M151-V150,IF(A151&lt;'Données projet'!$A$36,$K$205^A151,IF(A151='Données projet'!$A$36,'Données projet'!$B$36,N150+M151-V150)))</f>
        <v>368.99999999999989</v>
      </c>
      <c r="O151" s="14">
        <f>N151*VLOOKUP('Données projet'!$B$9,Paramètres!$A$1:$I$89,3,0)*VLOOKUP('Données projet'!$B$9,Paramètres!$A$1:$I$89,5,0)</f>
        <v>333.87119999999987</v>
      </c>
      <c r="P151" s="14">
        <f t="shared" si="141"/>
        <v>78.232360111376309</v>
      </c>
      <c r="Q151" s="22">
        <f t="shared" si="108"/>
        <v>717.74703386064687</v>
      </c>
      <c r="R151" s="62">
        <f t="shared" si="109"/>
        <v>1004.2035301861586</v>
      </c>
      <c r="S151" s="62">
        <f ca="1">AVERAGE(OFFSET($R$3,0,0,'Données projet'!$E$9+1,1))-AVERAGE(OFFSET($H$3,0,0,'Données projet'!$E$9+1,1))</f>
        <v>570.08763950759544</v>
      </c>
      <c r="T151" s="62">
        <f t="shared" si="142"/>
        <v>297.32483725004136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-2.2737367544323206E-13</v>
      </c>
      <c r="AJ151" s="14">
        <f>AI151*VLOOKUP('Données projet'!$B$10,Paramètres!$A$1:$I$89,3,0)*VLOOKUP('Données projet'!$B$10,Paramètres!$A$1:$I$89,5,0)</f>
        <v>-1.8089849618263545E-13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394.70330963327166</v>
      </c>
      <c r="AO151" s="62">
        <f t="shared" si="144"/>
        <v>424.06445894109982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-2.2737367544323206E-13</v>
      </c>
      <c r="BE151" s="14">
        <f>BD151*VLOOKUP('Données projet'!$B$11,Paramètres!$A$1:$I$89,3,0)*VLOOKUP('Données projet'!$B$11,Paramètres!$A$1:$I$89,5,0)</f>
        <v>-1.6671037883497774E-13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368.54671978064204</v>
      </c>
      <c r="BJ151" s="62">
        <f t="shared" si="146"/>
        <v>395.83504504492237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5.6843418860808015E-14</v>
      </c>
      <c r="BZ151" s="14">
        <f>BY151*VLOOKUP('Données projet'!$B$12,Paramètres!$A$1:$I$89,3,0)*VLOOKUP('Données projet'!$B$12,Paramètres!$A$1:$I$89,5,0)</f>
        <v>4.4337866711430253E-14</v>
      </c>
      <c r="CA151" s="14">
        <f t="shared" si="147"/>
        <v>7.3222115536967035E-13</v>
      </c>
      <c r="CB151" s="22">
        <f t="shared" si="118"/>
        <v>1.3525069634579169E-12</v>
      </c>
      <c r="CC151" s="62">
        <f t="shared" si="119"/>
        <v>286.45649632551306</v>
      </c>
      <c r="CD151" s="62">
        <f ca="1">AVERAGE(OFFSET($CC$3,0,0,'Données projet'!$E$12+1,1))-AVERAGE(OFFSET($H$3,0,0,'Données projet'!$E$12+1,1))</f>
        <v>309.21625451786218</v>
      </c>
      <c r="CE151" s="62">
        <f t="shared" si="148"/>
        <v>302.59481222418219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-2.8421709430404007E-13</v>
      </c>
      <c r="CU151" s="18">
        <f>CT151*VLOOKUP('Données projet'!$B$13,Paramètres!$A$1:$I$89,3,0)*VLOOKUP('Données projet'!$B$13,Paramètres!$A$1:$I$89,5,0)</f>
        <v>-2.7046098693972454E-13</v>
      </c>
      <c r="CV151" s="14" t="e">
        <f t="shared" si="149"/>
        <v>#NUM!</v>
      </c>
      <c r="CW151" s="22" t="e">
        <f t="shared" si="121"/>
        <v>#NUM!</v>
      </c>
      <c r="CX151" s="62" t="e">
        <f t="shared" si="122"/>
        <v>#NUM!</v>
      </c>
      <c r="CY151" s="62">
        <f ca="1">AVERAGE(OFFSET($CX$3,0,0,'Données projet'!$E$13+1,1))-AVERAGE(OFFSET($H$3,0,0,'Données projet'!$E$13+1,1))</f>
        <v>491.87038198656927</v>
      </c>
      <c r="CZ151" s="62">
        <f t="shared" si="150"/>
        <v>406.49261644949559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0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3.5</v>
      </c>
      <c r="DO151" s="13">
        <f>IF('Données projet'!$A$166&gt;35,DO150+DN151-DW150,IF(A151&lt;'Données projet'!$A$166,$DL$205^A151,IF(A151='Données projet'!$A$166,'Données projet'!$B$166,DO150+DN151-DW150)))</f>
        <v>368.99999999999989</v>
      </c>
      <c r="DP151" s="18">
        <f>DO151*VLOOKUP('Données projet'!$B$14,Paramètres!$A$1:$I$89,3,0)*VLOOKUP('Données projet'!$B$14,Paramètres!$A$1:$I$89,5,0)</f>
        <v>356.89679999999987</v>
      </c>
      <c r="DQ151" s="14">
        <f t="shared" si="151"/>
        <v>82.981017152077499</v>
      </c>
      <c r="DR151" s="22">
        <f t="shared" si="124"/>
        <v>766.12053153986801</v>
      </c>
      <c r="DS151" s="62">
        <f t="shared" si="125"/>
        <v>1052.5770278653797</v>
      </c>
      <c r="DT151" s="62">
        <f ca="1">AVERAGE(OFFSET($DS$3,0,0,'Données projet'!$E$14+1,1))-AVERAGE(OFFSET($H$3,0,0,'Données projet'!$E$14+1,1))</f>
        <v>603.52431522262032</v>
      </c>
      <c r="DU151" s="62">
        <f t="shared" si="152"/>
        <v>313.56299786481338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projet'!$B$14,Paramètres!$A$1:$I$89,3,0)*0.475*44/12</f>
        <v>0</v>
      </c>
      <c r="EB151" s="23">
        <f>EXP(-LN(2)/25)*EB150+(1-EXP(-LN(2)/25))/(LN(2)/25)*Calculateur!DW151*Calculateur!DY151*VLOOKUP('Données projet'!$B$14,Paramètres!$A$1:$I$89,3,0)*0.475*44/12</f>
        <v>0</v>
      </c>
      <c r="EC151" s="23">
        <f>EXP(-LN(2)/2)*EC150+(1-EXP(-LN(2)/2))/(LN(2)/2)*DW151*DZ151*VLOOKUP('Données projet'!$B$14,Paramètres!$A$1:$I$89,3,0)*0.475*44/12</f>
        <v>0</v>
      </c>
      <c r="ED151" s="24">
        <f t="shared" si="126"/>
        <v>0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-1.1368683772161603E-13</v>
      </c>
      <c r="EK151" s="18">
        <f>EJ151*VLOOKUP('Données projet'!$B$15,Paramètres!$A$1:$I$89,3,0)*VLOOKUP('Données projet'!$B$15,Paramètres!$A$1:$I$89,5,0)</f>
        <v>-9.2222762759774927E-14</v>
      </c>
      <c r="EL151" s="14" t="e">
        <f t="shared" si="153"/>
        <v>#NUM!</v>
      </c>
      <c r="EM151" s="22" t="e">
        <f t="shared" si="127"/>
        <v>#NUM!</v>
      </c>
      <c r="EN151" s="62" t="e">
        <f t="shared" si="128"/>
        <v>#NUM!</v>
      </c>
      <c r="EO151" s="62">
        <f ca="1">AVERAGE(OFFSET($EN$3,0,0,'Données projet'!$E$15+1,1))-AVERAGE(OFFSET($H$3,0,0,'Données projet'!$E$15+1,1))</f>
        <v>272.69564942740931</v>
      </c>
      <c r="EP151" s="62">
        <f t="shared" si="154"/>
        <v>316.57989180609252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>
        <f>EXP(-LN(2)/35)*EV150+(1-EXP(-LN(2)/35))/(LN(2)/35)*ER151*ES151*VLOOKUP('Données projet'!$B$15,Paramètres!$A$1:$I$89,3,0)*0.475*44/12</f>
        <v>0</v>
      </c>
      <c r="EW151" s="23">
        <f>EXP(-LN(2)/25)*EW150+(1-EXP(-LN(2)/25))/(LN(2)/25)*Calculateur!ER151*Calculateur!ET151*VLOOKUP('Données projet'!$B$15,Paramètres!$A$1:$I$89,3,0)*0.475*44/12</f>
        <v>0</v>
      </c>
      <c r="EX151" s="23">
        <f>EXP(-LN(2)/2)*EX150+(1-EXP(-LN(2)/2))/(LN(2)/2)*ER151*EU151*VLOOKUP('Données projet'!$B$15,Paramètres!$A$1:$I$89,3,0)*0.475*44/12</f>
        <v>0</v>
      </c>
      <c r="EY151" s="24">
        <f t="shared" si="129"/>
        <v>0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-3.4106051316484809E-13</v>
      </c>
      <c r="FF151" s="18">
        <f>FE151*VLOOKUP('Données projet'!$B$16,Paramètres!$A$1:$I$89,3,0)*VLOOKUP('Données projet'!$B$16,Paramètres!$A$1:$I$89,5,0)</f>
        <v>-2.2878339223098009E-13</v>
      </c>
      <c r="FG151" s="14" t="e">
        <f t="shared" si="155"/>
        <v>#NUM!</v>
      </c>
      <c r="FH151" s="22" t="e">
        <f t="shared" si="130"/>
        <v>#NUM!</v>
      </c>
      <c r="FI151" s="62" t="e">
        <f t="shared" si="131"/>
        <v>#NUM!</v>
      </c>
      <c r="FJ151" s="62">
        <f ca="1">AVERAGE(OFFSET($FI$3,0,0,'Données projet'!$E$16+1,1))-AVERAGE(OFFSET($H$3,0,0,'Données projet'!$E$16+1,1))</f>
        <v>440.90856392064205</v>
      </c>
      <c r="FK151" s="62">
        <f t="shared" si="156"/>
        <v>373.33139300970629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>
        <f>EXP(-LN(2)/35)*FQ150+(1-EXP(-LN(2)/35))/(LN(2)/35)*FM151*FN151*VLOOKUP('Données projet'!$B$16,Paramètres!$A$1:$I$89,3,0)*0.475*44/12</f>
        <v>0</v>
      </c>
      <c r="FR151" s="23">
        <f>EXP(-LN(2)/25)*FR150+(1-EXP(-LN(2)/25))/(LN(2)/25)*Calculateur!FM151*Calculateur!FO151*VLOOKUP('Données projet'!$B$16,Paramètres!$A$1:$I$89,3,0)*0.475*44/12</f>
        <v>0</v>
      </c>
      <c r="FS151" s="23">
        <f>EXP(-LN(2)/2)*FS150+(1-EXP(-LN(2)/2))/(LN(2)/2)*FM151*FP151*VLOOKUP('Données projet'!$B$16,Paramètres!$A$1:$I$89,3,0)*0.475*44/12</f>
        <v>0</v>
      </c>
      <c r="FT151" s="24">
        <f t="shared" si="132"/>
        <v>0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70">
        <f t="shared" si="110"/>
        <v>183.33333333333334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3.5</v>
      </c>
      <c r="N152" s="14">
        <f>IF('Données projet'!$A$36&gt;35,N151+M152-V151,IF(A152&lt;'Données projet'!$A$36,$K$205^A152,IF(A152='Données projet'!$A$36,'Données projet'!$B$36,N151+M152-V151)))</f>
        <v>372.49999999999989</v>
      </c>
      <c r="O152" s="14">
        <f>N152*VLOOKUP('Données projet'!$B$9,Paramètres!$A$1:$I$89,3,0)*VLOOKUP('Données projet'!$B$9,Paramètres!$A$1:$I$89,5,0)</f>
        <v>337.0379999999999</v>
      </c>
      <c r="P152" s="14">
        <f t="shared" si="141"/>
        <v>78.887667174891362</v>
      </c>
      <c r="Q152" s="22">
        <f t="shared" si="108"/>
        <v>724.40387032960223</v>
      </c>
      <c r="R152" s="62">
        <f t="shared" si="109"/>
        <v>1010.9796644028953</v>
      </c>
      <c r="S152" s="62">
        <f ca="1">AVERAGE(OFFSET($R$3,0,0,'Données projet'!$E$9+1,1))-AVERAGE(OFFSET($H$3,0,0,'Données projet'!$E$9+1,1))</f>
        <v>570.08763950759544</v>
      </c>
      <c r="T152" s="62">
        <f t="shared" si="142"/>
        <v>297.32483725004136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-2.2737367544323206E-13</v>
      </c>
      <c r="AJ152" s="14">
        <f>AI152*VLOOKUP('Données projet'!$B$10,Paramètres!$A$1:$I$89,3,0)*VLOOKUP('Données projet'!$B$10,Paramètres!$A$1:$I$89,5,0)</f>
        <v>-1.8089849618263545E-13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394.70330963327166</v>
      </c>
      <c r="AO152" s="62">
        <f t="shared" si="144"/>
        <v>424.06445894109982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-2.2737367544323206E-13</v>
      </c>
      <c r="BE152" s="14">
        <f>BD152*VLOOKUP('Données projet'!$B$11,Paramètres!$A$1:$I$89,3,0)*VLOOKUP('Données projet'!$B$11,Paramètres!$A$1:$I$89,5,0)</f>
        <v>-1.6671037883497774E-13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368.54671978064204</v>
      </c>
      <c r="BJ152" s="62">
        <f t="shared" si="146"/>
        <v>395.83504504492237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5.6843418860808015E-14</v>
      </c>
      <c r="BZ152" s="14">
        <f>BY152*VLOOKUP('Données projet'!$B$12,Paramètres!$A$1:$I$89,3,0)*VLOOKUP('Données projet'!$B$12,Paramètres!$A$1:$I$89,5,0)</f>
        <v>4.4337866711430253E-14</v>
      </c>
      <c r="CA152" s="14">
        <f t="shared" si="147"/>
        <v>7.3222115536967035E-13</v>
      </c>
      <c r="CB152" s="22">
        <f t="shared" si="118"/>
        <v>1.3525069634579169E-12</v>
      </c>
      <c r="CC152" s="62">
        <f t="shared" si="119"/>
        <v>286.57579407329445</v>
      </c>
      <c r="CD152" s="62">
        <f ca="1">AVERAGE(OFFSET($CC$3,0,0,'Données projet'!$E$12+1,1))-AVERAGE(OFFSET($H$3,0,0,'Données projet'!$E$12+1,1))</f>
        <v>309.21625451786218</v>
      </c>
      <c r="CE152" s="62">
        <f t="shared" si="148"/>
        <v>302.59481222418219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-2.8421709430404007E-13</v>
      </c>
      <c r="CU152" s="18">
        <f>CT152*VLOOKUP('Données projet'!$B$13,Paramètres!$A$1:$I$89,3,0)*VLOOKUP('Données projet'!$B$13,Paramètres!$A$1:$I$89,5,0)</f>
        <v>-2.7046098693972454E-13</v>
      </c>
      <c r="CV152" s="14" t="e">
        <f t="shared" si="149"/>
        <v>#NUM!</v>
      </c>
      <c r="CW152" s="22" t="e">
        <f t="shared" si="121"/>
        <v>#NUM!</v>
      </c>
      <c r="CX152" s="62" t="e">
        <f t="shared" si="122"/>
        <v>#NUM!</v>
      </c>
      <c r="CY152" s="62">
        <f ca="1">AVERAGE(OFFSET($CX$3,0,0,'Données projet'!$E$13+1,1))-AVERAGE(OFFSET($H$3,0,0,'Données projet'!$E$13+1,1))</f>
        <v>491.87038198656927</v>
      </c>
      <c r="CZ152" s="62">
        <f t="shared" si="150"/>
        <v>406.49261644949559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0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3.5</v>
      </c>
      <c r="DO152" s="13">
        <f>IF('Données projet'!$A$166&gt;35,DO151+DN152-DW151,IF(A152&lt;'Données projet'!$A$166,$DL$205^A152,IF(A152='Données projet'!$A$166,'Données projet'!$B$166,DO151+DN152-DW151)))</f>
        <v>372.49999999999989</v>
      </c>
      <c r="DP152" s="18">
        <f>DO152*VLOOKUP('Données projet'!$B$14,Paramètres!$A$1:$I$89,3,0)*VLOOKUP('Données projet'!$B$14,Paramètres!$A$1:$I$89,5,0)</f>
        <v>360.28199999999993</v>
      </c>
      <c r="DQ152" s="14">
        <f t="shared" si="151"/>
        <v>83.676100958829579</v>
      </c>
      <c r="DR152" s="22">
        <f t="shared" si="124"/>
        <v>773.22702583662794</v>
      </c>
      <c r="DS152" s="62">
        <f t="shared" si="125"/>
        <v>1059.802819909921</v>
      </c>
      <c r="DT152" s="62">
        <f ca="1">AVERAGE(OFFSET($DS$3,0,0,'Données projet'!$E$14+1,1))-AVERAGE(OFFSET($H$3,0,0,'Données projet'!$E$14+1,1))</f>
        <v>603.52431522262032</v>
      </c>
      <c r="DU152" s="62">
        <f t="shared" si="152"/>
        <v>313.56299786481338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projet'!$B$14,Paramètres!$A$1:$I$89,3,0)*0.475*44/12</f>
        <v>0</v>
      </c>
      <c r="EB152" s="23">
        <f>EXP(-LN(2)/25)*EB151+(1-EXP(-LN(2)/25))/(LN(2)/25)*Calculateur!DW152*Calculateur!DY152*VLOOKUP('Données projet'!$B$14,Paramètres!$A$1:$I$89,3,0)*0.475*44/12</f>
        <v>0</v>
      </c>
      <c r="EC152" s="23">
        <f>EXP(-LN(2)/2)*EC151+(1-EXP(-LN(2)/2))/(LN(2)/2)*DW152*DZ152*VLOOKUP('Données projet'!$B$14,Paramètres!$A$1:$I$89,3,0)*0.475*44/12</f>
        <v>0</v>
      </c>
      <c r="ED152" s="24">
        <f t="shared" si="126"/>
        <v>0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-1.1368683772161603E-13</v>
      </c>
      <c r="EK152" s="18">
        <f>EJ152*VLOOKUP('Données projet'!$B$15,Paramètres!$A$1:$I$89,3,0)*VLOOKUP('Données projet'!$B$15,Paramètres!$A$1:$I$89,5,0)</f>
        <v>-9.2222762759774927E-14</v>
      </c>
      <c r="EL152" s="14" t="e">
        <f t="shared" si="153"/>
        <v>#NUM!</v>
      </c>
      <c r="EM152" s="22" t="e">
        <f t="shared" si="127"/>
        <v>#NUM!</v>
      </c>
      <c r="EN152" s="62" t="e">
        <f t="shared" si="128"/>
        <v>#NUM!</v>
      </c>
      <c r="EO152" s="62">
        <f ca="1">AVERAGE(OFFSET($EN$3,0,0,'Données projet'!$E$15+1,1))-AVERAGE(OFFSET($H$3,0,0,'Données projet'!$E$15+1,1))</f>
        <v>272.69564942740931</v>
      </c>
      <c r="EP152" s="62">
        <f t="shared" si="154"/>
        <v>316.57989180609252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>
        <f>EXP(-LN(2)/35)*EV151+(1-EXP(-LN(2)/35))/(LN(2)/35)*ER152*ES152*VLOOKUP('Données projet'!$B$15,Paramètres!$A$1:$I$89,3,0)*0.475*44/12</f>
        <v>0</v>
      </c>
      <c r="EW152" s="23">
        <f>EXP(-LN(2)/25)*EW151+(1-EXP(-LN(2)/25))/(LN(2)/25)*Calculateur!ER152*Calculateur!ET152*VLOOKUP('Données projet'!$B$15,Paramètres!$A$1:$I$89,3,0)*0.475*44/12</f>
        <v>0</v>
      </c>
      <c r="EX152" s="23">
        <f>EXP(-LN(2)/2)*EX151+(1-EXP(-LN(2)/2))/(LN(2)/2)*ER152*EU152*VLOOKUP('Données projet'!$B$15,Paramètres!$A$1:$I$89,3,0)*0.475*44/12</f>
        <v>0</v>
      </c>
      <c r="EY152" s="24">
        <f t="shared" si="129"/>
        <v>0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-3.4106051316484809E-13</v>
      </c>
      <c r="FF152" s="18">
        <f>FE152*VLOOKUP('Données projet'!$B$16,Paramètres!$A$1:$I$89,3,0)*VLOOKUP('Données projet'!$B$16,Paramètres!$A$1:$I$89,5,0)</f>
        <v>-2.2878339223098009E-13</v>
      </c>
      <c r="FG152" s="14" t="e">
        <f t="shared" si="155"/>
        <v>#NUM!</v>
      </c>
      <c r="FH152" s="22" t="e">
        <f t="shared" si="130"/>
        <v>#NUM!</v>
      </c>
      <c r="FI152" s="62" t="e">
        <f t="shared" si="131"/>
        <v>#NUM!</v>
      </c>
      <c r="FJ152" s="62">
        <f ca="1">AVERAGE(OFFSET($FI$3,0,0,'Données projet'!$E$16+1,1))-AVERAGE(OFFSET($H$3,0,0,'Données projet'!$E$16+1,1))</f>
        <v>440.90856392064205</v>
      </c>
      <c r="FK152" s="62">
        <f t="shared" si="156"/>
        <v>373.33139300970629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>
        <f>EXP(-LN(2)/35)*FQ151+(1-EXP(-LN(2)/35))/(LN(2)/35)*FM152*FN152*VLOOKUP('Données projet'!$B$16,Paramètres!$A$1:$I$89,3,0)*0.475*44/12</f>
        <v>0</v>
      </c>
      <c r="FR152" s="23">
        <f>EXP(-LN(2)/25)*FR151+(1-EXP(-LN(2)/25))/(LN(2)/25)*Calculateur!FM152*Calculateur!FO152*VLOOKUP('Données projet'!$B$16,Paramètres!$A$1:$I$89,3,0)*0.475*44/12</f>
        <v>0</v>
      </c>
      <c r="FS152" s="23">
        <f>EXP(-LN(2)/2)*FS151+(1-EXP(-LN(2)/2))/(LN(2)/2)*FM152*FP152*VLOOKUP('Données projet'!$B$16,Paramètres!$A$1:$I$89,3,0)*0.475*44/12</f>
        <v>0</v>
      </c>
      <c r="FT152" s="24">
        <f t="shared" si="132"/>
        <v>0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70">
        <f t="shared" si="110"/>
        <v>183.33333333333334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>
        <f>VLOOKUP(A153,'Données projet'!$A$35:$I$55,2,0)</f>
        <v>376</v>
      </c>
      <c r="L153" s="13">
        <f>VLOOKUP(A153,'Données projet'!$A$35:$I$55,9,0)</f>
        <v>3.5</v>
      </c>
      <c r="M153" s="13">
        <f t="array" ref="M153">INDEX(L:L,MIN(IF(ISNUMBER(L153:L349),ROW(L153:L349),"")))</f>
        <v>3.5</v>
      </c>
      <c r="N153" s="14">
        <f>IF('Données projet'!$A$36&gt;35,N152+M153-V152,IF(A153&lt;'Données projet'!$A$36,$K$205^A153,IF(A153='Données projet'!$A$36,'Données projet'!$B$36,N152+M153-V152)))</f>
        <v>375.99999999999989</v>
      </c>
      <c r="O153" s="14">
        <f>N153*VLOOKUP('Données projet'!$B$9,Paramètres!$A$1:$I$89,3,0)*VLOOKUP('Données projet'!$B$9,Paramètres!$A$1:$I$89,5,0)</f>
        <v>340.20479999999992</v>
      </c>
      <c r="P153" s="14">
        <f t="shared" si="141"/>
        <v>79.542257915424329</v>
      </c>
      <c r="Q153" s="22">
        <f t="shared" si="108"/>
        <v>731.05945920269721</v>
      </c>
      <c r="R153" s="62">
        <f t="shared" si="109"/>
        <v>1017.7524814745575</v>
      </c>
      <c r="S153" s="62">
        <f ca="1">AVERAGE(OFFSET($R$3,0,0,'Données projet'!$E$9+1,1))-AVERAGE(OFFSET($H$3,0,0,'Données projet'!$E$9+1,1))</f>
        <v>570.08763950759544</v>
      </c>
      <c r="T153" s="62">
        <f t="shared" si="142"/>
        <v>297.32483725004136</v>
      </c>
      <c r="U153" s="16">
        <f>IF(ISNA(VLOOKUP(A153,'Données projet'!$A$35:$I$55,3,0)),0,VLOOKUP(A153,'Données projet'!$A$35:$I$55,3,0))</f>
        <v>10</v>
      </c>
      <c r="V153" s="16">
        <f>IF(ISNA(VLOOKUP(A153,'Données projet'!$A$35:$I$55,4,0)),0,VLOOKUP(A153,'Données projet'!$A$35:$I$55,4,0))</f>
        <v>376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-2.2737367544323206E-13</v>
      </c>
      <c r="AJ153" s="14">
        <f>AI153*VLOOKUP('Données projet'!$B$10,Paramètres!$A$1:$I$89,3,0)*VLOOKUP('Données projet'!$B$10,Paramètres!$A$1:$I$89,5,0)</f>
        <v>-1.8089849618263545E-13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394.70330963327166</v>
      </c>
      <c r="AO153" s="62">
        <f t="shared" si="144"/>
        <v>424.06445894109982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-2.2737367544323206E-13</v>
      </c>
      <c r="BE153" s="14">
        <f>BD153*VLOOKUP('Données projet'!$B$11,Paramètres!$A$1:$I$89,3,0)*VLOOKUP('Données projet'!$B$11,Paramètres!$A$1:$I$89,5,0)</f>
        <v>-1.6671037883497774E-13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368.54671978064204</v>
      </c>
      <c r="BJ153" s="62">
        <f t="shared" si="146"/>
        <v>395.83504504492237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5.6843418860808015E-14</v>
      </c>
      <c r="BZ153" s="14">
        <f>BY153*VLOOKUP('Données projet'!$B$12,Paramètres!$A$1:$I$89,3,0)*VLOOKUP('Données projet'!$B$12,Paramètres!$A$1:$I$89,5,0)</f>
        <v>4.4337866711430253E-14</v>
      </c>
      <c r="CA153" s="14">
        <f t="shared" si="147"/>
        <v>7.3222115536967035E-13</v>
      </c>
      <c r="CB153" s="22">
        <f t="shared" si="118"/>
        <v>1.3525069634579169E-12</v>
      </c>
      <c r="CC153" s="62">
        <f t="shared" si="119"/>
        <v>286.69302227186171</v>
      </c>
      <c r="CD153" s="62">
        <f ca="1">AVERAGE(OFFSET($CC$3,0,0,'Données projet'!$E$12+1,1))-AVERAGE(OFFSET($H$3,0,0,'Données projet'!$E$12+1,1))</f>
        <v>309.21625451786218</v>
      </c>
      <c r="CE153" s="62">
        <f t="shared" si="148"/>
        <v>302.59481222418219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-2.8421709430404007E-13</v>
      </c>
      <c r="CU153" s="18">
        <f>CT153*VLOOKUP('Données projet'!$B$13,Paramètres!$A$1:$I$89,3,0)*VLOOKUP('Données projet'!$B$13,Paramètres!$A$1:$I$89,5,0)</f>
        <v>-2.7046098693972454E-13</v>
      </c>
      <c r="CV153" s="14" t="e">
        <f t="shared" si="149"/>
        <v>#NUM!</v>
      </c>
      <c r="CW153" s="22" t="e">
        <f t="shared" si="121"/>
        <v>#NUM!</v>
      </c>
      <c r="CX153" s="62" t="e">
        <f t="shared" si="122"/>
        <v>#NUM!</v>
      </c>
      <c r="CY153" s="62">
        <f ca="1">AVERAGE(OFFSET($CX$3,0,0,'Données projet'!$E$13+1,1))-AVERAGE(OFFSET($H$3,0,0,'Données projet'!$E$13+1,1))</f>
        <v>491.87038198656927</v>
      </c>
      <c r="CZ153" s="62">
        <f t="shared" si="150"/>
        <v>406.49261644949559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0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>
        <f>VLOOKUP(A153,'Données projet'!$A$165:$I$185,2,0)</f>
        <v>376</v>
      </c>
      <c r="DM153" s="13">
        <f>VLOOKUP(A153,'Données projet'!$A$165:$I$185,9,0)</f>
        <v>3.5</v>
      </c>
      <c r="DN153" s="13">
        <f t="array" ref="DN153">INDEX(DM:DM,MIN(IF(ISNUMBER(DM153:DM349),ROW(DM153:DM349),"")))</f>
        <v>3.5</v>
      </c>
      <c r="DO153" s="13">
        <f>IF('Données projet'!$A$166&gt;35,DO152+DN153-DW152,IF(A153&lt;'Données projet'!$A$166,$DL$205^A153,IF(A153='Données projet'!$A$166,'Données projet'!$B$166,DO152+DN153-DW152)))</f>
        <v>375.99999999999989</v>
      </c>
      <c r="DP153" s="18">
        <f>DO153*VLOOKUP('Données projet'!$B$14,Paramètres!$A$1:$I$89,3,0)*VLOOKUP('Données projet'!$B$14,Paramètres!$A$1:$I$89,5,0)</f>
        <v>363.66719999999987</v>
      </c>
      <c r="DQ153" s="14">
        <f t="shared" si="151"/>
        <v>84.370424962226963</v>
      </c>
      <c r="DR153" s="22">
        <f t="shared" si="124"/>
        <v>780.33219680921172</v>
      </c>
      <c r="DS153" s="62">
        <f t="shared" si="125"/>
        <v>1067.025219081072</v>
      </c>
      <c r="DT153" s="62">
        <f ca="1">AVERAGE(OFFSET($DS$3,0,0,'Données projet'!$E$14+1,1))-AVERAGE(OFFSET($H$3,0,0,'Données projet'!$E$14+1,1))</f>
        <v>603.52431522262032</v>
      </c>
      <c r="DU153" s="62">
        <f t="shared" si="152"/>
        <v>313.56299786481338</v>
      </c>
      <c r="DV153" s="16">
        <f>IF(ISNA(VLOOKUP(A153,'Données projet'!$A$165:$I$185,3,0)),0,VLOOKUP(A153,'Données projet'!$A$165:$I$185,3,0))</f>
        <v>10</v>
      </c>
      <c r="DW153" s="16">
        <f>IF(ISNA(VLOOKUP(A153,'Données projet'!$A$165:$I$185,4,0)),0,VLOOKUP(A153,'Données projet'!$A$165:$I$185,4,0))</f>
        <v>376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projet'!$B$14,Paramètres!$A$1:$I$89,3,0)*0.475*44/12</f>
        <v>0</v>
      </c>
      <c r="EB153" s="23">
        <f>EXP(-LN(2)/25)*EB152+(1-EXP(-LN(2)/25))/(LN(2)/25)*Calculateur!DW153*Calculateur!DY153*VLOOKUP('Données projet'!$B$14,Paramètres!$A$1:$I$89,3,0)*0.475*44/12</f>
        <v>0</v>
      </c>
      <c r="EC153" s="23">
        <f>EXP(-LN(2)/2)*EC152+(1-EXP(-LN(2)/2))/(LN(2)/2)*DW153*DZ153*VLOOKUP('Données projet'!$B$14,Paramètres!$A$1:$I$89,3,0)*0.475*44/12</f>
        <v>0</v>
      </c>
      <c r="ED153" s="24">
        <f t="shared" si="126"/>
        <v>0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-1.1368683772161603E-13</v>
      </c>
      <c r="EK153" s="18">
        <f>EJ153*VLOOKUP('Données projet'!$B$15,Paramètres!$A$1:$I$89,3,0)*VLOOKUP('Données projet'!$B$15,Paramètres!$A$1:$I$89,5,0)</f>
        <v>-9.2222762759774927E-14</v>
      </c>
      <c r="EL153" s="14" t="e">
        <f t="shared" si="153"/>
        <v>#NUM!</v>
      </c>
      <c r="EM153" s="22" t="e">
        <f t="shared" si="127"/>
        <v>#NUM!</v>
      </c>
      <c r="EN153" s="62" t="e">
        <f t="shared" si="128"/>
        <v>#NUM!</v>
      </c>
      <c r="EO153" s="62">
        <f ca="1">AVERAGE(OFFSET($EN$3,0,0,'Données projet'!$E$15+1,1))-AVERAGE(OFFSET($H$3,0,0,'Données projet'!$E$15+1,1))</f>
        <v>272.69564942740931</v>
      </c>
      <c r="EP153" s="62">
        <f t="shared" si="154"/>
        <v>316.57989180609252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>
        <f>EXP(-LN(2)/35)*EV152+(1-EXP(-LN(2)/35))/(LN(2)/35)*ER153*ES153*VLOOKUP('Données projet'!$B$15,Paramètres!$A$1:$I$89,3,0)*0.475*44/12</f>
        <v>0</v>
      </c>
      <c r="EW153" s="23">
        <f>EXP(-LN(2)/25)*EW152+(1-EXP(-LN(2)/25))/(LN(2)/25)*Calculateur!ER153*Calculateur!ET153*VLOOKUP('Données projet'!$B$15,Paramètres!$A$1:$I$89,3,0)*0.475*44/12</f>
        <v>0</v>
      </c>
      <c r="EX153" s="23">
        <f>EXP(-LN(2)/2)*EX152+(1-EXP(-LN(2)/2))/(LN(2)/2)*ER153*EU153*VLOOKUP('Données projet'!$B$15,Paramètres!$A$1:$I$89,3,0)*0.475*44/12</f>
        <v>0</v>
      </c>
      <c r="EY153" s="24">
        <f t="shared" si="129"/>
        <v>0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-3.4106051316484809E-13</v>
      </c>
      <c r="FF153" s="18">
        <f>FE153*VLOOKUP('Données projet'!$B$16,Paramètres!$A$1:$I$89,3,0)*VLOOKUP('Données projet'!$B$16,Paramètres!$A$1:$I$89,5,0)</f>
        <v>-2.2878339223098009E-13</v>
      </c>
      <c r="FG153" s="14" t="e">
        <f t="shared" si="155"/>
        <v>#NUM!</v>
      </c>
      <c r="FH153" s="22" t="e">
        <f t="shared" si="130"/>
        <v>#NUM!</v>
      </c>
      <c r="FI153" s="62" t="e">
        <f t="shared" si="131"/>
        <v>#NUM!</v>
      </c>
      <c r="FJ153" s="62">
        <f ca="1">AVERAGE(OFFSET($FI$3,0,0,'Données projet'!$E$16+1,1))-AVERAGE(OFFSET($H$3,0,0,'Données projet'!$E$16+1,1))</f>
        <v>440.90856392064205</v>
      </c>
      <c r="FK153" s="62">
        <f t="shared" si="156"/>
        <v>373.33139300970629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>
        <f>EXP(-LN(2)/35)*FQ152+(1-EXP(-LN(2)/35))/(LN(2)/35)*FM153*FN153*VLOOKUP('Données projet'!$B$16,Paramètres!$A$1:$I$89,3,0)*0.475*44/12</f>
        <v>0</v>
      </c>
      <c r="FR153" s="23">
        <f>EXP(-LN(2)/25)*FR152+(1-EXP(-LN(2)/25))/(LN(2)/25)*Calculateur!FM153*Calculateur!FO153*VLOOKUP('Données projet'!$B$16,Paramètres!$A$1:$I$89,3,0)*0.475*44/12</f>
        <v>0</v>
      </c>
      <c r="FS153" s="23">
        <f>EXP(-LN(2)/2)*FS152+(1-EXP(-LN(2)/2))/(LN(2)/2)*FM153*FP153*VLOOKUP('Données projet'!$B$16,Paramètres!$A$1:$I$89,3,0)*0.475*44/12</f>
        <v>0</v>
      </c>
      <c r="FT153" s="24">
        <f t="shared" si="132"/>
        <v>0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70">
        <f t="shared" si="110"/>
        <v>183.33333333333334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-1.1368683772161603E-13</v>
      </c>
      <c r="O154" s="14">
        <f>N154*VLOOKUP('Données projet'!$B$9,Paramètres!$A$1:$I$89,3,0)*VLOOKUP('Données projet'!$B$9,Paramètres!$A$1:$I$89,5,0)</f>
        <v>-1.0286385077051818E-13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570.08763950759544</v>
      </c>
      <c r="T154" s="62">
        <f t="shared" si="142"/>
        <v>297.32483725004136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-2.2737367544323206E-13</v>
      </c>
      <c r="AJ154" s="14">
        <f>AI154*VLOOKUP('Données projet'!$B$10,Paramètres!$A$1:$I$89,3,0)*VLOOKUP('Données projet'!$B$10,Paramètres!$A$1:$I$89,5,0)</f>
        <v>-1.8089849618263545E-13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394.70330963327166</v>
      </c>
      <c r="AO154" s="62">
        <f t="shared" si="144"/>
        <v>424.06445894109982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-2.2737367544323206E-13</v>
      </c>
      <c r="BE154" s="14">
        <f>BD154*VLOOKUP('Données projet'!$B$11,Paramètres!$A$1:$I$89,3,0)*VLOOKUP('Données projet'!$B$11,Paramètres!$A$1:$I$89,5,0)</f>
        <v>-1.6671037883497774E-13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368.54671978064204</v>
      </c>
      <c r="BJ154" s="62">
        <f t="shared" si="146"/>
        <v>395.83504504492237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5.6843418860808015E-14</v>
      </c>
      <c r="BZ154" s="14">
        <f>BY154*VLOOKUP('Données projet'!$B$12,Paramètres!$A$1:$I$89,3,0)*VLOOKUP('Données projet'!$B$12,Paramètres!$A$1:$I$89,5,0)</f>
        <v>4.4337866711430253E-14</v>
      </c>
      <c r="CA154" s="14">
        <f t="shared" ref="CA154:CA203" si="170">EXP(-1.0587+0.8836*LN(BZ154)+0.284)</f>
        <v>7.3222115536967035E-13</v>
      </c>
      <c r="CB154" s="22">
        <f t="shared" ref="CB154:CB203" si="171">(BZ154+CA154)*0.475*44/12</f>
        <v>1.3525069634579169E-12</v>
      </c>
      <c r="CC154" s="62">
        <f t="shared" si="119"/>
        <v>286.80821682326672</v>
      </c>
      <c r="CD154" s="62">
        <f ca="1">AVERAGE(OFFSET($CC$3,0,0,'Données projet'!$E$12+1,1))-AVERAGE(OFFSET($H$3,0,0,'Données projet'!$E$12+1,1))</f>
        <v>309.21625451786218</v>
      </c>
      <c r="CE154" s="62">
        <f t="shared" si="148"/>
        <v>302.59481222418219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-2.8421709430404007E-13</v>
      </c>
      <c r="CU154" s="18">
        <f>CT154*VLOOKUP('Données projet'!$B$13,Paramètres!$A$1:$I$89,3,0)*VLOOKUP('Données projet'!$B$13,Paramètres!$A$1:$I$89,5,0)</f>
        <v>-2.7046098693972454E-13</v>
      </c>
      <c r="CV154" s="14" t="e">
        <f t="shared" ref="CV154:CV203" si="173">EXP(-1.0587+0.8836*LN(CU154)+0.284)</f>
        <v>#NUM!</v>
      </c>
      <c r="CW154" s="22" t="e">
        <f t="shared" ref="CW154:CW203" si="174">(CU154+CV154)*0.475*44/12</f>
        <v>#NUM!</v>
      </c>
      <c r="CX154" s="62" t="e">
        <f t="shared" si="122"/>
        <v>#NUM!</v>
      </c>
      <c r="CY154" s="62">
        <f ca="1">AVERAGE(OFFSET($CX$3,0,0,'Données projet'!$E$13+1,1))-AVERAGE(OFFSET($H$3,0,0,'Données projet'!$E$13+1,1))</f>
        <v>491.87038198656927</v>
      </c>
      <c r="CZ154" s="62">
        <f t="shared" si="150"/>
        <v>406.49261644949559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0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-1.1368683772161603E-13</v>
      </c>
      <c r="DP154" s="18">
        <f>DO154*VLOOKUP('Données projet'!$B$14,Paramètres!$A$1:$I$89,3,0)*VLOOKUP('Données projet'!$B$14,Paramètres!$A$1:$I$89,5,0)</f>
        <v>-1.0995790944434703E-13</v>
      </c>
      <c r="DQ154" s="14" t="e">
        <f t="shared" ref="DQ154:DQ203" si="176">EXP(-1.0587+0.8836*LN(DP154)+0.284)</f>
        <v>#NUM!</v>
      </c>
      <c r="DR154" s="22" t="e">
        <f t="shared" ref="DR154:DR203" si="177">(DP154+DQ154)*0.475*44/12</f>
        <v>#NUM!</v>
      </c>
      <c r="DS154" s="62" t="e">
        <f t="shared" si="125"/>
        <v>#NUM!</v>
      </c>
      <c r="DT154" s="62">
        <f ca="1">AVERAGE(OFFSET($DS$3,0,0,'Données projet'!$E$14+1,1))-AVERAGE(OFFSET($H$3,0,0,'Données projet'!$E$14+1,1))</f>
        <v>603.52431522262032</v>
      </c>
      <c r="DU154" s="62">
        <f t="shared" si="152"/>
        <v>313.56299786481338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projet'!$B$14,Paramètres!$A$1:$I$89,3,0)*0.475*44/12</f>
        <v>0</v>
      </c>
      <c r="EB154" s="23">
        <f>EXP(-LN(2)/25)*EB153+(1-EXP(-LN(2)/25))/(LN(2)/25)*Calculateur!DW154*Calculateur!DY154*VLOOKUP('Données projet'!$B$14,Paramètres!$A$1:$I$89,3,0)*0.475*44/12</f>
        <v>0</v>
      </c>
      <c r="EC154" s="23">
        <f>EXP(-LN(2)/2)*EC153+(1-EXP(-LN(2)/2))/(LN(2)/2)*DW154*DZ154*VLOOKUP('Données projet'!$B$14,Paramètres!$A$1:$I$89,3,0)*0.475*44/12</f>
        <v>0</v>
      </c>
      <c r="ED154" s="24">
        <f t="shared" ref="ED154:ED203" si="178">SUM(EA154:EC154)</f>
        <v>0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-1.1368683772161603E-13</v>
      </c>
      <c r="EK154" s="18">
        <f>EJ154*VLOOKUP('Données projet'!$B$15,Paramètres!$A$1:$I$89,3,0)*VLOOKUP('Données projet'!$B$15,Paramètres!$A$1:$I$89,5,0)</f>
        <v>-9.2222762759774927E-14</v>
      </c>
      <c r="EL154" s="14" t="e">
        <f t="shared" ref="EL154:EL203" si="179">EXP(-1.0587+0.8836*LN(EK154)+0.284)</f>
        <v>#NUM!</v>
      </c>
      <c r="EM154" s="22" t="e">
        <f t="shared" ref="EM154:EM203" si="180">(EK154+EL154)*0.475*44/12</f>
        <v>#NUM!</v>
      </c>
      <c r="EN154" s="62" t="e">
        <f t="shared" si="128"/>
        <v>#NUM!</v>
      </c>
      <c r="EO154" s="62">
        <f ca="1">AVERAGE(OFFSET($EN$3,0,0,'Données projet'!$E$15+1,1))-AVERAGE(OFFSET($H$3,0,0,'Données projet'!$E$15+1,1))</f>
        <v>272.69564942740931</v>
      </c>
      <c r="EP154" s="62">
        <f t="shared" si="154"/>
        <v>316.57989180609252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>
        <f>EXP(-LN(2)/35)*EV153+(1-EXP(-LN(2)/35))/(LN(2)/35)*ER154*ES154*VLOOKUP('Données projet'!$B$15,Paramètres!$A$1:$I$89,3,0)*0.475*44/12</f>
        <v>0</v>
      </c>
      <c r="EW154" s="23">
        <f>EXP(-LN(2)/25)*EW153+(1-EXP(-LN(2)/25))/(LN(2)/25)*Calculateur!ER154*Calculateur!ET154*VLOOKUP('Données projet'!$B$15,Paramètres!$A$1:$I$89,3,0)*0.475*44/12</f>
        <v>0</v>
      </c>
      <c r="EX154" s="23">
        <f>EXP(-LN(2)/2)*EX153+(1-EXP(-LN(2)/2))/(LN(2)/2)*ER154*EU154*VLOOKUP('Données projet'!$B$15,Paramètres!$A$1:$I$89,3,0)*0.475*44/12</f>
        <v>0</v>
      </c>
      <c r="EY154" s="24">
        <f t="shared" ref="EY154:EY203" si="181">SUM(EV154:EX154)</f>
        <v>0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-3.4106051316484809E-13</v>
      </c>
      <c r="FF154" s="18">
        <f>FE154*VLOOKUP('Données projet'!$B$16,Paramètres!$A$1:$I$89,3,0)*VLOOKUP('Données projet'!$B$16,Paramètres!$A$1:$I$89,5,0)</f>
        <v>-2.2878339223098009E-13</v>
      </c>
      <c r="FG154" s="14" t="e">
        <f t="shared" ref="FG154:FG203" si="182">EXP(-1.0587+0.8836*LN(FF154)+0.284)</f>
        <v>#NUM!</v>
      </c>
      <c r="FH154" s="22" t="e">
        <f t="shared" ref="FH154:FH203" si="183">(FF154+FG154)*0.475*44/12</f>
        <v>#NUM!</v>
      </c>
      <c r="FI154" s="62" t="e">
        <f t="shared" si="131"/>
        <v>#NUM!</v>
      </c>
      <c r="FJ154" s="62">
        <f ca="1">AVERAGE(OFFSET($FI$3,0,0,'Données projet'!$E$16+1,1))-AVERAGE(OFFSET($H$3,0,0,'Données projet'!$E$16+1,1))</f>
        <v>440.90856392064205</v>
      </c>
      <c r="FK154" s="62">
        <f t="shared" si="156"/>
        <v>373.33139300970629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>
        <f>EXP(-LN(2)/35)*FQ153+(1-EXP(-LN(2)/35))/(LN(2)/35)*FM154*FN154*VLOOKUP('Données projet'!$B$16,Paramètres!$A$1:$I$89,3,0)*0.475*44/12</f>
        <v>0</v>
      </c>
      <c r="FR154" s="23">
        <f>EXP(-LN(2)/25)*FR153+(1-EXP(-LN(2)/25))/(LN(2)/25)*Calculateur!FM154*Calculateur!FO154*VLOOKUP('Données projet'!$B$16,Paramètres!$A$1:$I$89,3,0)*0.475*44/12</f>
        <v>0</v>
      </c>
      <c r="FS154" s="23">
        <f>EXP(-LN(2)/2)*FS153+(1-EXP(-LN(2)/2))/(LN(2)/2)*FM154*FP154*VLOOKUP('Données projet'!$B$16,Paramètres!$A$1:$I$89,3,0)*0.475*44/12</f>
        <v>0</v>
      </c>
      <c r="FT154" s="24">
        <f t="shared" ref="FT154:FT203" si="184">SUM(FQ154:FS154)</f>
        <v>0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70">
        <f t="shared" si="110"/>
        <v>183.33333333333334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-1.1368683772161603E-13</v>
      </c>
      <c r="O155" s="14">
        <f>N155*VLOOKUP('Données projet'!$B$9,Paramètres!$A$1:$I$89,3,0)*VLOOKUP('Données projet'!$B$9,Paramètres!$A$1:$I$89,5,0)</f>
        <v>-1.0286385077051818E-13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570.08763950759544</v>
      </c>
      <c r="T155" s="62">
        <f t="shared" si="142"/>
        <v>297.32483725004136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-2.2737367544323206E-13</v>
      </c>
      <c r="AJ155" s="14">
        <f>AI155*VLOOKUP('Données projet'!$B$10,Paramètres!$A$1:$I$89,3,0)*VLOOKUP('Données projet'!$B$10,Paramètres!$A$1:$I$89,5,0)</f>
        <v>-1.8089849618263545E-13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394.70330963327166</v>
      </c>
      <c r="AO155" s="62">
        <f t="shared" si="144"/>
        <v>424.06445894109982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-2.2737367544323206E-13</v>
      </c>
      <c r="BE155" s="14">
        <f>BD155*VLOOKUP('Données projet'!$B$11,Paramètres!$A$1:$I$89,3,0)*VLOOKUP('Données projet'!$B$11,Paramètres!$A$1:$I$89,5,0)</f>
        <v>-1.6671037883497774E-13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368.54671978064204</v>
      </c>
      <c r="BJ155" s="62">
        <f t="shared" si="146"/>
        <v>395.83504504492237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5.6843418860808015E-14</v>
      </c>
      <c r="BZ155" s="14">
        <f>BY155*VLOOKUP('Données projet'!$B$12,Paramètres!$A$1:$I$89,3,0)*VLOOKUP('Données projet'!$B$12,Paramètres!$A$1:$I$89,5,0)</f>
        <v>4.4337866711430253E-14</v>
      </c>
      <c r="CA155" s="14">
        <f t="shared" si="170"/>
        <v>7.3222115536967035E-13</v>
      </c>
      <c r="CB155" s="22">
        <f t="shared" si="171"/>
        <v>1.3525069634579169E-12</v>
      </c>
      <c r="CC155" s="62">
        <f t="shared" si="119"/>
        <v>286.92141300674126</v>
      </c>
      <c r="CD155" s="62">
        <f ca="1">AVERAGE(OFFSET($CC$3,0,0,'Données projet'!$E$12+1,1))-AVERAGE(OFFSET($H$3,0,0,'Données projet'!$E$12+1,1))</f>
        <v>309.21625451786218</v>
      </c>
      <c r="CE155" s="62">
        <f t="shared" si="148"/>
        <v>302.59481222418219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-2.8421709430404007E-13</v>
      </c>
      <c r="CU155" s="18">
        <f>CT155*VLOOKUP('Données projet'!$B$13,Paramètres!$A$1:$I$89,3,0)*VLOOKUP('Données projet'!$B$13,Paramètres!$A$1:$I$89,5,0)</f>
        <v>-2.7046098693972454E-13</v>
      </c>
      <c r="CV155" s="14" t="e">
        <f t="shared" si="173"/>
        <v>#NUM!</v>
      </c>
      <c r="CW155" s="22" t="e">
        <f t="shared" si="174"/>
        <v>#NUM!</v>
      </c>
      <c r="CX155" s="62" t="e">
        <f t="shared" si="122"/>
        <v>#NUM!</v>
      </c>
      <c r="CY155" s="62">
        <f ca="1">AVERAGE(OFFSET($CX$3,0,0,'Données projet'!$E$13+1,1))-AVERAGE(OFFSET($H$3,0,0,'Données projet'!$E$13+1,1))</f>
        <v>491.87038198656927</v>
      </c>
      <c r="CZ155" s="62">
        <f t="shared" si="150"/>
        <v>406.49261644949559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0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-1.1368683772161603E-13</v>
      </c>
      <c r="DP155" s="18">
        <f>DO155*VLOOKUP('Données projet'!$B$14,Paramètres!$A$1:$I$89,3,0)*VLOOKUP('Données projet'!$B$14,Paramètres!$A$1:$I$89,5,0)</f>
        <v>-1.0995790944434703E-13</v>
      </c>
      <c r="DQ155" s="14" t="e">
        <f t="shared" si="176"/>
        <v>#NUM!</v>
      </c>
      <c r="DR155" s="22" t="e">
        <f t="shared" si="177"/>
        <v>#NUM!</v>
      </c>
      <c r="DS155" s="62" t="e">
        <f t="shared" si="125"/>
        <v>#NUM!</v>
      </c>
      <c r="DT155" s="62">
        <f ca="1">AVERAGE(OFFSET($DS$3,0,0,'Données projet'!$E$14+1,1))-AVERAGE(OFFSET($H$3,0,0,'Données projet'!$E$14+1,1))</f>
        <v>603.52431522262032</v>
      </c>
      <c r="DU155" s="62">
        <f t="shared" si="152"/>
        <v>313.56299786481338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projet'!$B$14,Paramètres!$A$1:$I$89,3,0)*0.475*44/12</f>
        <v>0</v>
      </c>
      <c r="EB155" s="23">
        <f>EXP(-LN(2)/25)*EB154+(1-EXP(-LN(2)/25))/(LN(2)/25)*Calculateur!DW155*Calculateur!DY155*VLOOKUP('Données projet'!$B$14,Paramètres!$A$1:$I$89,3,0)*0.475*44/12</f>
        <v>0</v>
      </c>
      <c r="EC155" s="23">
        <f>EXP(-LN(2)/2)*EC154+(1-EXP(-LN(2)/2))/(LN(2)/2)*DW155*DZ155*VLOOKUP('Données projet'!$B$14,Paramètres!$A$1:$I$89,3,0)*0.475*44/12</f>
        <v>0</v>
      </c>
      <c r="ED155" s="24">
        <f t="shared" si="178"/>
        <v>0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-1.1368683772161603E-13</v>
      </c>
      <c r="EK155" s="18">
        <f>EJ155*VLOOKUP('Données projet'!$B$15,Paramètres!$A$1:$I$89,3,0)*VLOOKUP('Données projet'!$B$15,Paramètres!$A$1:$I$89,5,0)</f>
        <v>-9.2222762759774927E-14</v>
      </c>
      <c r="EL155" s="14" t="e">
        <f t="shared" si="179"/>
        <v>#NUM!</v>
      </c>
      <c r="EM155" s="22" t="e">
        <f t="shared" si="180"/>
        <v>#NUM!</v>
      </c>
      <c r="EN155" s="62" t="e">
        <f t="shared" si="128"/>
        <v>#NUM!</v>
      </c>
      <c r="EO155" s="62">
        <f ca="1">AVERAGE(OFFSET($EN$3,0,0,'Données projet'!$E$15+1,1))-AVERAGE(OFFSET($H$3,0,0,'Données projet'!$E$15+1,1))</f>
        <v>272.69564942740931</v>
      </c>
      <c r="EP155" s="62">
        <f t="shared" si="154"/>
        <v>316.57989180609252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>
        <f>EXP(-LN(2)/35)*EV154+(1-EXP(-LN(2)/35))/(LN(2)/35)*ER155*ES155*VLOOKUP('Données projet'!$B$15,Paramètres!$A$1:$I$89,3,0)*0.475*44/12</f>
        <v>0</v>
      </c>
      <c r="EW155" s="23">
        <f>EXP(-LN(2)/25)*EW154+(1-EXP(-LN(2)/25))/(LN(2)/25)*Calculateur!ER155*Calculateur!ET155*VLOOKUP('Données projet'!$B$15,Paramètres!$A$1:$I$89,3,0)*0.475*44/12</f>
        <v>0</v>
      </c>
      <c r="EX155" s="23">
        <f>EXP(-LN(2)/2)*EX154+(1-EXP(-LN(2)/2))/(LN(2)/2)*ER155*EU155*VLOOKUP('Données projet'!$B$15,Paramètres!$A$1:$I$89,3,0)*0.475*44/12</f>
        <v>0</v>
      </c>
      <c r="EY155" s="24">
        <f t="shared" si="181"/>
        <v>0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-3.4106051316484809E-13</v>
      </c>
      <c r="FF155" s="18">
        <f>FE155*VLOOKUP('Données projet'!$B$16,Paramètres!$A$1:$I$89,3,0)*VLOOKUP('Données projet'!$B$16,Paramètres!$A$1:$I$89,5,0)</f>
        <v>-2.2878339223098009E-13</v>
      </c>
      <c r="FG155" s="14" t="e">
        <f t="shared" si="182"/>
        <v>#NUM!</v>
      </c>
      <c r="FH155" s="22" t="e">
        <f t="shared" si="183"/>
        <v>#NUM!</v>
      </c>
      <c r="FI155" s="62" t="e">
        <f t="shared" si="131"/>
        <v>#NUM!</v>
      </c>
      <c r="FJ155" s="62">
        <f ca="1">AVERAGE(OFFSET($FI$3,0,0,'Données projet'!$E$16+1,1))-AVERAGE(OFFSET($H$3,0,0,'Données projet'!$E$16+1,1))</f>
        <v>440.90856392064205</v>
      </c>
      <c r="FK155" s="62">
        <f t="shared" si="156"/>
        <v>373.33139300970629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>
        <f>EXP(-LN(2)/35)*FQ154+(1-EXP(-LN(2)/35))/(LN(2)/35)*FM155*FN155*VLOOKUP('Données projet'!$B$16,Paramètres!$A$1:$I$89,3,0)*0.475*44/12</f>
        <v>0</v>
      </c>
      <c r="FR155" s="23">
        <f>EXP(-LN(2)/25)*FR154+(1-EXP(-LN(2)/25))/(LN(2)/25)*Calculateur!FM155*Calculateur!FO155*VLOOKUP('Données projet'!$B$16,Paramètres!$A$1:$I$89,3,0)*0.475*44/12</f>
        <v>0</v>
      </c>
      <c r="FS155" s="23">
        <f>EXP(-LN(2)/2)*FS154+(1-EXP(-LN(2)/2))/(LN(2)/2)*FM155*FP155*VLOOKUP('Données projet'!$B$16,Paramètres!$A$1:$I$89,3,0)*0.475*44/12</f>
        <v>0</v>
      </c>
      <c r="FT155" s="24">
        <f t="shared" si="184"/>
        <v>0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70">
        <f t="shared" si="110"/>
        <v>183.33333333333334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-1.1368683772161603E-13</v>
      </c>
      <c r="O156" s="14">
        <f>N156*VLOOKUP('Données projet'!$B$9,Paramètres!$A$1:$I$89,3,0)*VLOOKUP('Données projet'!$B$9,Paramètres!$A$1:$I$89,5,0)</f>
        <v>-1.0286385077051818E-13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570.08763950759544</v>
      </c>
      <c r="T156" s="62">
        <f t="shared" si="142"/>
        <v>297.32483725004136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-2.2737367544323206E-13</v>
      </c>
      <c r="AJ156" s="14">
        <f>AI156*VLOOKUP('Données projet'!$B$10,Paramètres!$A$1:$I$89,3,0)*VLOOKUP('Données projet'!$B$10,Paramètres!$A$1:$I$89,5,0)</f>
        <v>-1.8089849618263545E-13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394.70330963327166</v>
      </c>
      <c r="AO156" s="62">
        <f t="shared" si="144"/>
        <v>424.06445894109982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-2.2737367544323206E-13</v>
      </c>
      <c r="BE156" s="14">
        <f>BD156*VLOOKUP('Données projet'!$B$11,Paramètres!$A$1:$I$89,3,0)*VLOOKUP('Données projet'!$B$11,Paramètres!$A$1:$I$89,5,0)</f>
        <v>-1.6671037883497774E-13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368.54671978064204</v>
      </c>
      <c r="BJ156" s="62">
        <f t="shared" si="146"/>
        <v>395.83504504492237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5.6843418860808015E-14</v>
      </c>
      <c r="BZ156" s="14">
        <f>BY156*VLOOKUP('Données projet'!$B$12,Paramètres!$A$1:$I$89,3,0)*VLOOKUP('Données projet'!$B$12,Paramètres!$A$1:$I$89,5,0)</f>
        <v>4.4337866711430253E-14</v>
      </c>
      <c r="CA156" s="14">
        <f t="shared" si="170"/>
        <v>7.3222115536967035E-13</v>
      </c>
      <c r="CB156" s="22">
        <f t="shared" si="171"/>
        <v>1.3525069634579169E-12</v>
      </c>
      <c r="CC156" s="62">
        <f t="shared" si="119"/>
        <v>287.03264548950136</v>
      </c>
      <c r="CD156" s="62">
        <f ca="1">AVERAGE(OFFSET($CC$3,0,0,'Données projet'!$E$12+1,1))-AVERAGE(OFFSET($H$3,0,0,'Données projet'!$E$12+1,1))</f>
        <v>309.21625451786218</v>
      </c>
      <c r="CE156" s="62">
        <f t="shared" si="148"/>
        <v>302.59481222418219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-2.8421709430404007E-13</v>
      </c>
      <c r="CU156" s="18">
        <f>CT156*VLOOKUP('Données projet'!$B$13,Paramètres!$A$1:$I$89,3,0)*VLOOKUP('Données projet'!$B$13,Paramètres!$A$1:$I$89,5,0)</f>
        <v>-2.7046098693972454E-13</v>
      </c>
      <c r="CV156" s="14" t="e">
        <f t="shared" si="173"/>
        <v>#NUM!</v>
      </c>
      <c r="CW156" s="22" t="e">
        <f t="shared" si="174"/>
        <v>#NUM!</v>
      </c>
      <c r="CX156" s="62" t="e">
        <f t="shared" si="122"/>
        <v>#NUM!</v>
      </c>
      <c r="CY156" s="62">
        <f ca="1">AVERAGE(OFFSET($CX$3,0,0,'Données projet'!$E$13+1,1))-AVERAGE(OFFSET($H$3,0,0,'Données projet'!$E$13+1,1))</f>
        <v>491.87038198656927</v>
      </c>
      <c r="CZ156" s="62">
        <f t="shared" si="150"/>
        <v>406.49261644949559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0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-1.1368683772161603E-13</v>
      </c>
      <c r="DP156" s="18">
        <f>DO156*VLOOKUP('Données projet'!$B$14,Paramètres!$A$1:$I$89,3,0)*VLOOKUP('Données projet'!$B$14,Paramètres!$A$1:$I$89,5,0)</f>
        <v>-1.0995790944434703E-13</v>
      </c>
      <c r="DQ156" s="14" t="e">
        <f t="shared" si="176"/>
        <v>#NUM!</v>
      </c>
      <c r="DR156" s="22" t="e">
        <f t="shared" si="177"/>
        <v>#NUM!</v>
      </c>
      <c r="DS156" s="62" t="e">
        <f t="shared" si="125"/>
        <v>#NUM!</v>
      </c>
      <c r="DT156" s="62">
        <f ca="1">AVERAGE(OFFSET($DS$3,0,0,'Données projet'!$E$14+1,1))-AVERAGE(OFFSET($H$3,0,0,'Données projet'!$E$14+1,1))</f>
        <v>603.52431522262032</v>
      </c>
      <c r="DU156" s="62">
        <f t="shared" si="152"/>
        <v>313.56299786481338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projet'!$B$14,Paramètres!$A$1:$I$89,3,0)*0.475*44/12</f>
        <v>0</v>
      </c>
      <c r="EB156" s="23">
        <f>EXP(-LN(2)/25)*EB155+(1-EXP(-LN(2)/25))/(LN(2)/25)*Calculateur!DW156*Calculateur!DY156*VLOOKUP('Données projet'!$B$14,Paramètres!$A$1:$I$89,3,0)*0.475*44/12</f>
        <v>0</v>
      </c>
      <c r="EC156" s="23">
        <f>EXP(-LN(2)/2)*EC155+(1-EXP(-LN(2)/2))/(LN(2)/2)*DW156*DZ156*VLOOKUP('Données projet'!$B$14,Paramètres!$A$1:$I$89,3,0)*0.475*44/12</f>
        <v>0</v>
      </c>
      <c r="ED156" s="24">
        <f t="shared" si="178"/>
        <v>0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-1.1368683772161603E-13</v>
      </c>
      <c r="EK156" s="18">
        <f>EJ156*VLOOKUP('Données projet'!$B$15,Paramètres!$A$1:$I$89,3,0)*VLOOKUP('Données projet'!$B$15,Paramètres!$A$1:$I$89,5,0)</f>
        <v>-9.2222762759774927E-14</v>
      </c>
      <c r="EL156" s="14" t="e">
        <f t="shared" si="179"/>
        <v>#NUM!</v>
      </c>
      <c r="EM156" s="22" t="e">
        <f t="shared" si="180"/>
        <v>#NUM!</v>
      </c>
      <c r="EN156" s="62" t="e">
        <f t="shared" si="128"/>
        <v>#NUM!</v>
      </c>
      <c r="EO156" s="62">
        <f ca="1">AVERAGE(OFFSET($EN$3,0,0,'Données projet'!$E$15+1,1))-AVERAGE(OFFSET($H$3,0,0,'Données projet'!$E$15+1,1))</f>
        <v>272.69564942740931</v>
      </c>
      <c r="EP156" s="62">
        <f t="shared" si="154"/>
        <v>316.57989180609252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>
        <f>EXP(-LN(2)/35)*EV155+(1-EXP(-LN(2)/35))/(LN(2)/35)*ER156*ES156*VLOOKUP('Données projet'!$B$15,Paramètres!$A$1:$I$89,3,0)*0.475*44/12</f>
        <v>0</v>
      </c>
      <c r="EW156" s="23">
        <f>EXP(-LN(2)/25)*EW155+(1-EXP(-LN(2)/25))/(LN(2)/25)*Calculateur!ER156*Calculateur!ET156*VLOOKUP('Données projet'!$B$15,Paramètres!$A$1:$I$89,3,0)*0.475*44/12</f>
        <v>0</v>
      </c>
      <c r="EX156" s="23">
        <f>EXP(-LN(2)/2)*EX155+(1-EXP(-LN(2)/2))/(LN(2)/2)*ER156*EU156*VLOOKUP('Données projet'!$B$15,Paramètres!$A$1:$I$89,3,0)*0.475*44/12</f>
        <v>0</v>
      </c>
      <c r="EY156" s="24">
        <f t="shared" si="181"/>
        <v>0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-3.4106051316484809E-13</v>
      </c>
      <c r="FF156" s="18">
        <f>FE156*VLOOKUP('Données projet'!$B$16,Paramètres!$A$1:$I$89,3,0)*VLOOKUP('Données projet'!$B$16,Paramètres!$A$1:$I$89,5,0)</f>
        <v>-2.2878339223098009E-13</v>
      </c>
      <c r="FG156" s="14" t="e">
        <f t="shared" si="182"/>
        <v>#NUM!</v>
      </c>
      <c r="FH156" s="22" t="e">
        <f t="shared" si="183"/>
        <v>#NUM!</v>
      </c>
      <c r="FI156" s="62" t="e">
        <f t="shared" si="131"/>
        <v>#NUM!</v>
      </c>
      <c r="FJ156" s="62">
        <f ca="1">AVERAGE(OFFSET($FI$3,0,0,'Données projet'!$E$16+1,1))-AVERAGE(OFFSET($H$3,0,0,'Données projet'!$E$16+1,1))</f>
        <v>440.90856392064205</v>
      </c>
      <c r="FK156" s="62">
        <f t="shared" si="156"/>
        <v>373.33139300970629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>
        <f>EXP(-LN(2)/35)*FQ155+(1-EXP(-LN(2)/35))/(LN(2)/35)*FM156*FN156*VLOOKUP('Données projet'!$B$16,Paramètres!$A$1:$I$89,3,0)*0.475*44/12</f>
        <v>0</v>
      </c>
      <c r="FR156" s="23">
        <f>EXP(-LN(2)/25)*FR155+(1-EXP(-LN(2)/25))/(LN(2)/25)*Calculateur!FM156*Calculateur!FO156*VLOOKUP('Données projet'!$B$16,Paramètres!$A$1:$I$89,3,0)*0.475*44/12</f>
        <v>0</v>
      </c>
      <c r="FS156" s="23">
        <f>EXP(-LN(2)/2)*FS155+(1-EXP(-LN(2)/2))/(LN(2)/2)*FM156*FP156*VLOOKUP('Données projet'!$B$16,Paramètres!$A$1:$I$89,3,0)*0.475*44/12</f>
        <v>0</v>
      </c>
      <c r="FT156" s="24">
        <f t="shared" si="184"/>
        <v>0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70">
        <f t="shared" si="110"/>
        <v>183.33333333333334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-1.1368683772161603E-13</v>
      </c>
      <c r="O157" s="14">
        <f>N157*VLOOKUP('Données projet'!$B$9,Paramètres!$A$1:$I$89,3,0)*VLOOKUP('Données projet'!$B$9,Paramètres!$A$1:$I$89,5,0)</f>
        <v>-1.0286385077051818E-13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570.08763950759544</v>
      </c>
      <c r="T157" s="62">
        <f t="shared" si="142"/>
        <v>297.32483725004136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-2.2737367544323206E-13</v>
      </c>
      <c r="AJ157" s="14">
        <f>AI157*VLOOKUP('Données projet'!$B$10,Paramètres!$A$1:$I$89,3,0)*VLOOKUP('Données projet'!$B$10,Paramètres!$A$1:$I$89,5,0)</f>
        <v>-1.8089849618263545E-13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394.70330963327166</v>
      </c>
      <c r="AO157" s="62">
        <f t="shared" si="144"/>
        <v>424.06445894109982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-2.2737367544323206E-13</v>
      </c>
      <c r="BE157" s="14">
        <f>BD157*VLOOKUP('Données projet'!$B$11,Paramètres!$A$1:$I$89,3,0)*VLOOKUP('Données projet'!$B$11,Paramètres!$A$1:$I$89,5,0)</f>
        <v>-1.6671037883497774E-13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368.54671978064204</v>
      </c>
      <c r="BJ157" s="62">
        <f t="shared" si="146"/>
        <v>395.83504504492237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5.6843418860808015E-14</v>
      </c>
      <c r="BZ157" s="14">
        <f>BY157*VLOOKUP('Données projet'!$B$12,Paramètres!$A$1:$I$89,3,0)*VLOOKUP('Données projet'!$B$12,Paramètres!$A$1:$I$89,5,0)</f>
        <v>4.4337866711430253E-14</v>
      </c>
      <c r="CA157" s="14">
        <f t="shared" si="170"/>
        <v>7.3222115536967035E-13</v>
      </c>
      <c r="CB157" s="22">
        <f t="shared" si="171"/>
        <v>1.3525069634579169E-12</v>
      </c>
      <c r="CC157" s="62">
        <f t="shared" si="119"/>
        <v>287.14194833736411</v>
      </c>
      <c r="CD157" s="62">
        <f ca="1">AVERAGE(OFFSET($CC$3,0,0,'Données projet'!$E$12+1,1))-AVERAGE(OFFSET($H$3,0,0,'Données projet'!$E$12+1,1))</f>
        <v>309.21625451786218</v>
      </c>
      <c r="CE157" s="62">
        <f t="shared" si="148"/>
        <v>302.59481222418219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-2.8421709430404007E-13</v>
      </c>
      <c r="CU157" s="18">
        <f>CT157*VLOOKUP('Données projet'!$B$13,Paramètres!$A$1:$I$89,3,0)*VLOOKUP('Données projet'!$B$13,Paramètres!$A$1:$I$89,5,0)</f>
        <v>-2.7046098693972454E-13</v>
      </c>
      <c r="CV157" s="14" t="e">
        <f t="shared" si="173"/>
        <v>#NUM!</v>
      </c>
      <c r="CW157" s="22" t="e">
        <f t="shared" si="174"/>
        <v>#NUM!</v>
      </c>
      <c r="CX157" s="62" t="e">
        <f t="shared" si="122"/>
        <v>#NUM!</v>
      </c>
      <c r="CY157" s="62">
        <f ca="1">AVERAGE(OFFSET($CX$3,0,0,'Données projet'!$E$13+1,1))-AVERAGE(OFFSET($H$3,0,0,'Données projet'!$E$13+1,1))</f>
        <v>491.87038198656927</v>
      </c>
      <c r="CZ157" s="62">
        <f t="shared" si="150"/>
        <v>406.49261644949559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0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-1.1368683772161603E-13</v>
      </c>
      <c r="DP157" s="18">
        <f>DO157*VLOOKUP('Données projet'!$B$14,Paramètres!$A$1:$I$89,3,0)*VLOOKUP('Données projet'!$B$14,Paramètres!$A$1:$I$89,5,0)</f>
        <v>-1.0995790944434703E-13</v>
      </c>
      <c r="DQ157" s="14" t="e">
        <f t="shared" si="176"/>
        <v>#NUM!</v>
      </c>
      <c r="DR157" s="22" t="e">
        <f t="shared" si="177"/>
        <v>#NUM!</v>
      </c>
      <c r="DS157" s="62" t="e">
        <f t="shared" si="125"/>
        <v>#NUM!</v>
      </c>
      <c r="DT157" s="62">
        <f ca="1">AVERAGE(OFFSET($DS$3,0,0,'Données projet'!$E$14+1,1))-AVERAGE(OFFSET($H$3,0,0,'Données projet'!$E$14+1,1))</f>
        <v>603.52431522262032</v>
      </c>
      <c r="DU157" s="62">
        <f t="shared" si="152"/>
        <v>313.56299786481338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projet'!$B$14,Paramètres!$A$1:$I$89,3,0)*0.475*44/12</f>
        <v>0</v>
      </c>
      <c r="EB157" s="23">
        <f>EXP(-LN(2)/25)*EB156+(1-EXP(-LN(2)/25))/(LN(2)/25)*Calculateur!DW157*Calculateur!DY157*VLOOKUP('Données projet'!$B$14,Paramètres!$A$1:$I$89,3,0)*0.475*44/12</f>
        <v>0</v>
      </c>
      <c r="EC157" s="23">
        <f>EXP(-LN(2)/2)*EC156+(1-EXP(-LN(2)/2))/(LN(2)/2)*DW157*DZ157*VLOOKUP('Données projet'!$B$14,Paramètres!$A$1:$I$89,3,0)*0.475*44/12</f>
        <v>0</v>
      </c>
      <c r="ED157" s="24">
        <f t="shared" si="178"/>
        <v>0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-1.1368683772161603E-13</v>
      </c>
      <c r="EK157" s="18">
        <f>EJ157*VLOOKUP('Données projet'!$B$15,Paramètres!$A$1:$I$89,3,0)*VLOOKUP('Données projet'!$B$15,Paramètres!$A$1:$I$89,5,0)</f>
        <v>-9.2222762759774927E-14</v>
      </c>
      <c r="EL157" s="14" t="e">
        <f t="shared" si="179"/>
        <v>#NUM!</v>
      </c>
      <c r="EM157" s="22" t="e">
        <f t="shared" si="180"/>
        <v>#NUM!</v>
      </c>
      <c r="EN157" s="62" t="e">
        <f t="shared" si="128"/>
        <v>#NUM!</v>
      </c>
      <c r="EO157" s="62">
        <f ca="1">AVERAGE(OFFSET($EN$3,0,0,'Données projet'!$E$15+1,1))-AVERAGE(OFFSET($H$3,0,0,'Données projet'!$E$15+1,1))</f>
        <v>272.69564942740931</v>
      </c>
      <c r="EP157" s="62">
        <f t="shared" si="154"/>
        <v>316.57989180609252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>
        <f>EXP(-LN(2)/35)*EV156+(1-EXP(-LN(2)/35))/(LN(2)/35)*ER157*ES157*VLOOKUP('Données projet'!$B$15,Paramètres!$A$1:$I$89,3,0)*0.475*44/12</f>
        <v>0</v>
      </c>
      <c r="EW157" s="23">
        <f>EXP(-LN(2)/25)*EW156+(1-EXP(-LN(2)/25))/(LN(2)/25)*Calculateur!ER157*Calculateur!ET157*VLOOKUP('Données projet'!$B$15,Paramètres!$A$1:$I$89,3,0)*0.475*44/12</f>
        <v>0</v>
      </c>
      <c r="EX157" s="23">
        <f>EXP(-LN(2)/2)*EX156+(1-EXP(-LN(2)/2))/(LN(2)/2)*ER157*EU157*VLOOKUP('Données projet'!$B$15,Paramètres!$A$1:$I$89,3,0)*0.475*44/12</f>
        <v>0</v>
      </c>
      <c r="EY157" s="24">
        <f t="shared" si="181"/>
        <v>0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-3.4106051316484809E-13</v>
      </c>
      <c r="FF157" s="18">
        <f>FE157*VLOOKUP('Données projet'!$B$16,Paramètres!$A$1:$I$89,3,0)*VLOOKUP('Données projet'!$B$16,Paramètres!$A$1:$I$89,5,0)</f>
        <v>-2.2878339223098009E-13</v>
      </c>
      <c r="FG157" s="14" t="e">
        <f t="shared" si="182"/>
        <v>#NUM!</v>
      </c>
      <c r="FH157" s="22" t="e">
        <f t="shared" si="183"/>
        <v>#NUM!</v>
      </c>
      <c r="FI157" s="62" t="e">
        <f t="shared" si="131"/>
        <v>#NUM!</v>
      </c>
      <c r="FJ157" s="62">
        <f ca="1">AVERAGE(OFFSET($FI$3,0,0,'Données projet'!$E$16+1,1))-AVERAGE(OFFSET($H$3,0,0,'Données projet'!$E$16+1,1))</f>
        <v>440.90856392064205</v>
      </c>
      <c r="FK157" s="62">
        <f t="shared" si="156"/>
        <v>373.33139300970629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>
        <f>EXP(-LN(2)/35)*FQ156+(1-EXP(-LN(2)/35))/(LN(2)/35)*FM157*FN157*VLOOKUP('Données projet'!$B$16,Paramètres!$A$1:$I$89,3,0)*0.475*44/12</f>
        <v>0</v>
      </c>
      <c r="FR157" s="23">
        <f>EXP(-LN(2)/25)*FR156+(1-EXP(-LN(2)/25))/(LN(2)/25)*Calculateur!FM157*Calculateur!FO157*VLOOKUP('Données projet'!$B$16,Paramètres!$A$1:$I$89,3,0)*0.475*44/12</f>
        <v>0</v>
      </c>
      <c r="FS157" s="23">
        <f>EXP(-LN(2)/2)*FS156+(1-EXP(-LN(2)/2))/(LN(2)/2)*FM157*FP157*VLOOKUP('Données projet'!$B$16,Paramètres!$A$1:$I$89,3,0)*0.475*44/12</f>
        <v>0</v>
      </c>
      <c r="FT157" s="24">
        <f t="shared" si="184"/>
        <v>0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70">
        <f t="shared" si="110"/>
        <v>183.33333333333334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-1.1368683772161603E-13</v>
      </c>
      <c r="O158" s="14">
        <f>N158*VLOOKUP('Données projet'!$B$9,Paramètres!$A$1:$I$89,3,0)*VLOOKUP('Données projet'!$B$9,Paramètres!$A$1:$I$89,5,0)</f>
        <v>-1.0286385077051818E-13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570.08763950759544</v>
      </c>
      <c r="T158" s="62">
        <f t="shared" si="142"/>
        <v>297.32483725004136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-2.2737367544323206E-13</v>
      </c>
      <c r="AJ158" s="14">
        <f>AI158*VLOOKUP('Données projet'!$B$10,Paramètres!$A$1:$I$89,3,0)*VLOOKUP('Données projet'!$B$10,Paramètres!$A$1:$I$89,5,0)</f>
        <v>-1.8089849618263545E-13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394.70330963327166</v>
      </c>
      <c r="AO158" s="62">
        <f t="shared" si="144"/>
        <v>424.06445894109982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-2.2737367544323206E-13</v>
      </c>
      <c r="BE158" s="14">
        <f>BD158*VLOOKUP('Données projet'!$B$11,Paramètres!$A$1:$I$89,3,0)*VLOOKUP('Données projet'!$B$11,Paramètres!$A$1:$I$89,5,0)</f>
        <v>-1.6671037883497774E-13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368.54671978064204</v>
      </c>
      <c r="BJ158" s="62">
        <f t="shared" si="146"/>
        <v>395.83504504492237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5.6843418860808015E-14</v>
      </c>
      <c r="BZ158" s="14">
        <f>BY158*VLOOKUP('Données projet'!$B$12,Paramètres!$A$1:$I$89,3,0)*VLOOKUP('Données projet'!$B$12,Paramètres!$A$1:$I$89,5,0)</f>
        <v>4.4337866711430253E-14</v>
      </c>
      <c r="CA158" s="14">
        <f t="shared" si="170"/>
        <v>7.3222115536967035E-13</v>
      </c>
      <c r="CB158" s="22">
        <f t="shared" si="171"/>
        <v>1.3525069634579169E-12</v>
      </c>
      <c r="CC158" s="62">
        <f t="shared" si="119"/>
        <v>287.24935502518105</v>
      </c>
      <c r="CD158" s="62">
        <f ca="1">AVERAGE(OFFSET($CC$3,0,0,'Données projet'!$E$12+1,1))-AVERAGE(OFFSET($H$3,0,0,'Données projet'!$E$12+1,1))</f>
        <v>309.21625451786218</v>
      </c>
      <c r="CE158" s="62">
        <f t="shared" si="148"/>
        <v>302.59481222418219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-2.8421709430404007E-13</v>
      </c>
      <c r="CU158" s="18">
        <f>CT158*VLOOKUP('Données projet'!$B$13,Paramètres!$A$1:$I$89,3,0)*VLOOKUP('Données projet'!$B$13,Paramètres!$A$1:$I$89,5,0)</f>
        <v>-2.7046098693972454E-13</v>
      </c>
      <c r="CV158" s="14" t="e">
        <f t="shared" si="173"/>
        <v>#NUM!</v>
      </c>
      <c r="CW158" s="22" t="e">
        <f t="shared" si="174"/>
        <v>#NUM!</v>
      </c>
      <c r="CX158" s="62" t="e">
        <f t="shared" si="122"/>
        <v>#NUM!</v>
      </c>
      <c r="CY158" s="62">
        <f ca="1">AVERAGE(OFFSET($CX$3,0,0,'Données projet'!$E$13+1,1))-AVERAGE(OFFSET($H$3,0,0,'Données projet'!$E$13+1,1))</f>
        <v>491.87038198656927</v>
      </c>
      <c r="CZ158" s="62">
        <f t="shared" si="150"/>
        <v>406.49261644949559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0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-1.1368683772161603E-13</v>
      </c>
      <c r="DP158" s="18">
        <f>DO158*VLOOKUP('Données projet'!$B$14,Paramètres!$A$1:$I$89,3,0)*VLOOKUP('Données projet'!$B$14,Paramètres!$A$1:$I$89,5,0)</f>
        <v>-1.0995790944434703E-13</v>
      </c>
      <c r="DQ158" s="14" t="e">
        <f t="shared" si="176"/>
        <v>#NUM!</v>
      </c>
      <c r="DR158" s="22" t="e">
        <f t="shared" si="177"/>
        <v>#NUM!</v>
      </c>
      <c r="DS158" s="62" t="e">
        <f t="shared" si="125"/>
        <v>#NUM!</v>
      </c>
      <c r="DT158" s="62">
        <f ca="1">AVERAGE(OFFSET($DS$3,0,0,'Données projet'!$E$14+1,1))-AVERAGE(OFFSET($H$3,0,0,'Données projet'!$E$14+1,1))</f>
        <v>603.52431522262032</v>
      </c>
      <c r="DU158" s="62">
        <f t="shared" si="152"/>
        <v>313.56299786481338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projet'!$B$14,Paramètres!$A$1:$I$89,3,0)*0.475*44/12</f>
        <v>0</v>
      </c>
      <c r="EB158" s="23">
        <f>EXP(-LN(2)/25)*EB157+(1-EXP(-LN(2)/25))/(LN(2)/25)*Calculateur!DW158*Calculateur!DY158*VLOOKUP('Données projet'!$B$14,Paramètres!$A$1:$I$89,3,0)*0.475*44/12</f>
        <v>0</v>
      </c>
      <c r="EC158" s="23">
        <f>EXP(-LN(2)/2)*EC157+(1-EXP(-LN(2)/2))/(LN(2)/2)*DW158*DZ158*VLOOKUP('Données projet'!$B$14,Paramètres!$A$1:$I$89,3,0)*0.475*44/12</f>
        <v>0</v>
      </c>
      <c r="ED158" s="24">
        <f t="shared" si="178"/>
        <v>0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-1.1368683772161603E-13</v>
      </c>
      <c r="EK158" s="18">
        <f>EJ158*VLOOKUP('Données projet'!$B$15,Paramètres!$A$1:$I$89,3,0)*VLOOKUP('Données projet'!$B$15,Paramètres!$A$1:$I$89,5,0)</f>
        <v>-9.2222762759774927E-14</v>
      </c>
      <c r="EL158" s="14" t="e">
        <f t="shared" si="179"/>
        <v>#NUM!</v>
      </c>
      <c r="EM158" s="22" t="e">
        <f t="shared" si="180"/>
        <v>#NUM!</v>
      </c>
      <c r="EN158" s="62" t="e">
        <f t="shared" si="128"/>
        <v>#NUM!</v>
      </c>
      <c r="EO158" s="62">
        <f ca="1">AVERAGE(OFFSET($EN$3,0,0,'Données projet'!$E$15+1,1))-AVERAGE(OFFSET($H$3,0,0,'Données projet'!$E$15+1,1))</f>
        <v>272.69564942740931</v>
      </c>
      <c r="EP158" s="62">
        <f t="shared" si="154"/>
        <v>316.57989180609252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>
        <f>EXP(-LN(2)/35)*EV157+(1-EXP(-LN(2)/35))/(LN(2)/35)*ER158*ES158*VLOOKUP('Données projet'!$B$15,Paramètres!$A$1:$I$89,3,0)*0.475*44/12</f>
        <v>0</v>
      </c>
      <c r="EW158" s="23">
        <f>EXP(-LN(2)/25)*EW157+(1-EXP(-LN(2)/25))/(LN(2)/25)*Calculateur!ER158*Calculateur!ET158*VLOOKUP('Données projet'!$B$15,Paramètres!$A$1:$I$89,3,0)*0.475*44/12</f>
        <v>0</v>
      </c>
      <c r="EX158" s="23">
        <f>EXP(-LN(2)/2)*EX157+(1-EXP(-LN(2)/2))/(LN(2)/2)*ER158*EU158*VLOOKUP('Données projet'!$B$15,Paramètres!$A$1:$I$89,3,0)*0.475*44/12</f>
        <v>0</v>
      </c>
      <c r="EY158" s="24">
        <f t="shared" si="181"/>
        <v>0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-3.4106051316484809E-13</v>
      </c>
      <c r="FF158" s="18">
        <f>FE158*VLOOKUP('Données projet'!$B$16,Paramètres!$A$1:$I$89,3,0)*VLOOKUP('Données projet'!$B$16,Paramètres!$A$1:$I$89,5,0)</f>
        <v>-2.2878339223098009E-13</v>
      </c>
      <c r="FG158" s="14" t="e">
        <f t="shared" si="182"/>
        <v>#NUM!</v>
      </c>
      <c r="FH158" s="22" t="e">
        <f t="shared" si="183"/>
        <v>#NUM!</v>
      </c>
      <c r="FI158" s="62" t="e">
        <f t="shared" si="131"/>
        <v>#NUM!</v>
      </c>
      <c r="FJ158" s="62">
        <f ca="1">AVERAGE(OFFSET($FI$3,0,0,'Données projet'!$E$16+1,1))-AVERAGE(OFFSET($H$3,0,0,'Données projet'!$E$16+1,1))</f>
        <v>440.90856392064205</v>
      </c>
      <c r="FK158" s="62">
        <f t="shared" si="156"/>
        <v>373.33139300970629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>
        <f>EXP(-LN(2)/35)*FQ157+(1-EXP(-LN(2)/35))/(LN(2)/35)*FM158*FN158*VLOOKUP('Données projet'!$B$16,Paramètres!$A$1:$I$89,3,0)*0.475*44/12</f>
        <v>0</v>
      </c>
      <c r="FR158" s="23">
        <f>EXP(-LN(2)/25)*FR157+(1-EXP(-LN(2)/25))/(LN(2)/25)*Calculateur!FM158*Calculateur!FO158*VLOOKUP('Données projet'!$B$16,Paramètres!$A$1:$I$89,3,0)*0.475*44/12</f>
        <v>0</v>
      </c>
      <c r="FS158" s="23">
        <f>EXP(-LN(2)/2)*FS157+(1-EXP(-LN(2)/2))/(LN(2)/2)*FM158*FP158*VLOOKUP('Données projet'!$B$16,Paramètres!$A$1:$I$89,3,0)*0.475*44/12</f>
        <v>0</v>
      </c>
      <c r="FT158" s="24">
        <f t="shared" si="184"/>
        <v>0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70">
        <f t="shared" si="110"/>
        <v>183.33333333333334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-1.1368683772161603E-13</v>
      </c>
      <c r="O159" s="14">
        <f>N159*VLOOKUP('Données projet'!$B$9,Paramètres!$A$1:$I$89,3,0)*VLOOKUP('Données projet'!$B$9,Paramètres!$A$1:$I$89,5,0)</f>
        <v>-1.0286385077051818E-13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570.08763950759544</v>
      </c>
      <c r="T159" s="62">
        <f t="shared" si="142"/>
        <v>297.32483725004136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-2.2737367544323206E-13</v>
      </c>
      <c r="AJ159" s="14">
        <f>AI159*VLOOKUP('Données projet'!$B$10,Paramètres!$A$1:$I$89,3,0)*VLOOKUP('Données projet'!$B$10,Paramètres!$A$1:$I$89,5,0)</f>
        <v>-1.8089849618263545E-13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394.70330963327166</v>
      </c>
      <c r="AO159" s="62">
        <f t="shared" si="144"/>
        <v>424.06445894109982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-2.2737367544323206E-13</v>
      </c>
      <c r="BE159" s="14">
        <f>BD159*VLOOKUP('Données projet'!$B$11,Paramètres!$A$1:$I$89,3,0)*VLOOKUP('Données projet'!$B$11,Paramètres!$A$1:$I$89,5,0)</f>
        <v>-1.6671037883497774E-13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368.54671978064204</v>
      </c>
      <c r="BJ159" s="62">
        <f t="shared" si="146"/>
        <v>395.83504504492237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5.6843418860808015E-14</v>
      </c>
      <c r="BZ159" s="14">
        <f>BY159*VLOOKUP('Données projet'!$B$12,Paramètres!$A$1:$I$89,3,0)*VLOOKUP('Données projet'!$B$12,Paramètres!$A$1:$I$89,5,0)</f>
        <v>4.4337866711430253E-14</v>
      </c>
      <c r="CA159" s="14">
        <f t="shared" si="170"/>
        <v>7.3222115536967035E-13</v>
      </c>
      <c r="CB159" s="22">
        <f t="shared" si="171"/>
        <v>1.3525069634579169E-12</v>
      </c>
      <c r="CC159" s="62">
        <f t="shared" si="119"/>
        <v>287.35489844708968</v>
      </c>
      <c r="CD159" s="62">
        <f ca="1">AVERAGE(OFFSET($CC$3,0,0,'Données projet'!$E$12+1,1))-AVERAGE(OFFSET($H$3,0,0,'Données projet'!$E$12+1,1))</f>
        <v>309.21625451786218</v>
      </c>
      <c r="CE159" s="62">
        <f t="shared" si="148"/>
        <v>302.59481222418219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-2.8421709430404007E-13</v>
      </c>
      <c r="CU159" s="18">
        <f>CT159*VLOOKUP('Données projet'!$B$13,Paramètres!$A$1:$I$89,3,0)*VLOOKUP('Données projet'!$B$13,Paramètres!$A$1:$I$89,5,0)</f>
        <v>-2.7046098693972454E-13</v>
      </c>
      <c r="CV159" s="14" t="e">
        <f t="shared" si="173"/>
        <v>#NUM!</v>
      </c>
      <c r="CW159" s="22" t="e">
        <f t="shared" si="174"/>
        <v>#NUM!</v>
      </c>
      <c r="CX159" s="62" t="e">
        <f t="shared" si="122"/>
        <v>#NUM!</v>
      </c>
      <c r="CY159" s="62">
        <f ca="1">AVERAGE(OFFSET($CX$3,0,0,'Données projet'!$E$13+1,1))-AVERAGE(OFFSET($H$3,0,0,'Données projet'!$E$13+1,1))</f>
        <v>491.87038198656927</v>
      </c>
      <c r="CZ159" s="62">
        <f t="shared" si="150"/>
        <v>406.49261644949559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0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-1.1368683772161603E-13</v>
      </c>
      <c r="DP159" s="18">
        <f>DO159*VLOOKUP('Données projet'!$B$14,Paramètres!$A$1:$I$89,3,0)*VLOOKUP('Données projet'!$B$14,Paramètres!$A$1:$I$89,5,0)</f>
        <v>-1.0995790944434703E-13</v>
      </c>
      <c r="DQ159" s="14" t="e">
        <f t="shared" si="176"/>
        <v>#NUM!</v>
      </c>
      <c r="DR159" s="22" t="e">
        <f t="shared" si="177"/>
        <v>#NUM!</v>
      </c>
      <c r="DS159" s="62" t="e">
        <f t="shared" si="125"/>
        <v>#NUM!</v>
      </c>
      <c r="DT159" s="62">
        <f ca="1">AVERAGE(OFFSET($DS$3,0,0,'Données projet'!$E$14+1,1))-AVERAGE(OFFSET($H$3,0,0,'Données projet'!$E$14+1,1))</f>
        <v>603.52431522262032</v>
      </c>
      <c r="DU159" s="62">
        <f t="shared" si="152"/>
        <v>313.56299786481338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projet'!$B$14,Paramètres!$A$1:$I$89,3,0)*0.475*44/12</f>
        <v>0</v>
      </c>
      <c r="EB159" s="23">
        <f>EXP(-LN(2)/25)*EB158+(1-EXP(-LN(2)/25))/(LN(2)/25)*Calculateur!DW159*Calculateur!DY159*VLOOKUP('Données projet'!$B$14,Paramètres!$A$1:$I$89,3,0)*0.475*44/12</f>
        <v>0</v>
      </c>
      <c r="EC159" s="23">
        <f>EXP(-LN(2)/2)*EC158+(1-EXP(-LN(2)/2))/(LN(2)/2)*DW159*DZ159*VLOOKUP('Données projet'!$B$14,Paramètres!$A$1:$I$89,3,0)*0.475*44/12</f>
        <v>0</v>
      </c>
      <c r="ED159" s="24">
        <f t="shared" si="178"/>
        <v>0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-1.1368683772161603E-13</v>
      </c>
      <c r="EK159" s="18">
        <f>EJ159*VLOOKUP('Données projet'!$B$15,Paramètres!$A$1:$I$89,3,0)*VLOOKUP('Données projet'!$B$15,Paramètres!$A$1:$I$89,5,0)</f>
        <v>-9.2222762759774927E-14</v>
      </c>
      <c r="EL159" s="14" t="e">
        <f t="shared" si="179"/>
        <v>#NUM!</v>
      </c>
      <c r="EM159" s="22" t="e">
        <f t="shared" si="180"/>
        <v>#NUM!</v>
      </c>
      <c r="EN159" s="62" t="e">
        <f t="shared" si="128"/>
        <v>#NUM!</v>
      </c>
      <c r="EO159" s="62">
        <f ca="1">AVERAGE(OFFSET($EN$3,0,0,'Données projet'!$E$15+1,1))-AVERAGE(OFFSET($H$3,0,0,'Données projet'!$E$15+1,1))</f>
        <v>272.69564942740931</v>
      </c>
      <c r="EP159" s="62">
        <f t="shared" si="154"/>
        <v>316.57989180609252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>
        <f>EXP(-LN(2)/35)*EV158+(1-EXP(-LN(2)/35))/(LN(2)/35)*ER159*ES159*VLOOKUP('Données projet'!$B$15,Paramètres!$A$1:$I$89,3,0)*0.475*44/12</f>
        <v>0</v>
      </c>
      <c r="EW159" s="23">
        <f>EXP(-LN(2)/25)*EW158+(1-EXP(-LN(2)/25))/(LN(2)/25)*Calculateur!ER159*Calculateur!ET159*VLOOKUP('Données projet'!$B$15,Paramètres!$A$1:$I$89,3,0)*0.475*44/12</f>
        <v>0</v>
      </c>
      <c r="EX159" s="23">
        <f>EXP(-LN(2)/2)*EX158+(1-EXP(-LN(2)/2))/(LN(2)/2)*ER159*EU159*VLOOKUP('Données projet'!$B$15,Paramètres!$A$1:$I$89,3,0)*0.475*44/12</f>
        <v>0</v>
      </c>
      <c r="EY159" s="24">
        <f t="shared" si="181"/>
        <v>0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-3.4106051316484809E-13</v>
      </c>
      <c r="FF159" s="18">
        <f>FE159*VLOOKUP('Données projet'!$B$16,Paramètres!$A$1:$I$89,3,0)*VLOOKUP('Données projet'!$B$16,Paramètres!$A$1:$I$89,5,0)</f>
        <v>-2.2878339223098009E-13</v>
      </c>
      <c r="FG159" s="14" t="e">
        <f t="shared" si="182"/>
        <v>#NUM!</v>
      </c>
      <c r="FH159" s="22" t="e">
        <f t="shared" si="183"/>
        <v>#NUM!</v>
      </c>
      <c r="FI159" s="62" t="e">
        <f t="shared" si="131"/>
        <v>#NUM!</v>
      </c>
      <c r="FJ159" s="62">
        <f ca="1">AVERAGE(OFFSET($FI$3,0,0,'Données projet'!$E$16+1,1))-AVERAGE(OFFSET($H$3,0,0,'Données projet'!$E$16+1,1))</f>
        <v>440.90856392064205</v>
      </c>
      <c r="FK159" s="62">
        <f t="shared" si="156"/>
        <v>373.33139300970629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>
        <f>EXP(-LN(2)/35)*FQ158+(1-EXP(-LN(2)/35))/(LN(2)/35)*FM159*FN159*VLOOKUP('Données projet'!$B$16,Paramètres!$A$1:$I$89,3,0)*0.475*44/12</f>
        <v>0</v>
      </c>
      <c r="FR159" s="23">
        <f>EXP(-LN(2)/25)*FR158+(1-EXP(-LN(2)/25))/(LN(2)/25)*Calculateur!FM159*Calculateur!FO159*VLOOKUP('Données projet'!$B$16,Paramètres!$A$1:$I$89,3,0)*0.475*44/12</f>
        <v>0</v>
      </c>
      <c r="FS159" s="23">
        <f>EXP(-LN(2)/2)*FS158+(1-EXP(-LN(2)/2))/(LN(2)/2)*FM159*FP159*VLOOKUP('Données projet'!$B$16,Paramètres!$A$1:$I$89,3,0)*0.475*44/12</f>
        <v>0</v>
      </c>
      <c r="FT159" s="24">
        <f t="shared" si="184"/>
        <v>0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70">
        <f t="shared" si="110"/>
        <v>183.33333333333334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-1.1368683772161603E-13</v>
      </c>
      <c r="O160" s="14">
        <f>N160*VLOOKUP('Données projet'!$B$9,Paramètres!$A$1:$I$89,3,0)*VLOOKUP('Données projet'!$B$9,Paramètres!$A$1:$I$89,5,0)</f>
        <v>-1.0286385077051818E-13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570.08763950759544</v>
      </c>
      <c r="T160" s="62">
        <f t="shared" si="142"/>
        <v>297.32483725004136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-2.2737367544323206E-13</v>
      </c>
      <c r="AJ160" s="14">
        <f>AI160*VLOOKUP('Données projet'!$B$10,Paramètres!$A$1:$I$89,3,0)*VLOOKUP('Données projet'!$B$10,Paramètres!$A$1:$I$89,5,0)</f>
        <v>-1.8089849618263545E-13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394.70330963327166</v>
      </c>
      <c r="AO160" s="62">
        <f t="shared" si="144"/>
        <v>424.06445894109982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-2.2737367544323206E-13</v>
      </c>
      <c r="BE160" s="14">
        <f>BD160*VLOOKUP('Données projet'!$B$11,Paramètres!$A$1:$I$89,3,0)*VLOOKUP('Données projet'!$B$11,Paramètres!$A$1:$I$89,5,0)</f>
        <v>-1.6671037883497774E-13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368.54671978064204</v>
      </c>
      <c r="BJ160" s="62">
        <f t="shared" si="146"/>
        <v>395.83504504492237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5.6843418860808015E-14</v>
      </c>
      <c r="BZ160" s="14">
        <f>BY160*VLOOKUP('Données projet'!$B$12,Paramètres!$A$1:$I$89,3,0)*VLOOKUP('Données projet'!$B$12,Paramètres!$A$1:$I$89,5,0)</f>
        <v>4.4337866711430253E-14</v>
      </c>
      <c r="CA160" s="14">
        <f t="shared" si="170"/>
        <v>7.3222115536967035E-13</v>
      </c>
      <c r="CB160" s="22">
        <f t="shared" si="171"/>
        <v>1.3525069634579169E-12</v>
      </c>
      <c r="CC160" s="62">
        <f t="shared" si="119"/>
        <v>287.45861092658794</v>
      </c>
      <c r="CD160" s="62">
        <f ca="1">AVERAGE(OFFSET($CC$3,0,0,'Données projet'!$E$12+1,1))-AVERAGE(OFFSET($H$3,0,0,'Données projet'!$E$12+1,1))</f>
        <v>309.21625451786218</v>
      </c>
      <c r="CE160" s="62">
        <f t="shared" si="148"/>
        <v>302.59481222418219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-2.8421709430404007E-13</v>
      </c>
      <c r="CU160" s="18">
        <f>CT160*VLOOKUP('Données projet'!$B$13,Paramètres!$A$1:$I$89,3,0)*VLOOKUP('Données projet'!$B$13,Paramètres!$A$1:$I$89,5,0)</f>
        <v>-2.7046098693972454E-13</v>
      </c>
      <c r="CV160" s="14" t="e">
        <f t="shared" si="173"/>
        <v>#NUM!</v>
      </c>
      <c r="CW160" s="22" t="e">
        <f t="shared" si="174"/>
        <v>#NUM!</v>
      </c>
      <c r="CX160" s="62" t="e">
        <f t="shared" si="122"/>
        <v>#NUM!</v>
      </c>
      <c r="CY160" s="62">
        <f ca="1">AVERAGE(OFFSET($CX$3,0,0,'Données projet'!$E$13+1,1))-AVERAGE(OFFSET($H$3,0,0,'Données projet'!$E$13+1,1))</f>
        <v>491.87038198656927</v>
      </c>
      <c r="CZ160" s="62">
        <f t="shared" si="150"/>
        <v>406.49261644949559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0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-1.1368683772161603E-13</v>
      </c>
      <c r="DP160" s="18">
        <f>DO160*VLOOKUP('Données projet'!$B$14,Paramètres!$A$1:$I$89,3,0)*VLOOKUP('Données projet'!$B$14,Paramètres!$A$1:$I$89,5,0)</f>
        <v>-1.0995790944434703E-13</v>
      </c>
      <c r="DQ160" s="14" t="e">
        <f t="shared" si="176"/>
        <v>#NUM!</v>
      </c>
      <c r="DR160" s="22" t="e">
        <f t="shared" si="177"/>
        <v>#NUM!</v>
      </c>
      <c r="DS160" s="62" t="e">
        <f t="shared" si="125"/>
        <v>#NUM!</v>
      </c>
      <c r="DT160" s="62">
        <f ca="1">AVERAGE(OFFSET($DS$3,0,0,'Données projet'!$E$14+1,1))-AVERAGE(OFFSET($H$3,0,0,'Données projet'!$E$14+1,1))</f>
        <v>603.52431522262032</v>
      </c>
      <c r="DU160" s="62">
        <f t="shared" si="152"/>
        <v>313.56299786481338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projet'!$B$14,Paramètres!$A$1:$I$89,3,0)*0.475*44/12</f>
        <v>0</v>
      </c>
      <c r="EB160" s="23">
        <f>EXP(-LN(2)/25)*EB159+(1-EXP(-LN(2)/25))/(LN(2)/25)*Calculateur!DW160*Calculateur!DY160*VLOOKUP('Données projet'!$B$14,Paramètres!$A$1:$I$89,3,0)*0.475*44/12</f>
        <v>0</v>
      </c>
      <c r="EC160" s="23">
        <f>EXP(-LN(2)/2)*EC159+(1-EXP(-LN(2)/2))/(LN(2)/2)*DW160*DZ160*VLOOKUP('Données projet'!$B$14,Paramètres!$A$1:$I$89,3,0)*0.475*44/12</f>
        <v>0</v>
      </c>
      <c r="ED160" s="24">
        <f t="shared" si="178"/>
        <v>0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-1.1368683772161603E-13</v>
      </c>
      <c r="EK160" s="18">
        <f>EJ160*VLOOKUP('Données projet'!$B$15,Paramètres!$A$1:$I$89,3,0)*VLOOKUP('Données projet'!$B$15,Paramètres!$A$1:$I$89,5,0)</f>
        <v>-9.2222762759774927E-14</v>
      </c>
      <c r="EL160" s="14" t="e">
        <f t="shared" si="179"/>
        <v>#NUM!</v>
      </c>
      <c r="EM160" s="22" t="e">
        <f t="shared" si="180"/>
        <v>#NUM!</v>
      </c>
      <c r="EN160" s="62" t="e">
        <f t="shared" si="128"/>
        <v>#NUM!</v>
      </c>
      <c r="EO160" s="62">
        <f ca="1">AVERAGE(OFFSET($EN$3,0,0,'Données projet'!$E$15+1,1))-AVERAGE(OFFSET($H$3,0,0,'Données projet'!$E$15+1,1))</f>
        <v>272.69564942740931</v>
      </c>
      <c r="EP160" s="62">
        <f t="shared" si="154"/>
        <v>316.57989180609252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>
        <f>EXP(-LN(2)/35)*EV159+(1-EXP(-LN(2)/35))/(LN(2)/35)*ER160*ES160*VLOOKUP('Données projet'!$B$15,Paramètres!$A$1:$I$89,3,0)*0.475*44/12</f>
        <v>0</v>
      </c>
      <c r="EW160" s="23">
        <f>EXP(-LN(2)/25)*EW159+(1-EXP(-LN(2)/25))/(LN(2)/25)*Calculateur!ER160*Calculateur!ET160*VLOOKUP('Données projet'!$B$15,Paramètres!$A$1:$I$89,3,0)*0.475*44/12</f>
        <v>0</v>
      </c>
      <c r="EX160" s="23">
        <f>EXP(-LN(2)/2)*EX159+(1-EXP(-LN(2)/2))/(LN(2)/2)*ER160*EU160*VLOOKUP('Données projet'!$B$15,Paramètres!$A$1:$I$89,3,0)*0.475*44/12</f>
        <v>0</v>
      </c>
      <c r="EY160" s="24">
        <f t="shared" si="181"/>
        <v>0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-3.4106051316484809E-13</v>
      </c>
      <c r="FF160" s="18">
        <f>FE160*VLOOKUP('Données projet'!$B$16,Paramètres!$A$1:$I$89,3,0)*VLOOKUP('Données projet'!$B$16,Paramètres!$A$1:$I$89,5,0)</f>
        <v>-2.2878339223098009E-13</v>
      </c>
      <c r="FG160" s="14" t="e">
        <f t="shared" si="182"/>
        <v>#NUM!</v>
      </c>
      <c r="FH160" s="22" t="e">
        <f t="shared" si="183"/>
        <v>#NUM!</v>
      </c>
      <c r="FI160" s="62" t="e">
        <f t="shared" si="131"/>
        <v>#NUM!</v>
      </c>
      <c r="FJ160" s="62">
        <f ca="1">AVERAGE(OFFSET($FI$3,0,0,'Données projet'!$E$16+1,1))-AVERAGE(OFFSET($H$3,0,0,'Données projet'!$E$16+1,1))</f>
        <v>440.90856392064205</v>
      </c>
      <c r="FK160" s="62">
        <f t="shared" si="156"/>
        <v>373.33139300970629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>
        <f>EXP(-LN(2)/35)*FQ159+(1-EXP(-LN(2)/35))/(LN(2)/35)*FM160*FN160*VLOOKUP('Données projet'!$B$16,Paramètres!$A$1:$I$89,3,0)*0.475*44/12</f>
        <v>0</v>
      </c>
      <c r="FR160" s="23">
        <f>EXP(-LN(2)/25)*FR159+(1-EXP(-LN(2)/25))/(LN(2)/25)*Calculateur!FM160*Calculateur!FO160*VLOOKUP('Données projet'!$B$16,Paramètres!$A$1:$I$89,3,0)*0.475*44/12</f>
        <v>0</v>
      </c>
      <c r="FS160" s="23">
        <f>EXP(-LN(2)/2)*FS159+(1-EXP(-LN(2)/2))/(LN(2)/2)*FM160*FP160*VLOOKUP('Données projet'!$B$16,Paramètres!$A$1:$I$89,3,0)*0.475*44/12</f>
        <v>0</v>
      </c>
      <c r="FT160" s="24">
        <f t="shared" si="184"/>
        <v>0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70">
        <f t="shared" si="110"/>
        <v>183.33333333333334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-1.1368683772161603E-13</v>
      </c>
      <c r="O161" s="14">
        <f>N161*VLOOKUP('Données projet'!$B$9,Paramètres!$A$1:$I$89,3,0)*VLOOKUP('Données projet'!$B$9,Paramètres!$A$1:$I$89,5,0)</f>
        <v>-1.0286385077051818E-13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570.08763950759544</v>
      </c>
      <c r="T161" s="62">
        <f t="shared" si="142"/>
        <v>297.32483725004136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-2.2737367544323206E-13</v>
      </c>
      <c r="AJ161" s="14">
        <f>AI161*VLOOKUP('Données projet'!$B$10,Paramètres!$A$1:$I$89,3,0)*VLOOKUP('Données projet'!$B$10,Paramètres!$A$1:$I$89,5,0)</f>
        <v>-1.8089849618263545E-13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394.70330963327166</v>
      </c>
      <c r="AO161" s="62">
        <f t="shared" si="144"/>
        <v>424.06445894109982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-2.2737367544323206E-13</v>
      </c>
      <c r="BE161" s="14">
        <f>BD161*VLOOKUP('Données projet'!$B$11,Paramètres!$A$1:$I$89,3,0)*VLOOKUP('Données projet'!$B$11,Paramètres!$A$1:$I$89,5,0)</f>
        <v>-1.6671037883497774E-13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368.54671978064204</v>
      </c>
      <c r="BJ161" s="62">
        <f t="shared" si="146"/>
        <v>395.83504504492237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5.6843418860808015E-14</v>
      </c>
      <c r="BZ161" s="14">
        <f>BY161*VLOOKUP('Données projet'!$B$12,Paramètres!$A$1:$I$89,3,0)*VLOOKUP('Données projet'!$B$12,Paramètres!$A$1:$I$89,5,0)</f>
        <v>4.4337866711430253E-14</v>
      </c>
      <c r="CA161" s="14">
        <f t="shared" si="170"/>
        <v>7.3222115536967035E-13</v>
      </c>
      <c r="CB161" s="22">
        <f t="shared" si="171"/>
        <v>1.3525069634579169E-12</v>
      </c>
      <c r="CC161" s="62">
        <f t="shared" si="119"/>
        <v>287.56052422643336</v>
      </c>
      <c r="CD161" s="62">
        <f ca="1">AVERAGE(OFFSET($CC$3,0,0,'Données projet'!$E$12+1,1))-AVERAGE(OFFSET($H$3,0,0,'Données projet'!$E$12+1,1))</f>
        <v>309.21625451786218</v>
      </c>
      <c r="CE161" s="62">
        <f t="shared" si="148"/>
        <v>302.59481222418219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-2.8421709430404007E-13</v>
      </c>
      <c r="CU161" s="18">
        <f>CT161*VLOOKUP('Données projet'!$B$13,Paramètres!$A$1:$I$89,3,0)*VLOOKUP('Données projet'!$B$13,Paramètres!$A$1:$I$89,5,0)</f>
        <v>-2.7046098693972454E-13</v>
      </c>
      <c r="CV161" s="14" t="e">
        <f t="shared" si="173"/>
        <v>#NUM!</v>
      </c>
      <c r="CW161" s="22" t="e">
        <f t="shared" si="174"/>
        <v>#NUM!</v>
      </c>
      <c r="CX161" s="62" t="e">
        <f t="shared" si="122"/>
        <v>#NUM!</v>
      </c>
      <c r="CY161" s="62">
        <f ca="1">AVERAGE(OFFSET($CX$3,0,0,'Données projet'!$E$13+1,1))-AVERAGE(OFFSET($H$3,0,0,'Données projet'!$E$13+1,1))</f>
        <v>491.87038198656927</v>
      </c>
      <c r="CZ161" s="62">
        <f t="shared" si="150"/>
        <v>406.49261644949559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0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-1.1368683772161603E-13</v>
      </c>
      <c r="DP161" s="18">
        <f>DO161*VLOOKUP('Données projet'!$B$14,Paramètres!$A$1:$I$89,3,0)*VLOOKUP('Données projet'!$B$14,Paramètres!$A$1:$I$89,5,0)</f>
        <v>-1.0995790944434703E-13</v>
      </c>
      <c r="DQ161" s="14" t="e">
        <f t="shared" si="176"/>
        <v>#NUM!</v>
      </c>
      <c r="DR161" s="22" t="e">
        <f t="shared" si="177"/>
        <v>#NUM!</v>
      </c>
      <c r="DS161" s="62" t="e">
        <f t="shared" si="125"/>
        <v>#NUM!</v>
      </c>
      <c r="DT161" s="62">
        <f ca="1">AVERAGE(OFFSET($DS$3,0,0,'Données projet'!$E$14+1,1))-AVERAGE(OFFSET($H$3,0,0,'Données projet'!$E$14+1,1))</f>
        <v>603.52431522262032</v>
      </c>
      <c r="DU161" s="62">
        <f t="shared" si="152"/>
        <v>313.56299786481338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projet'!$B$14,Paramètres!$A$1:$I$89,3,0)*0.475*44/12</f>
        <v>0</v>
      </c>
      <c r="EB161" s="23">
        <f>EXP(-LN(2)/25)*EB160+(1-EXP(-LN(2)/25))/(LN(2)/25)*Calculateur!DW161*Calculateur!DY161*VLOOKUP('Données projet'!$B$14,Paramètres!$A$1:$I$89,3,0)*0.475*44/12</f>
        <v>0</v>
      </c>
      <c r="EC161" s="23">
        <f>EXP(-LN(2)/2)*EC160+(1-EXP(-LN(2)/2))/(LN(2)/2)*DW161*DZ161*VLOOKUP('Données projet'!$B$14,Paramètres!$A$1:$I$89,3,0)*0.475*44/12</f>
        <v>0</v>
      </c>
      <c r="ED161" s="24">
        <f t="shared" si="178"/>
        <v>0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-1.1368683772161603E-13</v>
      </c>
      <c r="EK161" s="18">
        <f>EJ161*VLOOKUP('Données projet'!$B$15,Paramètres!$A$1:$I$89,3,0)*VLOOKUP('Données projet'!$B$15,Paramètres!$A$1:$I$89,5,0)</f>
        <v>-9.2222762759774927E-14</v>
      </c>
      <c r="EL161" s="14" t="e">
        <f t="shared" si="179"/>
        <v>#NUM!</v>
      </c>
      <c r="EM161" s="22" t="e">
        <f t="shared" si="180"/>
        <v>#NUM!</v>
      </c>
      <c r="EN161" s="62" t="e">
        <f t="shared" si="128"/>
        <v>#NUM!</v>
      </c>
      <c r="EO161" s="62">
        <f ca="1">AVERAGE(OFFSET($EN$3,0,0,'Données projet'!$E$15+1,1))-AVERAGE(OFFSET($H$3,0,0,'Données projet'!$E$15+1,1))</f>
        <v>272.69564942740931</v>
      </c>
      <c r="EP161" s="62">
        <f t="shared" si="154"/>
        <v>316.57989180609252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>
        <f>EXP(-LN(2)/35)*EV160+(1-EXP(-LN(2)/35))/(LN(2)/35)*ER161*ES161*VLOOKUP('Données projet'!$B$15,Paramètres!$A$1:$I$89,3,0)*0.475*44/12</f>
        <v>0</v>
      </c>
      <c r="EW161" s="23">
        <f>EXP(-LN(2)/25)*EW160+(1-EXP(-LN(2)/25))/(LN(2)/25)*Calculateur!ER161*Calculateur!ET161*VLOOKUP('Données projet'!$B$15,Paramètres!$A$1:$I$89,3,0)*0.475*44/12</f>
        <v>0</v>
      </c>
      <c r="EX161" s="23">
        <f>EXP(-LN(2)/2)*EX160+(1-EXP(-LN(2)/2))/(LN(2)/2)*ER161*EU161*VLOOKUP('Données projet'!$B$15,Paramètres!$A$1:$I$89,3,0)*0.475*44/12</f>
        <v>0</v>
      </c>
      <c r="EY161" s="24">
        <f t="shared" si="181"/>
        <v>0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-3.4106051316484809E-13</v>
      </c>
      <c r="FF161" s="18">
        <f>FE161*VLOOKUP('Données projet'!$B$16,Paramètres!$A$1:$I$89,3,0)*VLOOKUP('Données projet'!$B$16,Paramètres!$A$1:$I$89,5,0)</f>
        <v>-2.2878339223098009E-13</v>
      </c>
      <c r="FG161" s="14" t="e">
        <f t="shared" si="182"/>
        <v>#NUM!</v>
      </c>
      <c r="FH161" s="22" t="e">
        <f t="shared" si="183"/>
        <v>#NUM!</v>
      </c>
      <c r="FI161" s="62" t="e">
        <f t="shared" si="131"/>
        <v>#NUM!</v>
      </c>
      <c r="FJ161" s="62">
        <f ca="1">AVERAGE(OFFSET($FI$3,0,0,'Données projet'!$E$16+1,1))-AVERAGE(OFFSET($H$3,0,0,'Données projet'!$E$16+1,1))</f>
        <v>440.90856392064205</v>
      </c>
      <c r="FK161" s="62">
        <f t="shared" si="156"/>
        <v>373.33139300970629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>
        <f>EXP(-LN(2)/35)*FQ160+(1-EXP(-LN(2)/35))/(LN(2)/35)*FM161*FN161*VLOOKUP('Données projet'!$B$16,Paramètres!$A$1:$I$89,3,0)*0.475*44/12</f>
        <v>0</v>
      </c>
      <c r="FR161" s="23">
        <f>EXP(-LN(2)/25)*FR160+(1-EXP(-LN(2)/25))/(LN(2)/25)*Calculateur!FM161*Calculateur!FO161*VLOOKUP('Données projet'!$B$16,Paramètres!$A$1:$I$89,3,0)*0.475*44/12</f>
        <v>0</v>
      </c>
      <c r="FS161" s="23">
        <f>EXP(-LN(2)/2)*FS160+(1-EXP(-LN(2)/2))/(LN(2)/2)*FM161*FP161*VLOOKUP('Données projet'!$B$16,Paramètres!$A$1:$I$89,3,0)*0.475*44/12</f>
        <v>0</v>
      </c>
      <c r="FT161" s="24">
        <f t="shared" si="184"/>
        <v>0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70">
        <f t="shared" si="110"/>
        <v>183.33333333333334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-1.1368683772161603E-13</v>
      </c>
      <c r="O162" s="14">
        <f>N162*VLOOKUP('Données projet'!$B$9,Paramètres!$A$1:$I$89,3,0)*VLOOKUP('Données projet'!$B$9,Paramètres!$A$1:$I$89,5,0)</f>
        <v>-1.0286385077051818E-13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570.08763950759544</v>
      </c>
      <c r="T162" s="62">
        <f t="shared" si="142"/>
        <v>297.32483725004136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-2.2737367544323206E-13</v>
      </c>
      <c r="AJ162" s="14">
        <f>AI162*VLOOKUP('Données projet'!$B$10,Paramètres!$A$1:$I$89,3,0)*VLOOKUP('Données projet'!$B$10,Paramètres!$A$1:$I$89,5,0)</f>
        <v>-1.8089849618263545E-13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394.70330963327166</v>
      </c>
      <c r="AO162" s="62">
        <f t="shared" si="144"/>
        <v>424.06445894109982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-2.2737367544323206E-13</v>
      </c>
      <c r="BE162" s="14">
        <f>BD162*VLOOKUP('Données projet'!$B$11,Paramètres!$A$1:$I$89,3,0)*VLOOKUP('Données projet'!$B$11,Paramètres!$A$1:$I$89,5,0)</f>
        <v>-1.6671037883497774E-13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368.54671978064204</v>
      </c>
      <c r="BJ162" s="62">
        <f t="shared" si="146"/>
        <v>395.83504504492237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5.6843418860808015E-14</v>
      </c>
      <c r="BZ162" s="14">
        <f>BY162*VLOOKUP('Données projet'!$B$12,Paramètres!$A$1:$I$89,3,0)*VLOOKUP('Données projet'!$B$12,Paramètres!$A$1:$I$89,5,0)</f>
        <v>4.4337866711430253E-14</v>
      </c>
      <c r="CA162" s="14">
        <f t="shared" si="170"/>
        <v>7.3222115536967035E-13</v>
      </c>
      <c r="CB162" s="22">
        <f t="shared" si="171"/>
        <v>1.3525069634579169E-12</v>
      </c>
      <c r="CC162" s="62">
        <f t="shared" si="119"/>
        <v>287.66066955837033</v>
      </c>
      <c r="CD162" s="62">
        <f ca="1">AVERAGE(OFFSET($CC$3,0,0,'Données projet'!$E$12+1,1))-AVERAGE(OFFSET($H$3,0,0,'Données projet'!$E$12+1,1))</f>
        <v>309.21625451786218</v>
      </c>
      <c r="CE162" s="62">
        <f t="shared" si="148"/>
        <v>302.59481222418219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-2.8421709430404007E-13</v>
      </c>
      <c r="CU162" s="18">
        <f>CT162*VLOOKUP('Données projet'!$B$13,Paramètres!$A$1:$I$89,3,0)*VLOOKUP('Données projet'!$B$13,Paramètres!$A$1:$I$89,5,0)</f>
        <v>-2.7046098693972454E-13</v>
      </c>
      <c r="CV162" s="14" t="e">
        <f t="shared" si="173"/>
        <v>#NUM!</v>
      </c>
      <c r="CW162" s="22" t="e">
        <f t="shared" si="174"/>
        <v>#NUM!</v>
      </c>
      <c r="CX162" s="62" t="e">
        <f t="shared" si="122"/>
        <v>#NUM!</v>
      </c>
      <c r="CY162" s="62">
        <f ca="1">AVERAGE(OFFSET($CX$3,0,0,'Données projet'!$E$13+1,1))-AVERAGE(OFFSET($H$3,0,0,'Données projet'!$E$13+1,1))</f>
        <v>491.87038198656927</v>
      </c>
      <c r="CZ162" s="62">
        <f t="shared" si="150"/>
        <v>406.49261644949559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0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-1.1368683772161603E-13</v>
      </c>
      <c r="DP162" s="18">
        <f>DO162*VLOOKUP('Données projet'!$B$14,Paramètres!$A$1:$I$89,3,0)*VLOOKUP('Données projet'!$B$14,Paramètres!$A$1:$I$89,5,0)</f>
        <v>-1.0995790944434703E-13</v>
      </c>
      <c r="DQ162" s="14" t="e">
        <f t="shared" si="176"/>
        <v>#NUM!</v>
      </c>
      <c r="DR162" s="22" t="e">
        <f t="shared" si="177"/>
        <v>#NUM!</v>
      </c>
      <c r="DS162" s="62" t="e">
        <f t="shared" si="125"/>
        <v>#NUM!</v>
      </c>
      <c r="DT162" s="62">
        <f ca="1">AVERAGE(OFFSET($DS$3,0,0,'Données projet'!$E$14+1,1))-AVERAGE(OFFSET($H$3,0,0,'Données projet'!$E$14+1,1))</f>
        <v>603.52431522262032</v>
      </c>
      <c r="DU162" s="62">
        <f t="shared" si="152"/>
        <v>313.56299786481338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projet'!$B$14,Paramètres!$A$1:$I$89,3,0)*0.475*44/12</f>
        <v>0</v>
      </c>
      <c r="EB162" s="23">
        <f>EXP(-LN(2)/25)*EB161+(1-EXP(-LN(2)/25))/(LN(2)/25)*Calculateur!DW162*Calculateur!DY162*VLOOKUP('Données projet'!$B$14,Paramètres!$A$1:$I$89,3,0)*0.475*44/12</f>
        <v>0</v>
      </c>
      <c r="EC162" s="23">
        <f>EXP(-LN(2)/2)*EC161+(1-EXP(-LN(2)/2))/(LN(2)/2)*DW162*DZ162*VLOOKUP('Données projet'!$B$14,Paramètres!$A$1:$I$89,3,0)*0.475*44/12</f>
        <v>0</v>
      </c>
      <c r="ED162" s="24">
        <f t="shared" si="178"/>
        <v>0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-1.1368683772161603E-13</v>
      </c>
      <c r="EK162" s="18">
        <f>EJ162*VLOOKUP('Données projet'!$B$15,Paramètres!$A$1:$I$89,3,0)*VLOOKUP('Données projet'!$B$15,Paramètres!$A$1:$I$89,5,0)</f>
        <v>-9.2222762759774927E-14</v>
      </c>
      <c r="EL162" s="14" t="e">
        <f t="shared" si="179"/>
        <v>#NUM!</v>
      </c>
      <c r="EM162" s="22" t="e">
        <f t="shared" si="180"/>
        <v>#NUM!</v>
      </c>
      <c r="EN162" s="62" t="e">
        <f t="shared" si="128"/>
        <v>#NUM!</v>
      </c>
      <c r="EO162" s="62">
        <f ca="1">AVERAGE(OFFSET($EN$3,0,0,'Données projet'!$E$15+1,1))-AVERAGE(OFFSET($H$3,0,0,'Données projet'!$E$15+1,1))</f>
        <v>272.69564942740931</v>
      </c>
      <c r="EP162" s="62">
        <f t="shared" si="154"/>
        <v>316.57989180609252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>
        <f>EXP(-LN(2)/35)*EV161+(1-EXP(-LN(2)/35))/(LN(2)/35)*ER162*ES162*VLOOKUP('Données projet'!$B$15,Paramètres!$A$1:$I$89,3,0)*0.475*44/12</f>
        <v>0</v>
      </c>
      <c r="EW162" s="23">
        <f>EXP(-LN(2)/25)*EW161+(1-EXP(-LN(2)/25))/(LN(2)/25)*Calculateur!ER162*Calculateur!ET162*VLOOKUP('Données projet'!$B$15,Paramètres!$A$1:$I$89,3,0)*0.475*44/12</f>
        <v>0</v>
      </c>
      <c r="EX162" s="23">
        <f>EXP(-LN(2)/2)*EX161+(1-EXP(-LN(2)/2))/(LN(2)/2)*ER162*EU162*VLOOKUP('Données projet'!$B$15,Paramètres!$A$1:$I$89,3,0)*0.475*44/12</f>
        <v>0</v>
      </c>
      <c r="EY162" s="24">
        <f t="shared" si="181"/>
        <v>0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-3.4106051316484809E-13</v>
      </c>
      <c r="FF162" s="18">
        <f>FE162*VLOOKUP('Données projet'!$B$16,Paramètres!$A$1:$I$89,3,0)*VLOOKUP('Données projet'!$B$16,Paramètres!$A$1:$I$89,5,0)</f>
        <v>-2.2878339223098009E-13</v>
      </c>
      <c r="FG162" s="14" t="e">
        <f t="shared" si="182"/>
        <v>#NUM!</v>
      </c>
      <c r="FH162" s="22" t="e">
        <f t="shared" si="183"/>
        <v>#NUM!</v>
      </c>
      <c r="FI162" s="62" t="e">
        <f t="shared" si="131"/>
        <v>#NUM!</v>
      </c>
      <c r="FJ162" s="62">
        <f ca="1">AVERAGE(OFFSET($FI$3,0,0,'Données projet'!$E$16+1,1))-AVERAGE(OFFSET($H$3,0,0,'Données projet'!$E$16+1,1))</f>
        <v>440.90856392064205</v>
      </c>
      <c r="FK162" s="62">
        <f t="shared" si="156"/>
        <v>373.33139300970629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>
        <f>EXP(-LN(2)/35)*FQ161+(1-EXP(-LN(2)/35))/(LN(2)/35)*FM162*FN162*VLOOKUP('Données projet'!$B$16,Paramètres!$A$1:$I$89,3,0)*0.475*44/12</f>
        <v>0</v>
      </c>
      <c r="FR162" s="23">
        <f>EXP(-LN(2)/25)*FR161+(1-EXP(-LN(2)/25))/(LN(2)/25)*Calculateur!FM162*Calculateur!FO162*VLOOKUP('Données projet'!$B$16,Paramètres!$A$1:$I$89,3,0)*0.475*44/12</f>
        <v>0</v>
      </c>
      <c r="FS162" s="23">
        <f>EXP(-LN(2)/2)*FS161+(1-EXP(-LN(2)/2))/(LN(2)/2)*FM162*FP162*VLOOKUP('Données projet'!$B$16,Paramètres!$A$1:$I$89,3,0)*0.475*44/12</f>
        <v>0</v>
      </c>
      <c r="FT162" s="24">
        <f t="shared" si="184"/>
        <v>0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70">
        <f t="shared" si="110"/>
        <v>183.33333333333334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-1.1368683772161603E-13</v>
      </c>
      <c r="O163" s="14">
        <f>N163*VLOOKUP('Données projet'!$B$9,Paramètres!$A$1:$I$89,3,0)*VLOOKUP('Données projet'!$B$9,Paramètres!$A$1:$I$89,5,0)</f>
        <v>-1.0286385077051818E-13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570.08763950759544</v>
      </c>
      <c r="T163" s="62">
        <f t="shared" si="142"/>
        <v>297.32483725004136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-2.2737367544323206E-13</v>
      </c>
      <c r="AJ163" s="14">
        <f>AI163*VLOOKUP('Données projet'!$B$10,Paramètres!$A$1:$I$89,3,0)*VLOOKUP('Données projet'!$B$10,Paramètres!$A$1:$I$89,5,0)</f>
        <v>-1.8089849618263545E-13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394.70330963327166</v>
      </c>
      <c r="AO163" s="62">
        <f t="shared" si="144"/>
        <v>424.06445894109982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-2.2737367544323206E-13</v>
      </c>
      <c r="BE163" s="14">
        <f>BD163*VLOOKUP('Données projet'!$B$11,Paramètres!$A$1:$I$89,3,0)*VLOOKUP('Données projet'!$B$11,Paramètres!$A$1:$I$89,5,0)</f>
        <v>-1.6671037883497774E-13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368.54671978064204</v>
      </c>
      <c r="BJ163" s="62">
        <f t="shared" si="146"/>
        <v>395.83504504492237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5.6843418860808015E-14</v>
      </c>
      <c r="BZ163" s="14">
        <f>BY163*VLOOKUP('Données projet'!$B$12,Paramètres!$A$1:$I$89,3,0)*VLOOKUP('Données projet'!$B$12,Paramètres!$A$1:$I$89,5,0)</f>
        <v>4.4337866711430253E-14</v>
      </c>
      <c r="CA163" s="14">
        <f t="shared" si="170"/>
        <v>7.3222115536967035E-13</v>
      </c>
      <c r="CB163" s="22">
        <f t="shared" si="171"/>
        <v>1.3525069634579169E-12</v>
      </c>
      <c r="CC163" s="62">
        <f t="shared" si="119"/>
        <v>287.75907759268972</v>
      </c>
      <c r="CD163" s="62">
        <f ca="1">AVERAGE(OFFSET($CC$3,0,0,'Données projet'!$E$12+1,1))-AVERAGE(OFFSET($H$3,0,0,'Données projet'!$E$12+1,1))</f>
        <v>309.21625451786218</v>
      </c>
      <c r="CE163" s="62">
        <f t="shared" si="148"/>
        <v>302.59481222418219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-2.8421709430404007E-13</v>
      </c>
      <c r="CU163" s="18">
        <f>CT163*VLOOKUP('Données projet'!$B$13,Paramètres!$A$1:$I$89,3,0)*VLOOKUP('Données projet'!$B$13,Paramètres!$A$1:$I$89,5,0)</f>
        <v>-2.7046098693972454E-13</v>
      </c>
      <c r="CV163" s="14" t="e">
        <f t="shared" si="173"/>
        <v>#NUM!</v>
      </c>
      <c r="CW163" s="22" t="e">
        <f t="shared" si="174"/>
        <v>#NUM!</v>
      </c>
      <c r="CX163" s="62" t="e">
        <f t="shared" si="122"/>
        <v>#NUM!</v>
      </c>
      <c r="CY163" s="62">
        <f ca="1">AVERAGE(OFFSET($CX$3,0,0,'Données projet'!$E$13+1,1))-AVERAGE(OFFSET($H$3,0,0,'Données projet'!$E$13+1,1))</f>
        <v>491.87038198656927</v>
      </c>
      <c r="CZ163" s="62">
        <f t="shared" si="150"/>
        <v>406.49261644949559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0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-1.1368683772161603E-13</v>
      </c>
      <c r="DP163" s="18">
        <f>DO163*VLOOKUP('Données projet'!$B$14,Paramètres!$A$1:$I$89,3,0)*VLOOKUP('Données projet'!$B$14,Paramètres!$A$1:$I$89,5,0)</f>
        <v>-1.0995790944434703E-13</v>
      </c>
      <c r="DQ163" s="14" t="e">
        <f t="shared" si="176"/>
        <v>#NUM!</v>
      </c>
      <c r="DR163" s="22" t="e">
        <f t="shared" si="177"/>
        <v>#NUM!</v>
      </c>
      <c r="DS163" s="62" t="e">
        <f t="shared" si="125"/>
        <v>#NUM!</v>
      </c>
      <c r="DT163" s="62">
        <f ca="1">AVERAGE(OFFSET($DS$3,0,0,'Données projet'!$E$14+1,1))-AVERAGE(OFFSET($H$3,0,0,'Données projet'!$E$14+1,1))</f>
        <v>603.52431522262032</v>
      </c>
      <c r="DU163" s="62">
        <f t="shared" si="152"/>
        <v>313.56299786481338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projet'!$B$14,Paramètres!$A$1:$I$89,3,0)*0.475*44/12</f>
        <v>0</v>
      </c>
      <c r="EB163" s="23">
        <f>EXP(-LN(2)/25)*EB162+(1-EXP(-LN(2)/25))/(LN(2)/25)*Calculateur!DW163*Calculateur!DY163*VLOOKUP('Données projet'!$B$14,Paramètres!$A$1:$I$89,3,0)*0.475*44/12</f>
        <v>0</v>
      </c>
      <c r="EC163" s="23">
        <f>EXP(-LN(2)/2)*EC162+(1-EXP(-LN(2)/2))/(LN(2)/2)*DW163*DZ163*VLOOKUP('Données projet'!$B$14,Paramètres!$A$1:$I$89,3,0)*0.475*44/12</f>
        <v>0</v>
      </c>
      <c r="ED163" s="24">
        <f t="shared" si="178"/>
        <v>0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-1.1368683772161603E-13</v>
      </c>
      <c r="EK163" s="18">
        <f>EJ163*VLOOKUP('Données projet'!$B$15,Paramètres!$A$1:$I$89,3,0)*VLOOKUP('Données projet'!$B$15,Paramètres!$A$1:$I$89,5,0)</f>
        <v>-9.2222762759774927E-14</v>
      </c>
      <c r="EL163" s="14" t="e">
        <f t="shared" si="179"/>
        <v>#NUM!</v>
      </c>
      <c r="EM163" s="22" t="e">
        <f t="shared" si="180"/>
        <v>#NUM!</v>
      </c>
      <c r="EN163" s="62" t="e">
        <f t="shared" si="128"/>
        <v>#NUM!</v>
      </c>
      <c r="EO163" s="62">
        <f ca="1">AVERAGE(OFFSET($EN$3,0,0,'Données projet'!$E$15+1,1))-AVERAGE(OFFSET($H$3,0,0,'Données projet'!$E$15+1,1))</f>
        <v>272.69564942740931</v>
      </c>
      <c r="EP163" s="62">
        <f t="shared" si="154"/>
        <v>316.57989180609252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>
        <f>EXP(-LN(2)/35)*EV162+(1-EXP(-LN(2)/35))/(LN(2)/35)*ER163*ES163*VLOOKUP('Données projet'!$B$15,Paramètres!$A$1:$I$89,3,0)*0.475*44/12</f>
        <v>0</v>
      </c>
      <c r="EW163" s="23">
        <f>EXP(-LN(2)/25)*EW162+(1-EXP(-LN(2)/25))/(LN(2)/25)*Calculateur!ER163*Calculateur!ET163*VLOOKUP('Données projet'!$B$15,Paramètres!$A$1:$I$89,3,0)*0.475*44/12</f>
        <v>0</v>
      </c>
      <c r="EX163" s="23">
        <f>EXP(-LN(2)/2)*EX162+(1-EXP(-LN(2)/2))/(LN(2)/2)*ER163*EU163*VLOOKUP('Données projet'!$B$15,Paramètres!$A$1:$I$89,3,0)*0.475*44/12</f>
        <v>0</v>
      </c>
      <c r="EY163" s="24">
        <f t="shared" si="181"/>
        <v>0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-3.4106051316484809E-13</v>
      </c>
      <c r="FF163" s="18">
        <f>FE163*VLOOKUP('Données projet'!$B$16,Paramètres!$A$1:$I$89,3,0)*VLOOKUP('Données projet'!$B$16,Paramètres!$A$1:$I$89,5,0)</f>
        <v>-2.2878339223098009E-13</v>
      </c>
      <c r="FG163" s="14" t="e">
        <f t="shared" si="182"/>
        <v>#NUM!</v>
      </c>
      <c r="FH163" s="22" t="e">
        <f t="shared" si="183"/>
        <v>#NUM!</v>
      </c>
      <c r="FI163" s="62" t="e">
        <f t="shared" si="131"/>
        <v>#NUM!</v>
      </c>
      <c r="FJ163" s="62">
        <f ca="1">AVERAGE(OFFSET($FI$3,0,0,'Données projet'!$E$16+1,1))-AVERAGE(OFFSET($H$3,0,0,'Données projet'!$E$16+1,1))</f>
        <v>440.90856392064205</v>
      </c>
      <c r="FK163" s="62">
        <f t="shared" si="156"/>
        <v>373.33139300970629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>
        <f>EXP(-LN(2)/35)*FQ162+(1-EXP(-LN(2)/35))/(LN(2)/35)*FM163*FN163*VLOOKUP('Données projet'!$B$16,Paramètres!$A$1:$I$89,3,0)*0.475*44/12</f>
        <v>0</v>
      </c>
      <c r="FR163" s="23">
        <f>EXP(-LN(2)/25)*FR162+(1-EXP(-LN(2)/25))/(LN(2)/25)*Calculateur!FM163*Calculateur!FO163*VLOOKUP('Données projet'!$B$16,Paramètres!$A$1:$I$89,3,0)*0.475*44/12</f>
        <v>0</v>
      </c>
      <c r="FS163" s="23">
        <f>EXP(-LN(2)/2)*FS162+(1-EXP(-LN(2)/2))/(LN(2)/2)*FM163*FP163*VLOOKUP('Données projet'!$B$16,Paramètres!$A$1:$I$89,3,0)*0.475*44/12</f>
        <v>0</v>
      </c>
      <c r="FT163" s="24">
        <f t="shared" si="184"/>
        <v>0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70">
        <f t="shared" si="110"/>
        <v>183.33333333333334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-1.1368683772161603E-13</v>
      </c>
      <c r="O164" s="14">
        <f>N164*VLOOKUP('Données projet'!$B$9,Paramètres!$A$1:$I$89,3,0)*VLOOKUP('Données projet'!$B$9,Paramètres!$A$1:$I$89,5,0)</f>
        <v>-1.0286385077051818E-13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570.08763950759544</v>
      </c>
      <c r="T164" s="62">
        <f t="shared" si="142"/>
        <v>297.32483725004136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-2.2737367544323206E-13</v>
      </c>
      <c r="AJ164" s="14">
        <f>AI164*VLOOKUP('Données projet'!$B$10,Paramètres!$A$1:$I$89,3,0)*VLOOKUP('Données projet'!$B$10,Paramètres!$A$1:$I$89,5,0)</f>
        <v>-1.8089849618263545E-13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394.70330963327166</v>
      </c>
      <c r="AO164" s="62">
        <f t="shared" si="144"/>
        <v>424.06445894109982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-2.2737367544323206E-13</v>
      </c>
      <c r="BE164" s="14">
        <f>BD164*VLOOKUP('Données projet'!$B$11,Paramètres!$A$1:$I$89,3,0)*VLOOKUP('Données projet'!$B$11,Paramètres!$A$1:$I$89,5,0)</f>
        <v>-1.6671037883497774E-13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368.54671978064204</v>
      </c>
      <c r="BJ164" s="62">
        <f t="shared" si="146"/>
        <v>395.83504504492237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5.6843418860808015E-14</v>
      </c>
      <c r="BZ164" s="14">
        <f>BY164*VLOOKUP('Données projet'!$B$12,Paramètres!$A$1:$I$89,3,0)*VLOOKUP('Données projet'!$B$12,Paramètres!$A$1:$I$89,5,0)</f>
        <v>4.4337866711430253E-14</v>
      </c>
      <c r="CA164" s="14">
        <f t="shared" si="170"/>
        <v>7.3222115536967035E-13</v>
      </c>
      <c r="CB164" s="22">
        <f t="shared" si="171"/>
        <v>1.3525069634579169E-12</v>
      </c>
      <c r="CC164" s="62">
        <f t="shared" si="119"/>
        <v>287.85577846762106</v>
      </c>
      <c r="CD164" s="62">
        <f ca="1">AVERAGE(OFFSET($CC$3,0,0,'Données projet'!$E$12+1,1))-AVERAGE(OFFSET($H$3,0,0,'Données projet'!$E$12+1,1))</f>
        <v>309.21625451786218</v>
      </c>
      <c r="CE164" s="62">
        <f t="shared" si="148"/>
        <v>302.59481222418219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-2.8421709430404007E-13</v>
      </c>
      <c r="CU164" s="18">
        <f>CT164*VLOOKUP('Données projet'!$B$13,Paramètres!$A$1:$I$89,3,0)*VLOOKUP('Données projet'!$B$13,Paramètres!$A$1:$I$89,5,0)</f>
        <v>-2.7046098693972454E-13</v>
      </c>
      <c r="CV164" s="14" t="e">
        <f t="shared" si="173"/>
        <v>#NUM!</v>
      </c>
      <c r="CW164" s="22" t="e">
        <f t="shared" si="174"/>
        <v>#NUM!</v>
      </c>
      <c r="CX164" s="62" t="e">
        <f t="shared" si="122"/>
        <v>#NUM!</v>
      </c>
      <c r="CY164" s="62">
        <f ca="1">AVERAGE(OFFSET($CX$3,0,0,'Données projet'!$E$13+1,1))-AVERAGE(OFFSET($H$3,0,0,'Données projet'!$E$13+1,1))</f>
        <v>491.87038198656927</v>
      </c>
      <c r="CZ164" s="62">
        <f t="shared" si="150"/>
        <v>406.49261644949559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0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-1.1368683772161603E-13</v>
      </c>
      <c r="DP164" s="18">
        <f>DO164*VLOOKUP('Données projet'!$B$14,Paramètres!$A$1:$I$89,3,0)*VLOOKUP('Données projet'!$B$14,Paramètres!$A$1:$I$89,5,0)</f>
        <v>-1.0995790944434703E-13</v>
      </c>
      <c r="DQ164" s="14" t="e">
        <f t="shared" si="176"/>
        <v>#NUM!</v>
      </c>
      <c r="DR164" s="22" t="e">
        <f t="shared" si="177"/>
        <v>#NUM!</v>
      </c>
      <c r="DS164" s="62" t="e">
        <f t="shared" si="125"/>
        <v>#NUM!</v>
      </c>
      <c r="DT164" s="62">
        <f ca="1">AVERAGE(OFFSET($DS$3,0,0,'Données projet'!$E$14+1,1))-AVERAGE(OFFSET($H$3,0,0,'Données projet'!$E$14+1,1))</f>
        <v>603.52431522262032</v>
      </c>
      <c r="DU164" s="62">
        <f t="shared" si="152"/>
        <v>313.56299786481338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projet'!$B$14,Paramètres!$A$1:$I$89,3,0)*0.475*44/12</f>
        <v>0</v>
      </c>
      <c r="EB164" s="23">
        <f>EXP(-LN(2)/25)*EB163+(1-EXP(-LN(2)/25))/(LN(2)/25)*Calculateur!DW164*Calculateur!DY164*VLOOKUP('Données projet'!$B$14,Paramètres!$A$1:$I$89,3,0)*0.475*44/12</f>
        <v>0</v>
      </c>
      <c r="EC164" s="23">
        <f>EXP(-LN(2)/2)*EC163+(1-EXP(-LN(2)/2))/(LN(2)/2)*DW164*DZ164*VLOOKUP('Données projet'!$B$14,Paramètres!$A$1:$I$89,3,0)*0.475*44/12</f>
        <v>0</v>
      </c>
      <c r="ED164" s="24">
        <f t="shared" si="178"/>
        <v>0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-1.1368683772161603E-13</v>
      </c>
      <c r="EK164" s="18">
        <f>EJ164*VLOOKUP('Données projet'!$B$15,Paramètres!$A$1:$I$89,3,0)*VLOOKUP('Données projet'!$B$15,Paramètres!$A$1:$I$89,5,0)</f>
        <v>-9.2222762759774927E-14</v>
      </c>
      <c r="EL164" s="14" t="e">
        <f t="shared" si="179"/>
        <v>#NUM!</v>
      </c>
      <c r="EM164" s="22" t="e">
        <f t="shared" si="180"/>
        <v>#NUM!</v>
      </c>
      <c r="EN164" s="62" t="e">
        <f t="shared" si="128"/>
        <v>#NUM!</v>
      </c>
      <c r="EO164" s="62">
        <f ca="1">AVERAGE(OFFSET($EN$3,0,0,'Données projet'!$E$15+1,1))-AVERAGE(OFFSET($H$3,0,0,'Données projet'!$E$15+1,1))</f>
        <v>272.69564942740931</v>
      </c>
      <c r="EP164" s="62">
        <f t="shared" si="154"/>
        <v>316.57989180609252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>
        <f>EXP(-LN(2)/35)*EV163+(1-EXP(-LN(2)/35))/(LN(2)/35)*ER164*ES164*VLOOKUP('Données projet'!$B$15,Paramètres!$A$1:$I$89,3,0)*0.475*44/12</f>
        <v>0</v>
      </c>
      <c r="EW164" s="23">
        <f>EXP(-LN(2)/25)*EW163+(1-EXP(-LN(2)/25))/(LN(2)/25)*Calculateur!ER164*Calculateur!ET164*VLOOKUP('Données projet'!$B$15,Paramètres!$A$1:$I$89,3,0)*0.475*44/12</f>
        <v>0</v>
      </c>
      <c r="EX164" s="23">
        <f>EXP(-LN(2)/2)*EX163+(1-EXP(-LN(2)/2))/(LN(2)/2)*ER164*EU164*VLOOKUP('Données projet'!$B$15,Paramètres!$A$1:$I$89,3,0)*0.475*44/12</f>
        <v>0</v>
      </c>
      <c r="EY164" s="24">
        <f t="shared" si="181"/>
        <v>0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-3.4106051316484809E-13</v>
      </c>
      <c r="FF164" s="18">
        <f>FE164*VLOOKUP('Données projet'!$B$16,Paramètres!$A$1:$I$89,3,0)*VLOOKUP('Données projet'!$B$16,Paramètres!$A$1:$I$89,5,0)</f>
        <v>-2.2878339223098009E-13</v>
      </c>
      <c r="FG164" s="14" t="e">
        <f t="shared" si="182"/>
        <v>#NUM!</v>
      </c>
      <c r="FH164" s="22" t="e">
        <f t="shared" si="183"/>
        <v>#NUM!</v>
      </c>
      <c r="FI164" s="62" t="e">
        <f t="shared" si="131"/>
        <v>#NUM!</v>
      </c>
      <c r="FJ164" s="62">
        <f ca="1">AVERAGE(OFFSET($FI$3,0,0,'Données projet'!$E$16+1,1))-AVERAGE(OFFSET($H$3,0,0,'Données projet'!$E$16+1,1))</f>
        <v>440.90856392064205</v>
      </c>
      <c r="FK164" s="62">
        <f t="shared" si="156"/>
        <v>373.33139300970629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>
        <f>EXP(-LN(2)/35)*FQ163+(1-EXP(-LN(2)/35))/(LN(2)/35)*FM164*FN164*VLOOKUP('Données projet'!$B$16,Paramètres!$A$1:$I$89,3,0)*0.475*44/12</f>
        <v>0</v>
      </c>
      <c r="FR164" s="23">
        <f>EXP(-LN(2)/25)*FR163+(1-EXP(-LN(2)/25))/(LN(2)/25)*Calculateur!FM164*Calculateur!FO164*VLOOKUP('Données projet'!$B$16,Paramètres!$A$1:$I$89,3,0)*0.475*44/12</f>
        <v>0</v>
      </c>
      <c r="FS164" s="23">
        <f>EXP(-LN(2)/2)*FS163+(1-EXP(-LN(2)/2))/(LN(2)/2)*FM164*FP164*VLOOKUP('Données projet'!$B$16,Paramètres!$A$1:$I$89,3,0)*0.475*44/12</f>
        <v>0</v>
      </c>
      <c r="FT164" s="24">
        <f t="shared" si="184"/>
        <v>0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70">
        <f t="shared" si="110"/>
        <v>183.33333333333334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-1.1368683772161603E-13</v>
      </c>
      <c r="O165" s="14">
        <f>N165*VLOOKUP('Données projet'!$B$9,Paramètres!$A$1:$I$89,3,0)*VLOOKUP('Données projet'!$B$9,Paramètres!$A$1:$I$89,5,0)</f>
        <v>-1.0286385077051818E-13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570.08763950759544</v>
      </c>
      <c r="T165" s="62">
        <f t="shared" si="142"/>
        <v>297.32483725004136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-2.2737367544323206E-13</v>
      </c>
      <c r="AJ165" s="14">
        <f>AI165*VLOOKUP('Données projet'!$B$10,Paramètres!$A$1:$I$89,3,0)*VLOOKUP('Données projet'!$B$10,Paramètres!$A$1:$I$89,5,0)</f>
        <v>-1.8089849618263545E-13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394.70330963327166</v>
      </c>
      <c r="AO165" s="62">
        <f t="shared" si="144"/>
        <v>424.06445894109982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-2.2737367544323206E-13</v>
      </c>
      <c r="BE165" s="14">
        <f>BD165*VLOOKUP('Données projet'!$B$11,Paramètres!$A$1:$I$89,3,0)*VLOOKUP('Données projet'!$B$11,Paramètres!$A$1:$I$89,5,0)</f>
        <v>-1.6671037883497774E-13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368.54671978064204</v>
      </c>
      <c r="BJ165" s="62">
        <f t="shared" si="146"/>
        <v>395.83504504492237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5.6843418860808015E-14</v>
      </c>
      <c r="BZ165" s="14">
        <f>BY165*VLOOKUP('Données projet'!$B$12,Paramètres!$A$1:$I$89,3,0)*VLOOKUP('Données projet'!$B$12,Paramètres!$A$1:$I$89,5,0)</f>
        <v>4.4337866711430253E-14</v>
      </c>
      <c r="CA165" s="14">
        <f t="shared" si="170"/>
        <v>7.3222115536967035E-13</v>
      </c>
      <c r="CB165" s="22">
        <f t="shared" si="171"/>
        <v>1.3525069634579169E-12</v>
      </c>
      <c r="CC165" s="62">
        <f t="shared" si="119"/>
        <v>287.95080179856308</v>
      </c>
      <c r="CD165" s="62">
        <f ca="1">AVERAGE(OFFSET($CC$3,0,0,'Données projet'!$E$12+1,1))-AVERAGE(OFFSET($H$3,0,0,'Données projet'!$E$12+1,1))</f>
        <v>309.21625451786218</v>
      </c>
      <c r="CE165" s="62">
        <f t="shared" si="148"/>
        <v>302.59481222418219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-2.8421709430404007E-13</v>
      </c>
      <c r="CU165" s="18">
        <f>CT165*VLOOKUP('Données projet'!$B$13,Paramètres!$A$1:$I$89,3,0)*VLOOKUP('Données projet'!$B$13,Paramètres!$A$1:$I$89,5,0)</f>
        <v>-2.7046098693972454E-13</v>
      </c>
      <c r="CV165" s="14" t="e">
        <f t="shared" si="173"/>
        <v>#NUM!</v>
      </c>
      <c r="CW165" s="22" t="e">
        <f t="shared" si="174"/>
        <v>#NUM!</v>
      </c>
      <c r="CX165" s="62" t="e">
        <f t="shared" si="122"/>
        <v>#NUM!</v>
      </c>
      <c r="CY165" s="62">
        <f ca="1">AVERAGE(OFFSET($CX$3,0,0,'Données projet'!$E$13+1,1))-AVERAGE(OFFSET($H$3,0,0,'Données projet'!$E$13+1,1))</f>
        <v>491.87038198656927</v>
      </c>
      <c r="CZ165" s="62">
        <f t="shared" si="150"/>
        <v>406.49261644949559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0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-1.1368683772161603E-13</v>
      </c>
      <c r="DP165" s="18">
        <f>DO165*VLOOKUP('Données projet'!$B$14,Paramètres!$A$1:$I$89,3,0)*VLOOKUP('Données projet'!$B$14,Paramètres!$A$1:$I$89,5,0)</f>
        <v>-1.0995790944434703E-13</v>
      </c>
      <c r="DQ165" s="14" t="e">
        <f t="shared" si="176"/>
        <v>#NUM!</v>
      </c>
      <c r="DR165" s="22" t="e">
        <f t="shared" si="177"/>
        <v>#NUM!</v>
      </c>
      <c r="DS165" s="62" t="e">
        <f t="shared" si="125"/>
        <v>#NUM!</v>
      </c>
      <c r="DT165" s="62">
        <f ca="1">AVERAGE(OFFSET($DS$3,0,0,'Données projet'!$E$14+1,1))-AVERAGE(OFFSET($H$3,0,0,'Données projet'!$E$14+1,1))</f>
        <v>603.52431522262032</v>
      </c>
      <c r="DU165" s="62">
        <f t="shared" si="152"/>
        <v>313.56299786481338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projet'!$B$14,Paramètres!$A$1:$I$89,3,0)*0.475*44/12</f>
        <v>0</v>
      </c>
      <c r="EB165" s="23">
        <f>EXP(-LN(2)/25)*EB164+(1-EXP(-LN(2)/25))/(LN(2)/25)*Calculateur!DW165*Calculateur!DY165*VLOOKUP('Données projet'!$B$14,Paramètres!$A$1:$I$89,3,0)*0.475*44/12</f>
        <v>0</v>
      </c>
      <c r="EC165" s="23">
        <f>EXP(-LN(2)/2)*EC164+(1-EXP(-LN(2)/2))/(LN(2)/2)*DW165*DZ165*VLOOKUP('Données projet'!$B$14,Paramètres!$A$1:$I$89,3,0)*0.475*44/12</f>
        <v>0</v>
      </c>
      <c r="ED165" s="24">
        <f t="shared" si="178"/>
        <v>0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-1.1368683772161603E-13</v>
      </c>
      <c r="EK165" s="18">
        <f>EJ165*VLOOKUP('Données projet'!$B$15,Paramètres!$A$1:$I$89,3,0)*VLOOKUP('Données projet'!$B$15,Paramètres!$A$1:$I$89,5,0)</f>
        <v>-9.2222762759774927E-14</v>
      </c>
      <c r="EL165" s="14" t="e">
        <f t="shared" si="179"/>
        <v>#NUM!</v>
      </c>
      <c r="EM165" s="22" t="e">
        <f t="shared" si="180"/>
        <v>#NUM!</v>
      </c>
      <c r="EN165" s="62" t="e">
        <f t="shared" si="128"/>
        <v>#NUM!</v>
      </c>
      <c r="EO165" s="62">
        <f ca="1">AVERAGE(OFFSET($EN$3,0,0,'Données projet'!$E$15+1,1))-AVERAGE(OFFSET($H$3,0,0,'Données projet'!$E$15+1,1))</f>
        <v>272.69564942740931</v>
      </c>
      <c r="EP165" s="62">
        <f t="shared" si="154"/>
        <v>316.57989180609252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>
        <f>EXP(-LN(2)/35)*EV164+(1-EXP(-LN(2)/35))/(LN(2)/35)*ER165*ES165*VLOOKUP('Données projet'!$B$15,Paramètres!$A$1:$I$89,3,0)*0.475*44/12</f>
        <v>0</v>
      </c>
      <c r="EW165" s="23">
        <f>EXP(-LN(2)/25)*EW164+(1-EXP(-LN(2)/25))/(LN(2)/25)*Calculateur!ER165*Calculateur!ET165*VLOOKUP('Données projet'!$B$15,Paramètres!$A$1:$I$89,3,0)*0.475*44/12</f>
        <v>0</v>
      </c>
      <c r="EX165" s="23">
        <f>EXP(-LN(2)/2)*EX164+(1-EXP(-LN(2)/2))/(LN(2)/2)*ER165*EU165*VLOOKUP('Données projet'!$B$15,Paramètres!$A$1:$I$89,3,0)*0.475*44/12</f>
        <v>0</v>
      </c>
      <c r="EY165" s="24">
        <f t="shared" si="181"/>
        <v>0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-3.4106051316484809E-13</v>
      </c>
      <c r="FF165" s="18">
        <f>FE165*VLOOKUP('Données projet'!$B$16,Paramètres!$A$1:$I$89,3,0)*VLOOKUP('Données projet'!$B$16,Paramètres!$A$1:$I$89,5,0)</f>
        <v>-2.2878339223098009E-13</v>
      </c>
      <c r="FG165" s="14" t="e">
        <f t="shared" si="182"/>
        <v>#NUM!</v>
      </c>
      <c r="FH165" s="22" t="e">
        <f t="shared" si="183"/>
        <v>#NUM!</v>
      </c>
      <c r="FI165" s="62" t="e">
        <f t="shared" si="131"/>
        <v>#NUM!</v>
      </c>
      <c r="FJ165" s="62">
        <f ca="1">AVERAGE(OFFSET($FI$3,0,0,'Données projet'!$E$16+1,1))-AVERAGE(OFFSET($H$3,0,0,'Données projet'!$E$16+1,1))</f>
        <v>440.90856392064205</v>
      </c>
      <c r="FK165" s="62">
        <f t="shared" si="156"/>
        <v>373.33139300970629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>
        <f>EXP(-LN(2)/35)*FQ164+(1-EXP(-LN(2)/35))/(LN(2)/35)*FM165*FN165*VLOOKUP('Données projet'!$B$16,Paramètres!$A$1:$I$89,3,0)*0.475*44/12</f>
        <v>0</v>
      </c>
      <c r="FR165" s="23">
        <f>EXP(-LN(2)/25)*FR164+(1-EXP(-LN(2)/25))/(LN(2)/25)*Calculateur!FM165*Calculateur!FO165*VLOOKUP('Données projet'!$B$16,Paramètres!$A$1:$I$89,3,0)*0.475*44/12</f>
        <v>0</v>
      </c>
      <c r="FS165" s="23">
        <f>EXP(-LN(2)/2)*FS164+(1-EXP(-LN(2)/2))/(LN(2)/2)*FM165*FP165*VLOOKUP('Données projet'!$B$16,Paramètres!$A$1:$I$89,3,0)*0.475*44/12</f>
        <v>0</v>
      </c>
      <c r="FT165" s="24">
        <f t="shared" si="184"/>
        <v>0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70">
        <f t="shared" si="110"/>
        <v>183.33333333333334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-1.1368683772161603E-13</v>
      </c>
      <c r="O166" s="14">
        <f>N166*VLOOKUP('Données projet'!$B$9,Paramètres!$A$1:$I$89,3,0)*VLOOKUP('Données projet'!$B$9,Paramètres!$A$1:$I$89,5,0)</f>
        <v>-1.0286385077051818E-13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570.08763950759544</v>
      </c>
      <c r="T166" s="62">
        <f t="shared" si="142"/>
        <v>297.32483725004136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-2.2737367544323206E-13</v>
      </c>
      <c r="AJ166" s="14">
        <f>AI166*VLOOKUP('Données projet'!$B$10,Paramètres!$A$1:$I$89,3,0)*VLOOKUP('Données projet'!$B$10,Paramètres!$A$1:$I$89,5,0)</f>
        <v>-1.8089849618263545E-13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394.70330963327166</v>
      </c>
      <c r="AO166" s="62">
        <f t="shared" si="144"/>
        <v>424.06445894109982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-2.2737367544323206E-13</v>
      </c>
      <c r="BE166" s="14">
        <f>BD166*VLOOKUP('Données projet'!$B$11,Paramètres!$A$1:$I$89,3,0)*VLOOKUP('Données projet'!$B$11,Paramètres!$A$1:$I$89,5,0)</f>
        <v>-1.6671037883497774E-13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368.54671978064204</v>
      </c>
      <c r="BJ166" s="62">
        <f t="shared" si="146"/>
        <v>395.83504504492237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5.6843418860808015E-14</v>
      </c>
      <c r="BZ166" s="14">
        <f>BY166*VLOOKUP('Données projet'!$B$12,Paramètres!$A$1:$I$89,3,0)*VLOOKUP('Données projet'!$B$12,Paramètres!$A$1:$I$89,5,0)</f>
        <v>4.4337866711430253E-14</v>
      </c>
      <c r="CA166" s="14">
        <f t="shared" si="170"/>
        <v>7.3222115536967035E-13</v>
      </c>
      <c r="CB166" s="22">
        <f t="shared" si="171"/>
        <v>1.3525069634579169E-12</v>
      </c>
      <c r="CC166" s="62">
        <f t="shared" si="119"/>
        <v>288.04417668715359</v>
      </c>
      <c r="CD166" s="62">
        <f ca="1">AVERAGE(OFFSET($CC$3,0,0,'Données projet'!$E$12+1,1))-AVERAGE(OFFSET($H$3,0,0,'Données projet'!$E$12+1,1))</f>
        <v>309.21625451786218</v>
      </c>
      <c r="CE166" s="62">
        <f t="shared" si="148"/>
        <v>302.59481222418219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-2.8421709430404007E-13</v>
      </c>
      <c r="CU166" s="18">
        <f>CT166*VLOOKUP('Données projet'!$B$13,Paramètres!$A$1:$I$89,3,0)*VLOOKUP('Données projet'!$B$13,Paramètres!$A$1:$I$89,5,0)</f>
        <v>-2.7046098693972454E-13</v>
      </c>
      <c r="CV166" s="14" t="e">
        <f t="shared" si="173"/>
        <v>#NUM!</v>
      </c>
      <c r="CW166" s="22" t="e">
        <f t="shared" si="174"/>
        <v>#NUM!</v>
      </c>
      <c r="CX166" s="62" t="e">
        <f t="shared" si="122"/>
        <v>#NUM!</v>
      </c>
      <c r="CY166" s="62">
        <f ca="1">AVERAGE(OFFSET($CX$3,0,0,'Données projet'!$E$13+1,1))-AVERAGE(OFFSET($H$3,0,0,'Données projet'!$E$13+1,1))</f>
        <v>491.87038198656927</v>
      </c>
      <c r="CZ166" s="62">
        <f t="shared" si="150"/>
        <v>406.49261644949559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0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-1.1368683772161603E-13</v>
      </c>
      <c r="DP166" s="18">
        <f>DO166*VLOOKUP('Données projet'!$B$14,Paramètres!$A$1:$I$89,3,0)*VLOOKUP('Données projet'!$B$14,Paramètres!$A$1:$I$89,5,0)</f>
        <v>-1.0995790944434703E-13</v>
      </c>
      <c r="DQ166" s="14" t="e">
        <f t="shared" si="176"/>
        <v>#NUM!</v>
      </c>
      <c r="DR166" s="22" t="e">
        <f t="shared" si="177"/>
        <v>#NUM!</v>
      </c>
      <c r="DS166" s="62" t="e">
        <f t="shared" si="125"/>
        <v>#NUM!</v>
      </c>
      <c r="DT166" s="62">
        <f ca="1">AVERAGE(OFFSET($DS$3,0,0,'Données projet'!$E$14+1,1))-AVERAGE(OFFSET($H$3,0,0,'Données projet'!$E$14+1,1))</f>
        <v>603.52431522262032</v>
      </c>
      <c r="DU166" s="62">
        <f t="shared" si="152"/>
        <v>313.56299786481338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projet'!$B$14,Paramètres!$A$1:$I$89,3,0)*0.475*44/12</f>
        <v>0</v>
      </c>
      <c r="EB166" s="23">
        <f>EXP(-LN(2)/25)*EB165+(1-EXP(-LN(2)/25))/(LN(2)/25)*Calculateur!DW166*Calculateur!DY166*VLOOKUP('Données projet'!$B$14,Paramètres!$A$1:$I$89,3,0)*0.475*44/12</f>
        <v>0</v>
      </c>
      <c r="EC166" s="23">
        <f>EXP(-LN(2)/2)*EC165+(1-EXP(-LN(2)/2))/(LN(2)/2)*DW166*DZ166*VLOOKUP('Données projet'!$B$14,Paramètres!$A$1:$I$89,3,0)*0.475*44/12</f>
        <v>0</v>
      </c>
      <c r="ED166" s="24">
        <f t="shared" si="178"/>
        <v>0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-1.1368683772161603E-13</v>
      </c>
      <c r="EK166" s="18">
        <f>EJ166*VLOOKUP('Données projet'!$B$15,Paramètres!$A$1:$I$89,3,0)*VLOOKUP('Données projet'!$B$15,Paramètres!$A$1:$I$89,5,0)</f>
        <v>-9.2222762759774927E-14</v>
      </c>
      <c r="EL166" s="14" t="e">
        <f t="shared" si="179"/>
        <v>#NUM!</v>
      </c>
      <c r="EM166" s="22" t="e">
        <f t="shared" si="180"/>
        <v>#NUM!</v>
      </c>
      <c r="EN166" s="62" t="e">
        <f t="shared" si="128"/>
        <v>#NUM!</v>
      </c>
      <c r="EO166" s="62">
        <f ca="1">AVERAGE(OFFSET($EN$3,0,0,'Données projet'!$E$15+1,1))-AVERAGE(OFFSET($H$3,0,0,'Données projet'!$E$15+1,1))</f>
        <v>272.69564942740931</v>
      </c>
      <c r="EP166" s="62">
        <f t="shared" si="154"/>
        <v>316.57989180609252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>
        <f>EXP(-LN(2)/35)*EV165+(1-EXP(-LN(2)/35))/(LN(2)/35)*ER166*ES166*VLOOKUP('Données projet'!$B$15,Paramètres!$A$1:$I$89,3,0)*0.475*44/12</f>
        <v>0</v>
      </c>
      <c r="EW166" s="23">
        <f>EXP(-LN(2)/25)*EW165+(1-EXP(-LN(2)/25))/(LN(2)/25)*Calculateur!ER166*Calculateur!ET166*VLOOKUP('Données projet'!$B$15,Paramètres!$A$1:$I$89,3,0)*0.475*44/12</f>
        <v>0</v>
      </c>
      <c r="EX166" s="23">
        <f>EXP(-LN(2)/2)*EX165+(1-EXP(-LN(2)/2))/(LN(2)/2)*ER166*EU166*VLOOKUP('Données projet'!$B$15,Paramètres!$A$1:$I$89,3,0)*0.475*44/12</f>
        <v>0</v>
      </c>
      <c r="EY166" s="24">
        <f t="shared" si="181"/>
        <v>0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-3.4106051316484809E-13</v>
      </c>
      <c r="FF166" s="18">
        <f>FE166*VLOOKUP('Données projet'!$B$16,Paramètres!$A$1:$I$89,3,0)*VLOOKUP('Données projet'!$B$16,Paramètres!$A$1:$I$89,5,0)</f>
        <v>-2.2878339223098009E-13</v>
      </c>
      <c r="FG166" s="14" t="e">
        <f t="shared" si="182"/>
        <v>#NUM!</v>
      </c>
      <c r="FH166" s="22" t="e">
        <f t="shared" si="183"/>
        <v>#NUM!</v>
      </c>
      <c r="FI166" s="62" t="e">
        <f t="shared" si="131"/>
        <v>#NUM!</v>
      </c>
      <c r="FJ166" s="62">
        <f ca="1">AVERAGE(OFFSET($FI$3,0,0,'Données projet'!$E$16+1,1))-AVERAGE(OFFSET($H$3,0,0,'Données projet'!$E$16+1,1))</f>
        <v>440.90856392064205</v>
      </c>
      <c r="FK166" s="62">
        <f t="shared" si="156"/>
        <v>373.33139300970629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>
        <f>EXP(-LN(2)/35)*FQ165+(1-EXP(-LN(2)/35))/(LN(2)/35)*FM166*FN166*VLOOKUP('Données projet'!$B$16,Paramètres!$A$1:$I$89,3,0)*0.475*44/12</f>
        <v>0</v>
      </c>
      <c r="FR166" s="23">
        <f>EXP(-LN(2)/25)*FR165+(1-EXP(-LN(2)/25))/(LN(2)/25)*Calculateur!FM166*Calculateur!FO166*VLOOKUP('Données projet'!$B$16,Paramètres!$A$1:$I$89,3,0)*0.475*44/12</f>
        <v>0</v>
      </c>
      <c r="FS166" s="23">
        <f>EXP(-LN(2)/2)*FS165+(1-EXP(-LN(2)/2))/(LN(2)/2)*FM166*FP166*VLOOKUP('Données projet'!$B$16,Paramètres!$A$1:$I$89,3,0)*0.475*44/12</f>
        <v>0</v>
      </c>
      <c r="FT166" s="24">
        <f t="shared" si="184"/>
        <v>0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70">
        <f t="shared" si="110"/>
        <v>183.33333333333334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-1.1368683772161603E-13</v>
      </c>
      <c r="O167" s="14">
        <f>N167*VLOOKUP('Données projet'!$B$9,Paramètres!$A$1:$I$89,3,0)*VLOOKUP('Données projet'!$B$9,Paramètres!$A$1:$I$89,5,0)</f>
        <v>-1.0286385077051818E-13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570.08763950759544</v>
      </c>
      <c r="T167" s="62">
        <f t="shared" si="142"/>
        <v>297.32483725004136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-2.2737367544323206E-13</v>
      </c>
      <c r="AJ167" s="14">
        <f>AI167*VLOOKUP('Données projet'!$B$10,Paramètres!$A$1:$I$89,3,0)*VLOOKUP('Données projet'!$B$10,Paramètres!$A$1:$I$89,5,0)</f>
        <v>-1.8089849618263545E-13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394.70330963327166</v>
      </c>
      <c r="AO167" s="62">
        <f t="shared" si="144"/>
        <v>424.06445894109982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-2.2737367544323206E-13</v>
      </c>
      <c r="BE167" s="14">
        <f>BD167*VLOOKUP('Données projet'!$B$11,Paramètres!$A$1:$I$89,3,0)*VLOOKUP('Données projet'!$B$11,Paramètres!$A$1:$I$89,5,0)</f>
        <v>-1.6671037883497774E-13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368.54671978064204</v>
      </c>
      <c r="BJ167" s="62">
        <f t="shared" si="146"/>
        <v>395.83504504492237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5.6843418860808015E-14</v>
      </c>
      <c r="BZ167" s="14">
        <f>BY167*VLOOKUP('Données projet'!$B$12,Paramètres!$A$1:$I$89,3,0)*VLOOKUP('Données projet'!$B$12,Paramètres!$A$1:$I$89,5,0)</f>
        <v>4.4337866711430253E-14</v>
      </c>
      <c r="CA167" s="14">
        <f t="shared" si="170"/>
        <v>7.3222115536967035E-13</v>
      </c>
      <c r="CB167" s="22">
        <f t="shared" si="171"/>
        <v>1.3525069634579169E-12</v>
      </c>
      <c r="CC167" s="62">
        <f t="shared" si="119"/>
        <v>288.13593173018205</v>
      </c>
      <c r="CD167" s="62">
        <f ca="1">AVERAGE(OFFSET($CC$3,0,0,'Données projet'!$E$12+1,1))-AVERAGE(OFFSET($H$3,0,0,'Données projet'!$E$12+1,1))</f>
        <v>309.21625451786218</v>
      </c>
      <c r="CE167" s="62">
        <f t="shared" si="148"/>
        <v>302.59481222418219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-2.8421709430404007E-13</v>
      </c>
      <c r="CU167" s="18">
        <f>CT167*VLOOKUP('Données projet'!$B$13,Paramètres!$A$1:$I$89,3,0)*VLOOKUP('Données projet'!$B$13,Paramètres!$A$1:$I$89,5,0)</f>
        <v>-2.7046098693972454E-13</v>
      </c>
      <c r="CV167" s="14" t="e">
        <f t="shared" si="173"/>
        <v>#NUM!</v>
      </c>
      <c r="CW167" s="22" t="e">
        <f t="shared" si="174"/>
        <v>#NUM!</v>
      </c>
      <c r="CX167" s="62" t="e">
        <f t="shared" si="122"/>
        <v>#NUM!</v>
      </c>
      <c r="CY167" s="62">
        <f ca="1">AVERAGE(OFFSET($CX$3,0,0,'Données projet'!$E$13+1,1))-AVERAGE(OFFSET($H$3,0,0,'Données projet'!$E$13+1,1))</f>
        <v>491.87038198656927</v>
      </c>
      <c r="CZ167" s="62">
        <f t="shared" si="150"/>
        <v>406.49261644949559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0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-1.1368683772161603E-13</v>
      </c>
      <c r="DP167" s="18">
        <f>DO167*VLOOKUP('Données projet'!$B$14,Paramètres!$A$1:$I$89,3,0)*VLOOKUP('Données projet'!$B$14,Paramètres!$A$1:$I$89,5,0)</f>
        <v>-1.0995790944434703E-13</v>
      </c>
      <c r="DQ167" s="14" t="e">
        <f t="shared" si="176"/>
        <v>#NUM!</v>
      </c>
      <c r="DR167" s="22" t="e">
        <f t="shared" si="177"/>
        <v>#NUM!</v>
      </c>
      <c r="DS167" s="62" t="e">
        <f t="shared" si="125"/>
        <v>#NUM!</v>
      </c>
      <c r="DT167" s="62">
        <f ca="1">AVERAGE(OFFSET($DS$3,0,0,'Données projet'!$E$14+1,1))-AVERAGE(OFFSET($H$3,0,0,'Données projet'!$E$14+1,1))</f>
        <v>603.52431522262032</v>
      </c>
      <c r="DU167" s="62">
        <f t="shared" si="152"/>
        <v>313.56299786481338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projet'!$B$14,Paramètres!$A$1:$I$89,3,0)*0.475*44/12</f>
        <v>0</v>
      </c>
      <c r="EB167" s="23">
        <f>EXP(-LN(2)/25)*EB166+(1-EXP(-LN(2)/25))/(LN(2)/25)*Calculateur!DW167*Calculateur!DY167*VLOOKUP('Données projet'!$B$14,Paramètres!$A$1:$I$89,3,0)*0.475*44/12</f>
        <v>0</v>
      </c>
      <c r="EC167" s="23">
        <f>EXP(-LN(2)/2)*EC166+(1-EXP(-LN(2)/2))/(LN(2)/2)*DW167*DZ167*VLOOKUP('Données projet'!$B$14,Paramètres!$A$1:$I$89,3,0)*0.475*44/12</f>
        <v>0</v>
      </c>
      <c r="ED167" s="24">
        <f t="shared" si="178"/>
        <v>0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-1.1368683772161603E-13</v>
      </c>
      <c r="EK167" s="18">
        <f>EJ167*VLOOKUP('Données projet'!$B$15,Paramètres!$A$1:$I$89,3,0)*VLOOKUP('Données projet'!$B$15,Paramètres!$A$1:$I$89,5,0)</f>
        <v>-9.2222762759774927E-14</v>
      </c>
      <c r="EL167" s="14" t="e">
        <f t="shared" si="179"/>
        <v>#NUM!</v>
      </c>
      <c r="EM167" s="22" t="e">
        <f t="shared" si="180"/>
        <v>#NUM!</v>
      </c>
      <c r="EN167" s="62" t="e">
        <f t="shared" si="128"/>
        <v>#NUM!</v>
      </c>
      <c r="EO167" s="62">
        <f ca="1">AVERAGE(OFFSET($EN$3,0,0,'Données projet'!$E$15+1,1))-AVERAGE(OFFSET($H$3,0,0,'Données projet'!$E$15+1,1))</f>
        <v>272.69564942740931</v>
      </c>
      <c r="EP167" s="62">
        <f t="shared" si="154"/>
        <v>316.57989180609252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>
        <f>EXP(-LN(2)/35)*EV166+(1-EXP(-LN(2)/35))/(LN(2)/35)*ER167*ES167*VLOOKUP('Données projet'!$B$15,Paramètres!$A$1:$I$89,3,0)*0.475*44/12</f>
        <v>0</v>
      </c>
      <c r="EW167" s="23">
        <f>EXP(-LN(2)/25)*EW166+(1-EXP(-LN(2)/25))/(LN(2)/25)*Calculateur!ER167*Calculateur!ET167*VLOOKUP('Données projet'!$B$15,Paramètres!$A$1:$I$89,3,0)*0.475*44/12</f>
        <v>0</v>
      </c>
      <c r="EX167" s="23">
        <f>EXP(-LN(2)/2)*EX166+(1-EXP(-LN(2)/2))/(LN(2)/2)*ER167*EU167*VLOOKUP('Données projet'!$B$15,Paramètres!$A$1:$I$89,3,0)*0.475*44/12</f>
        <v>0</v>
      </c>
      <c r="EY167" s="24">
        <f t="shared" si="181"/>
        <v>0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-3.4106051316484809E-13</v>
      </c>
      <c r="FF167" s="18">
        <f>FE167*VLOOKUP('Données projet'!$B$16,Paramètres!$A$1:$I$89,3,0)*VLOOKUP('Données projet'!$B$16,Paramètres!$A$1:$I$89,5,0)</f>
        <v>-2.2878339223098009E-13</v>
      </c>
      <c r="FG167" s="14" t="e">
        <f t="shared" si="182"/>
        <v>#NUM!</v>
      </c>
      <c r="FH167" s="22" t="e">
        <f t="shared" si="183"/>
        <v>#NUM!</v>
      </c>
      <c r="FI167" s="62" t="e">
        <f t="shared" si="131"/>
        <v>#NUM!</v>
      </c>
      <c r="FJ167" s="62">
        <f ca="1">AVERAGE(OFFSET($FI$3,0,0,'Données projet'!$E$16+1,1))-AVERAGE(OFFSET($H$3,0,0,'Données projet'!$E$16+1,1))</f>
        <v>440.90856392064205</v>
      </c>
      <c r="FK167" s="62">
        <f t="shared" si="156"/>
        <v>373.33139300970629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>
        <f>EXP(-LN(2)/35)*FQ166+(1-EXP(-LN(2)/35))/(LN(2)/35)*FM167*FN167*VLOOKUP('Données projet'!$B$16,Paramètres!$A$1:$I$89,3,0)*0.475*44/12</f>
        <v>0</v>
      </c>
      <c r="FR167" s="23">
        <f>EXP(-LN(2)/25)*FR166+(1-EXP(-LN(2)/25))/(LN(2)/25)*Calculateur!FM167*Calculateur!FO167*VLOOKUP('Données projet'!$B$16,Paramètres!$A$1:$I$89,3,0)*0.475*44/12</f>
        <v>0</v>
      </c>
      <c r="FS167" s="23">
        <f>EXP(-LN(2)/2)*FS166+(1-EXP(-LN(2)/2))/(LN(2)/2)*FM167*FP167*VLOOKUP('Données projet'!$B$16,Paramètres!$A$1:$I$89,3,0)*0.475*44/12</f>
        <v>0</v>
      </c>
      <c r="FT167" s="24">
        <f t="shared" si="184"/>
        <v>0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70">
        <f t="shared" si="110"/>
        <v>183.33333333333334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-1.1368683772161603E-13</v>
      </c>
      <c r="O168" s="14">
        <f>N168*VLOOKUP('Données projet'!$B$9,Paramètres!$A$1:$I$89,3,0)*VLOOKUP('Données projet'!$B$9,Paramètres!$A$1:$I$89,5,0)</f>
        <v>-1.0286385077051818E-13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570.08763950759544</v>
      </c>
      <c r="T168" s="62">
        <f t="shared" si="142"/>
        <v>297.32483725004136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-2.2737367544323206E-13</v>
      </c>
      <c r="AJ168" s="14">
        <f>AI168*VLOOKUP('Données projet'!$B$10,Paramètres!$A$1:$I$89,3,0)*VLOOKUP('Données projet'!$B$10,Paramètres!$A$1:$I$89,5,0)</f>
        <v>-1.8089849618263545E-13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394.70330963327166</v>
      </c>
      <c r="AO168" s="62">
        <f t="shared" si="144"/>
        <v>424.06445894109982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-2.2737367544323206E-13</v>
      </c>
      <c r="BE168" s="14">
        <f>BD168*VLOOKUP('Données projet'!$B$11,Paramètres!$A$1:$I$89,3,0)*VLOOKUP('Données projet'!$B$11,Paramètres!$A$1:$I$89,5,0)</f>
        <v>-1.6671037883497774E-13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368.54671978064204</v>
      </c>
      <c r="BJ168" s="62">
        <f t="shared" si="146"/>
        <v>395.83504504492237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5.6843418860808015E-14</v>
      </c>
      <c r="BZ168" s="14">
        <f>BY168*VLOOKUP('Données projet'!$B$12,Paramètres!$A$1:$I$89,3,0)*VLOOKUP('Données projet'!$B$12,Paramètres!$A$1:$I$89,5,0)</f>
        <v>4.4337866711430253E-14</v>
      </c>
      <c r="CA168" s="14">
        <f t="shared" si="170"/>
        <v>7.3222115536967035E-13</v>
      </c>
      <c r="CB168" s="22">
        <f t="shared" si="171"/>
        <v>1.3525069634579169E-12</v>
      </c>
      <c r="CC168" s="62">
        <f t="shared" si="119"/>
        <v>288.22609502834752</v>
      </c>
      <c r="CD168" s="62">
        <f ca="1">AVERAGE(OFFSET($CC$3,0,0,'Données projet'!$E$12+1,1))-AVERAGE(OFFSET($H$3,0,0,'Données projet'!$E$12+1,1))</f>
        <v>309.21625451786218</v>
      </c>
      <c r="CE168" s="62">
        <f t="shared" si="148"/>
        <v>302.59481222418219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-2.8421709430404007E-13</v>
      </c>
      <c r="CU168" s="18">
        <f>CT168*VLOOKUP('Données projet'!$B$13,Paramètres!$A$1:$I$89,3,0)*VLOOKUP('Données projet'!$B$13,Paramètres!$A$1:$I$89,5,0)</f>
        <v>-2.7046098693972454E-13</v>
      </c>
      <c r="CV168" s="14" t="e">
        <f t="shared" si="173"/>
        <v>#NUM!</v>
      </c>
      <c r="CW168" s="22" t="e">
        <f t="shared" si="174"/>
        <v>#NUM!</v>
      </c>
      <c r="CX168" s="62" t="e">
        <f t="shared" si="122"/>
        <v>#NUM!</v>
      </c>
      <c r="CY168" s="62">
        <f ca="1">AVERAGE(OFFSET($CX$3,0,0,'Données projet'!$E$13+1,1))-AVERAGE(OFFSET($H$3,0,0,'Données projet'!$E$13+1,1))</f>
        <v>491.87038198656927</v>
      </c>
      <c r="CZ168" s="62">
        <f t="shared" si="150"/>
        <v>406.49261644949559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0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-1.1368683772161603E-13</v>
      </c>
      <c r="DP168" s="18">
        <f>DO168*VLOOKUP('Données projet'!$B$14,Paramètres!$A$1:$I$89,3,0)*VLOOKUP('Données projet'!$B$14,Paramètres!$A$1:$I$89,5,0)</f>
        <v>-1.0995790944434703E-13</v>
      </c>
      <c r="DQ168" s="14" t="e">
        <f t="shared" si="176"/>
        <v>#NUM!</v>
      </c>
      <c r="DR168" s="22" t="e">
        <f t="shared" si="177"/>
        <v>#NUM!</v>
      </c>
      <c r="DS168" s="62" t="e">
        <f t="shared" si="125"/>
        <v>#NUM!</v>
      </c>
      <c r="DT168" s="62">
        <f ca="1">AVERAGE(OFFSET($DS$3,0,0,'Données projet'!$E$14+1,1))-AVERAGE(OFFSET($H$3,0,0,'Données projet'!$E$14+1,1))</f>
        <v>603.52431522262032</v>
      </c>
      <c r="DU168" s="62">
        <f t="shared" si="152"/>
        <v>313.56299786481338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projet'!$B$14,Paramètres!$A$1:$I$89,3,0)*0.475*44/12</f>
        <v>0</v>
      </c>
      <c r="EB168" s="23">
        <f>EXP(-LN(2)/25)*EB167+(1-EXP(-LN(2)/25))/(LN(2)/25)*Calculateur!DW168*Calculateur!DY168*VLOOKUP('Données projet'!$B$14,Paramètres!$A$1:$I$89,3,0)*0.475*44/12</f>
        <v>0</v>
      </c>
      <c r="EC168" s="23">
        <f>EXP(-LN(2)/2)*EC167+(1-EXP(-LN(2)/2))/(LN(2)/2)*DW168*DZ168*VLOOKUP('Données projet'!$B$14,Paramètres!$A$1:$I$89,3,0)*0.475*44/12</f>
        <v>0</v>
      </c>
      <c r="ED168" s="24">
        <f t="shared" si="178"/>
        <v>0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-1.1368683772161603E-13</v>
      </c>
      <c r="EK168" s="18">
        <f>EJ168*VLOOKUP('Données projet'!$B$15,Paramètres!$A$1:$I$89,3,0)*VLOOKUP('Données projet'!$B$15,Paramètres!$A$1:$I$89,5,0)</f>
        <v>-9.2222762759774927E-14</v>
      </c>
      <c r="EL168" s="14" t="e">
        <f t="shared" si="179"/>
        <v>#NUM!</v>
      </c>
      <c r="EM168" s="22" t="e">
        <f t="shared" si="180"/>
        <v>#NUM!</v>
      </c>
      <c r="EN168" s="62" t="e">
        <f t="shared" si="128"/>
        <v>#NUM!</v>
      </c>
      <c r="EO168" s="62">
        <f ca="1">AVERAGE(OFFSET($EN$3,0,0,'Données projet'!$E$15+1,1))-AVERAGE(OFFSET($H$3,0,0,'Données projet'!$E$15+1,1))</f>
        <v>272.69564942740931</v>
      </c>
      <c r="EP168" s="62">
        <f t="shared" si="154"/>
        <v>316.57989180609252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>
        <f>EXP(-LN(2)/35)*EV167+(1-EXP(-LN(2)/35))/(LN(2)/35)*ER168*ES168*VLOOKUP('Données projet'!$B$15,Paramètres!$A$1:$I$89,3,0)*0.475*44/12</f>
        <v>0</v>
      </c>
      <c r="EW168" s="23">
        <f>EXP(-LN(2)/25)*EW167+(1-EXP(-LN(2)/25))/(LN(2)/25)*Calculateur!ER168*Calculateur!ET168*VLOOKUP('Données projet'!$B$15,Paramètres!$A$1:$I$89,3,0)*0.475*44/12</f>
        <v>0</v>
      </c>
      <c r="EX168" s="23">
        <f>EXP(-LN(2)/2)*EX167+(1-EXP(-LN(2)/2))/(LN(2)/2)*ER168*EU168*VLOOKUP('Données projet'!$B$15,Paramètres!$A$1:$I$89,3,0)*0.475*44/12</f>
        <v>0</v>
      </c>
      <c r="EY168" s="24">
        <f t="shared" si="181"/>
        <v>0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-3.4106051316484809E-13</v>
      </c>
      <c r="FF168" s="18">
        <f>FE168*VLOOKUP('Données projet'!$B$16,Paramètres!$A$1:$I$89,3,0)*VLOOKUP('Données projet'!$B$16,Paramètres!$A$1:$I$89,5,0)</f>
        <v>-2.2878339223098009E-13</v>
      </c>
      <c r="FG168" s="14" t="e">
        <f t="shared" si="182"/>
        <v>#NUM!</v>
      </c>
      <c r="FH168" s="22" t="e">
        <f t="shared" si="183"/>
        <v>#NUM!</v>
      </c>
      <c r="FI168" s="62" t="e">
        <f t="shared" si="131"/>
        <v>#NUM!</v>
      </c>
      <c r="FJ168" s="62">
        <f ca="1">AVERAGE(OFFSET($FI$3,0,0,'Données projet'!$E$16+1,1))-AVERAGE(OFFSET($H$3,0,0,'Données projet'!$E$16+1,1))</f>
        <v>440.90856392064205</v>
      </c>
      <c r="FK168" s="62">
        <f t="shared" si="156"/>
        <v>373.33139300970629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>
        <f>EXP(-LN(2)/35)*FQ167+(1-EXP(-LN(2)/35))/(LN(2)/35)*FM168*FN168*VLOOKUP('Données projet'!$B$16,Paramètres!$A$1:$I$89,3,0)*0.475*44/12</f>
        <v>0</v>
      </c>
      <c r="FR168" s="23">
        <f>EXP(-LN(2)/25)*FR167+(1-EXP(-LN(2)/25))/(LN(2)/25)*Calculateur!FM168*Calculateur!FO168*VLOOKUP('Données projet'!$B$16,Paramètres!$A$1:$I$89,3,0)*0.475*44/12</f>
        <v>0</v>
      </c>
      <c r="FS168" s="23">
        <f>EXP(-LN(2)/2)*FS167+(1-EXP(-LN(2)/2))/(LN(2)/2)*FM168*FP168*VLOOKUP('Données projet'!$B$16,Paramètres!$A$1:$I$89,3,0)*0.475*44/12</f>
        <v>0</v>
      </c>
      <c r="FT168" s="24">
        <f t="shared" si="184"/>
        <v>0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70">
        <f t="shared" si="110"/>
        <v>183.33333333333334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-1.1368683772161603E-13</v>
      </c>
      <c r="O169" s="14">
        <f>N169*VLOOKUP('Données projet'!$B$9,Paramètres!$A$1:$I$89,3,0)*VLOOKUP('Données projet'!$B$9,Paramètres!$A$1:$I$89,5,0)</f>
        <v>-1.0286385077051818E-13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570.08763950759544</v>
      </c>
      <c r="T169" s="62">
        <f t="shared" si="142"/>
        <v>297.32483725004136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-2.2737367544323206E-13</v>
      </c>
      <c r="AJ169" s="14">
        <f>AI169*VLOOKUP('Données projet'!$B$10,Paramètres!$A$1:$I$89,3,0)*VLOOKUP('Données projet'!$B$10,Paramètres!$A$1:$I$89,5,0)</f>
        <v>-1.8089849618263545E-13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394.70330963327166</v>
      </c>
      <c r="AO169" s="62">
        <f t="shared" si="144"/>
        <v>424.06445894109982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-2.2737367544323206E-13</v>
      </c>
      <c r="BE169" s="14">
        <f>BD169*VLOOKUP('Données projet'!$B$11,Paramètres!$A$1:$I$89,3,0)*VLOOKUP('Données projet'!$B$11,Paramètres!$A$1:$I$89,5,0)</f>
        <v>-1.6671037883497774E-13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368.54671978064204</v>
      </c>
      <c r="BJ169" s="62">
        <f t="shared" si="146"/>
        <v>395.83504504492237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5.6843418860808015E-14</v>
      </c>
      <c r="BZ169" s="14">
        <f>BY169*VLOOKUP('Données projet'!$B$12,Paramètres!$A$1:$I$89,3,0)*VLOOKUP('Données projet'!$B$12,Paramètres!$A$1:$I$89,5,0)</f>
        <v>4.4337866711430253E-14</v>
      </c>
      <c r="CA169" s="14">
        <f t="shared" si="170"/>
        <v>7.3222115536967035E-13</v>
      </c>
      <c r="CB169" s="22">
        <f t="shared" si="171"/>
        <v>1.3525069634579169E-12</v>
      </c>
      <c r="CC169" s="62">
        <f t="shared" si="119"/>
        <v>288.31469419486479</v>
      </c>
      <c r="CD169" s="62">
        <f ca="1">AVERAGE(OFFSET($CC$3,0,0,'Données projet'!$E$12+1,1))-AVERAGE(OFFSET($H$3,0,0,'Données projet'!$E$12+1,1))</f>
        <v>309.21625451786218</v>
      </c>
      <c r="CE169" s="62">
        <f t="shared" si="148"/>
        <v>302.59481222418219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-2.8421709430404007E-13</v>
      </c>
      <c r="CU169" s="18">
        <f>CT169*VLOOKUP('Données projet'!$B$13,Paramètres!$A$1:$I$89,3,0)*VLOOKUP('Données projet'!$B$13,Paramètres!$A$1:$I$89,5,0)</f>
        <v>-2.7046098693972454E-13</v>
      </c>
      <c r="CV169" s="14" t="e">
        <f t="shared" si="173"/>
        <v>#NUM!</v>
      </c>
      <c r="CW169" s="22" t="e">
        <f t="shared" si="174"/>
        <v>#NUM!</v>
      </c>
      <c r="CX169" s="62" t="e">
        <f t="shared" si="122"/>
        <v>#NUM!</v>
      </c>
      <c r="CY169" s="62">
        <f ca="1">AVERAGE(OFFSET($CX$3,0,0,'Données projet'!$E$13+1,1))-AVERAGE(OFFSET($H$3,0,0,'Données projet'!$E$13+1,1))</f>
        <v>491.87038198656927</v>
      </c>
      <c r="CZ169" s="62">
        <f t="shared" si="150"/>
        <v>406.49261644949559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0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-1.1368683772161603E-13</v>
      </c>
      <c r="DP169" s="18">
        <f>DO169*VLOOKUP('Données projet'!$B$14,Paramètres!$A$1:$I$89,3,0)*VLOOKUP('Données projet'!$B$14,Paramètres!$A$1:$I$89,5,0)</f>
        <v>-1.0995790944434703E-13</v>
      </c>
      <c r="DQ169" s="14" t="e">
        <f t="shared" si="176"/>
        <v>#NUM!</v>
      </c>
      <c r="DR169" s="22" t="e">
        <f t="shared" si="177"/>
        <v>#NUM!</v>
      </c>
      <c r="DS169" s="62" t="e">
        <f t="shared" si="125"/>
        <v>#NUM!</v>
      </c>
      <c r="DT169" s="62">
        <f ca="1">AVERAGE(OFFSET($DS$3,0,0,'Données projet'!$E$14+1,1))-AVERAGE(OFFSET($H$3,0,0,'Données projet'!$E$14+1,1))</f>
        <v>603.52431522262032</v>
      </c>
      <c r="DU169" s="62">
        <f t="shared" si="152"/>
        <v>313.56299786481338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projet'!$B$14,Paramètres!$A$1:$I$89,3,0)*0.475*44/12</f>
        <v>0</v>
      </c>
      <c r="EB169" s="23">
        <f>EXP(-LN(2)/25)*EB168+(1-EXP(-LN(2)/25))/(LN(2)/25)*Calculateur!DW169*Calculateur!DY169*VLOOKUP('Données projet'!$B$14,Paramètres!$A$1:$I$89,3,0)*0.475*44/12</f>
        <v>0</v>
      </c>
      <c r="EC169" s="23">
        <f>EXP(-LN(2)/2)*EC168+(1-EXP(-LN(2)/2))/(LN(2)/2)*DW169*DZ169*VLOOKUP('Données projet'!$B$14,Paramètres!$A$1:$I$89,3,0)*0.475*44/12</f>
        <v>0</v>
      </c>
      <c r="ED169" s="24">
        <f t="shared" si="178"/>
        <v>0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-1.1368683772161603E-13</v>
      </c>
      <c r="EK169" s="18">
        <f>EJ169*VLOOKUP('Données projet'!$B$15,Paramètres!$A$1:$I$89,3,0)*VLOOKUP('Données projet'!$B$15,Paramètres!$A$1:$I$89,5,0)</f>
        <v>-9.2222762759774927E-14</v>
      </c>
      <c r="EL169" s="14" t="e">
        <f t="shared" si="179"/>
        <v>#NUM!</v>
      </c>
      <c r="EM169" s="22" t="e">
        <f t="shared" si="180"/>
        <v>#NUM!</v>
      </c>
      <c r="EN169" s="62" t="e">
        <f t="shared" si="128"/>
        <v>#NUM!</v>
      </c>
      <c r="EO169" s="62">
        <f ca="1">AVERAGE(OFFSET($EN$3,0,0,'Données projet'!$E$15+1,1))-AVERAGE(OFFSET($H$3,0,0,'Données projet'!$E$15+1,1))</f>
        <v>272.69564942740931</v>
      </c>
      <c r="EP169" s="62">
        <f t="shared" si="154"/>
        <v>316.57989180609252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>
        <f>EXP(-LN(2)/35)*EV168+(1-EXP(-LN(2)/35))/(LN(2)/35)*ER169*ES169*VLOOKUP('Données projet'!$B$15,Paramètres!$A$1:$I$89,3,0)*0.475*44/12</f>
        <v>0</v>
      </c>
      <c r="EW169" s="23">
        <f>EXP(-LN(2)/25)*EW168+(1-EXP(-LN(2)/25))/(LN(2)/25)*Calculateur!ER169*Calculateur!ET169*VLOOKUP('Données projet'!$B$15,Paramètres!$A$1:$I$89,3,0)*0.475*44/12</f>
        <v>0</v>
      </c>
      <c r="EX169" s="23">
        <f>EXP(-LN(2)/2)*EX168+(1-EXP(-LN(2)/2))/(LN(2)/2)*ER169*EU169*VLOOKUP('Données projet'!$B$15,Paramètres!$A$1:$I$89,3,0)*0.475*44/12</f>
        <v>0</v>
      </c>
      <c r="EY169" s="24">
        <f t="shared" si="181"/>
        <v>0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-3.4106051316484809E-13</v>
      </c>
      <c r="FF169" s="18">
        <f>FE169*VLOOKUP('Données projet'!$B$16,Paramètres!$A$1:$I$89,3,0)*VLOOKUP('Données projet'!$B$16,Paramètres!$A$1:$I$89,5,0)</f>
        <v>-2.2878339223098009E-13</v>
      </c>
      <c r="FG169" s="14" t="e">
        <f t="shared" si="182"/>
        <v>#NUM!</v>
      </c>
      <c r="FH169" s="22" t="e">
        <f t="shared" si="183"/>
        <v>#NUM!</v>
      </c>
      <c r="FI169" s="62" t="e">
        <f t="shared" si="131"/>
        <v>#NUM!</v>
      </c>
      <c r="FJ169" s="62">
        <f ca="1">AVERAGE(OFFSET($FI$3,0,0,'Données projet'!$E$16+1,1))-AVERAGE(OFFSET($H$3,0,0,'Données projet'!$E$16+1,1))</f>
        <v>440.90856392064205</v>
      </c>
      <c r="FK169" s="62">
        <f t="shared" si="156"/>
        <v>373.33139300970629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>
        <f>EXP(-LN(2)/35)*FQ168+(1-EXP(-LN(2)/35))/(LN(2)/35)*FM169*FN169*VLOOKUP('Données projet'!$B$16,Paramètres!$A$1:$I$89,3,0)*0.475*44/12</f>
        <v>0</v>
      </c>
      <c r="FR169" s="23">
        <f>EXP(-LN(2)/25)*FR168+(1-EXP(-LN(2)/25))/(LN(2)/25)*Calculateur!FM169*Calculateur!FO169*VLOOKUP('Données projet'!$B$16,Paramètres!$A$1:$I$89,3,0)*0.475*44/12</f>
        <v>0</v>
      </c>
      <c r="FS169" s="23">
        <f>EXP(-LN(2)/2)*FS168+(1-EXP(-LN(2)/2))/(LN(2)/2)*FM169*FP169*VLOOKUP('Données projet'!$B$16,Paramètres!$A$1:$I$89,3,0)*0.475*44/12</f>
        <v>0</v>
      </c>
      <c r="FT169" s="24">
        <f t="shared" si="184"/>
        <v>0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70">
        <f t="shared" si="110"/>
        <v>183.33333333333334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-1.1368683772161603E-13</v>
      </c>
      <c r="O170" s="14">
        <f>N170*VLOOKUP('Données projet'!$B$9,Paramètres!$A$1:$I$89,3,0)*VLOOKUP('Données projet'!$B$9,Paramètres!$A$1:$I$89,5,0)</f>
        <v>-1.0286385077051818E-13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570.08763950759544</v>
      </c>
      <c r="T170" s="62">
        <f t="shared" si="142"/>
        <v>297.32483725004136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-2.2737367544323206E-13</v>
      </c>
      <c r="AJ170" s="14">
        <f>AI170*VLOOKUP('Données projet'!$B$10,Paramètres!$A$1:$I$89,3,0)*VLOOKUP('Données projet'!$B$10,Paramètres!$A$1:$I$89,5,0)</f>
        <v>-1.8089849618263545E-13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394.70330963327166</v>
      </c>
      <c r="AO170" s="62">
        <f t="shared" si="144"/>
        <v>424.06445894109982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-2.2737367544323206E-13</v>
      </c>
      <c r="BE170" s="14">
        <f>BD170*VLOOKUP('Données projet'!$B$11,Paramètres!$A$1:$I$89,3,0)*VLOOKUP('Données projet'!$B$11,Paramètres!$A$1:$I$89,5,0)</f>
        <v>-1.6671037883497774E-13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368.54671978064204</v>
      </c>
      <c r="BJ170" s="62">
        <f t="shared" si="146"/>
        <v>395.83504504492237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5.6843418860808015E-14</v>
      </c>
      <c r="BZ170" s="14">
        <f>BY170*VLOOKUP('Données projet'!$B$12,Paramètres!$A$1:$I$89,3,0)*VLOOKUP('Données projet'!$B$12,Paramètres!$A$1:$I$89,5,0)</f>
        <v>4.4337866711430253E-14</v>
      </c>
      <c r="CA170" s="14">
        <f t="shared" si="170"/>
        <v>7.3222115536967035E-13</v>
      </c>
      <c r="CB170" s="22">
        <f t="shared" si="171"/>
        <v>1.3525069634579169E-12</v>
      </c>
      <c r="CC170" s="62">
        <f t="shared" si="119"/>
        <v>288.40175636392098</v>
      </c>
      <c r="CD170" s="62">
        <f ca="1">AVERAGE(OFFSET($CC$3,0,0,'Données projet'!$E$12+1,1))-AVERAGE(OFFSET($H$3,0,0,'Données projet'!$E$12+1,1))</f>
        <v>309.21625451786218</v>
      </c>
      <c r="CE170" s="62">
        <f t="shared" si="148"/>
        <v>302.59481222418219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-2.8421709430404007E-13</v>
      </c>
      <c r="CU170" s="18">
        <f>CT170*VLOOKUP('Données projet'!$B$13,Paramètres!$A$1:$I$89,3,0)*VLOOKUP('Données projet'!$B$13,Paramètres!$A$1:$I$89,5,0)</f>
        <v>-2.7046098693972454E-13</v>
      </c>
      <c r="CV170" s="14" t="e">
        <f t="shared" si="173"/>
        <v>#NUM!</v>
      </c>
      <c r="CW170" s="22" t="e">
        <f t="shared" si="174"/>
        <v>#NUM!</v>
      </c>
      <c r="CX170" s="62" t="e">
        <f t="shared" si="122"/>
        <v>#NUM!</v>
      </c>
      <c r="CY170" s="62">
        <f ca="1">AVERAGE(OFFSET($CX$3,0,0,'Données projet'!$E$13+1,1))-AVERAGE(OFFSET($H$3,0,0,'Données projet'!$E$13+1,1))</f>
        <v>491.87038198656927</v>
      </c>
      <c r="CZ170" s="62">
        <f t="shared" si="150"/>
        <v>406.49261644949559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0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-1.1368683772161603E-13</v>
      </c>
      <c r="DP170" s="18">
        <f>DO170*VLOOKUP('Données projet'!$B$14,Paramètres!$A$1:$I$89,3,0)*VLOOKUP('Données projet'!$B$14,Paramètres!$A$1:$I$89,5,0)</f>
        <v>-1.0995790944434703E-13</v>
      </c>
      <c r="DQ170" s="14" t="e">
        <f t="shared" si="176"/>
        <v>#NUM!</v>
      </c>
      <c r="DR170" s="22" t="e">
        <f t="shared" si="177"/>
        <v>#NUM!</v>
      </c>
      <c r="DS170" s="62" t="e">
        <f t="shared" si="125"/>
        <v>#NUM!</v>
      </c>
      <c r="DT170" s="62">
        <f ca="1">AVERAGE(OFFSET($DS$3,0,0,'Données projet'!$E$14+1,1))-AVERAGE(OFFSET($H$3,0,0,'Données projet'!$E$14+1,1))</f>
        <v>603.52431522262032</v>
      </c>
      <c r="DU170" s="62">
        <f t="shared" si="152"/>
        <v>313.56299786481338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projet'!$B$14,Paramètres!$A$1:$I$89,3,0)*0.475*44/12</f>
        <v>0</v>
      </c>
      <c r="EB170" s="23">
        <f>EXP(-LN(2)/25)*EB169+(1-EXP(-LN(2)/25))/(LN(2)/25)*Calculateur!DW170*Calculateur!DY170*VLOOKUP('Données projet'!$B$14,Paramètres!$A$1:$I$89,3,0)*0.475*44/12</f>
        <v>0</v>
      </c>
      <c r="EC170" s="23">
        <f>EXP(-LN(2)/2)*EC169+(1-EXP(-LN(2)/2))/(LN(2)/2)*DW170*DZ170*VLOOKUP('Données projet'!$B$14,Paramètres!$A$1:$I$89,3,0)*0.475*44/12</f>
        <v>0</v>
      </c>
      <c r="ED170" s="24">
        <f t="shared" si="178"/>
        <v>0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-1.1368683772161603E-13</v>
      </c>
      <c r="EK170" s="18">
        <f>EJ170*VLOOKUP('Données projet'!$B$15,Paramètres!$A$1:$I$89,3,0)*VLOOKUP('Données projet'!$B$15,Paramètres!$A$1:$I$89,5,0)</f>
        <v>-9.2222762759774927E-14</v>
      </c>
      <c r="EL170" s="14" t="e">
        <f t="shared" si="179"/>
        <v>#NUM!</v>
      </c>
      <c r="EM170" s="22" t="e">
        <f t="shared" si="180"/>
        <v>#NUM!</v>
      </c>
      <c r="EN170" s="62" t="e">
        <f t="shared" si="128"/>
        <v>#NUM!</v>
      </c>
      <c r="EO170" s="62">
        <f ca="1">AVERAGE(OFFSET($EN$3,0,0,'Données projet'!$E$15+1,1))-AVERAGE(OFFSET($H$3,0,0,'Données projet'!$E$15+1,1))</f>
        <v>272.69564942740931</v>
      </c>
      <c r="EP170" s="62">
        <f t="shared" si="154"/>
        <v>316.57989180609252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>
        <f>EXP(-LN(2)/35)*EV169+(1-EXP(-LN(2)/35))/(LN(2)/35)*ER170*ES170*VLOOKUP('Données projet'!$B$15,Paramètres!$A$1:$I$89,3,0)*0.475*44/12</f>
        <v>0</v>
      </c>
      <c r="EW170" s="23">
        <f>EXP(-LN(2)/25)*EW169+(1-EXP(-LN(2)/25))/(LN(2)/25)*Calculateur!ER170*Calculateur!ET170*VLOOKUP('Données projet'!$B$15,Paramètres!$A$1:$I$89,3,0)*0.475*44/12</f>
        <v>0</v>
      </c>
      <c r="EX170" s="23">
        <f>EXP(-LN(2)/2)*EX169+(1-EXP(-LN(2)/2))/(LN(2)/2)*ER170*EU170*VLOOKUP('Données projet'!$B$15,Paramètres!$A$1:$I$89,3,0)*0.475*44/12</f>
        <v>0</v>
      </c>
      <c r="EY170" s="24">
        <f t="shared" si="181"/>
        <v>0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-3.4106051316484809E-13</v>
      </c>
      <c r="FF170" s="18">
        <f>FE170*VLOOKUP('Données projet'!$B$16,Paramètres!$A$1:$I$89,3,0)*VLOOKUP('Données projet'!$B$16,Paramètres!$A$1:$I$89,5,0)</f>
        <v>-2.2878339223098009E-13</v>
      </c>
      <c r="FG170" s="14" t="e">
        <f t="shared" si="182"/>
        <v>#NUM!</v>
      </c>
      <c r="FH170" s="22" t="e">
        <f t="shared" si="183"/>
        <v>#NUM!</v>
      </c>
      <c r="FI170" s="62" t="e">
        <f t="shared" si="131"/>
        <v>#NUM!</v>
      </c>
      <c r="FJ170" s="62">
        <f ca="1">AVERAGE(OFFSET($FI$3,0,0,'Données projet'!$E$16+1,1))-AVERAGE(OFFSET($H$3,0,0,'Données projet'!$E$16+1,1))</f>
        <v>440.90856392064205</v>
      </c>
      <c r="FK170" s="62">
        <f t="shared" si="156"/>
        <v>373.33139300970629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>
        <f>EXP(-LN(2)/35)*FQ169+(1-EXP(-LN(2)/35))/(LN(2)/35)*FM170*FN170*VLOOKUP('Données projet'!$B$16,Paramètres!$A$1:$I$89,3,0)*0.475*44/12</f>
        <v>0</v>
      </c>
      <c r="FR170" s="23">
        <f>EXP(-LN(2)/25)*FR169+(1-EXP(-LN(2)/25))/(LN(2)/25)*Calculateur!FM170*Calculateur!FO170*VLOOKUP('Données projet'!$B$16,Paramètres!$A$1:$I$89,3,0)*0.475*44/12</f>
        <v>0</v>
      </c>
      <c r="FS170" s="23">
        <f>EXP(-LN(2)/2)*FS169+(1-EXP(-LN(2)/2))/(LN(2)/2)*FM170*FP170*VLOOKUP('Données projet'!$B$16,Paramètres!$A$1:$I$89,3,0)*0.475*44/12</f>
        <v>0</v>
      </c>
      <c r="FT170" s="24">
        <f t="shared" si="184"/>
        <v>0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70">
        <f t="shared" si="110"/>
        <v>183.33333333333334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-1.1368683772161603E-13</v>
      </c>
      <c r="O171" s="14">
        <f>N171*VLOOKUP('Données projet'!$B$9,Paramètres!$A$1:$I$89,3,0)*VLOOKUP('Données projet'!$B$9,Paramètres!$A$1:$I$89,5,0)</f>
        <v>-1.0286385077051818E-13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570.08763950759544</v>
      </c>
      <c r="T171" s="62">
        <f t="shared" si="142"/>
        <v>297.32483725004136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-2.2737367544323206E-13</v>
      </c>
      <c r="AJ171" s="14">
        <f>AI171*VLOOKUP('Données projet'!$B$10,Paramètres!$A$1:$I$89,3,0)*VLOOKUP('Données projet'!$B$10,Paramètres!$A$1:$I$89,5,0)</f>
        <v>-1.8089849618263545E-13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394.70330963327166</v>
      </c>
      <c r="AO171" s="62">
        <f t="shared" si="144"/>
        <v>424.06445894109982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-2.2737367544323206E-13</v>
      </c>
      <c r="BE171" s="14">
        <f>BD171*VLOOKUP('Données projet'!$B$11,Paramètres!$A$1:$I$89,3,0)*VLOOKUP('Données projet'!$B$11,Paramètres!$A$1:$I$89,5,0)</f>
        <v>-1.6671037883497774E-13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368.54671978064204</v>
      </c>
      <c r="BJ171" s="62">
        <f t="shared" si="146"/>
        <v>395.83504504492237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5.6843418860808015E-14</v>
      </c>
      <c r="BZ171" s="14">
        <f>BY171*VLOOKUP('Données projet'!$B$12,Paramètres!$A$1:$I$89,3,0)*VLOOKUP('Données projet'!$B$12,Paramètres!$A$1:$I$89,5,0)</f>
        <v>4.4337866711430253E-14</v>
      </c>
      <c r="CA171" s="14">
        <f t="shared" si="170"/>
        <v>7.3222115536967035E-13</v>
      </c>
      <c r="CB171" s="22">
        <f t="shared" si="171"/>
        <v>1.3525069634579169E-12</v>
      </c>
      <c r="CC171" s="62">
        <f t="shared" si="119"/>
        <v>288.48730819898589</v>
      </c>
      <c r="CD171" s="62">
        <f ca="1">AVERAGE(OFFSET($CC$3,0,0,'Données projet'!$E$12+1,1))-AVERAGE(OFFSET($H$3,0,0,'Données projet'!$E$12+1,1))</f>
        <v>309.21625451786218</v>
      </c>
      <c r="CE171" s="62">
        <f t="shared" si="148"/>
        <v>302.59481222418219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-2.8421709430404007E-13</v>
      </c>
      <c r="CU171" s="18">
        <f>CT171*VLOOKUP('Données projet'!$B$13,Paramètres!$A$1:$I$89,3,0)*VLOOKUP('Données projet'!$B$13,Paramètres!$A$1:$I$89,5,0)</f>
        <v>-2.7046098693972454E-13</v>
      </c>
      <c r="CV171" s="14" t="e">
        <f t="shared" si="173"/>
        <v>#NUM!</v>
      </c>
      <c r="CW171" s="22" t="e">
        <f t="shared" si="174"/>
        <v>#NUM!</v>
      </c>
      <c r="CX171" s="62" t="e">
        <f t="shared" si="122"/>
        <v>#NUM!</v>
      </c>
      <c r="CY171" s="62">
        <f ca="1">AVERAGE(OFFSET($CX$3,0,0,'Données projet'!$E$13+1,1))-AVERAGE(OFFSET($H$3,0,0,'Données projet'!$E$13+1,1))</f>
        <v>491.87038198656927</v>
      </c>
      <c r="CZ171" s="62">
        <f t="shared" si="150"/>
        <v>406.49261644949559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0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-1.1368683772161603E-13</v>
      </c>
      <c r="DP171" s="18">
        <f>DO171*VLOOKUP('Données projet'!$B$14,Paramètres!$A$1:$I$89,3,0)*VLOOKUP('Données projet'!$B$14,Paramètres!$A$1:$I$89,5,0)</f>
        <v>-1.0995790944434703E-13</v>
      </c>
      <c r="DQ171" s="14" t="e">
        <f t="shared" si="176"/>
        <v>#NUM!</v>
      </c>
      <c r="DR171" s="22" t="e">
        <f t="shared" si="177"/>
        <v>#NUM!</v>
      </c>
      <c r="DS171" s="62" t="e">
        <f t="shared" si="125"/>
        <v>#NUM!</v>
      </c>
      <c r="DT171" s="62">
        <f ca="1">AVERAGE(OFFSET($DS$3,0,0,'Données projet'!$E$14+1,1))-AVERAGE(OFFSET($H$3,0,0,'Données projet'!$E$14+1,1))</f>
        <v>603.52431522262032</v>
      </c>
      <c r="DU171" s="62">
        <f t="shared" si="152"/>
        <v>313.56299786481338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projet'!$B$14,Paramètres!$A$1:$I$89,3,0)*0.475*44/12</f>
        <v>0</v>
      </c>
      <c r="EB171" s="23">
        <f>EXP(-LN(2)/25)*EB170+(1-EXP(-LN(2)/25))/(LN(2)/25)*Calculateur!DW171*Calculateur!DY171*VLOOKUP('Données projet'!$B$14,Paramètres!$A$1:$I$89,3,0)*0.475*44/12</f>
        <v>0</v>
      </c>
      <c r="EC171" s="23">
        <f>EXP(-LN(2)/2)*EC170+(1-EXP(-LN(2)/2))/(LN(2)/2)*DW171*DZ171*VLOOKUP('Données projet'!$B$14,Paramètres!$A$1:$I$89,3,0)*0.475*44/12</f>
        <v>0</v>
      </c>
      <c r="ED171" s="24">
        <f t="shared" si="178"/>
        <v>0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-1.1368683772161603E-13</v>
      </c>
      <c r="EK171" s="18">
        <f>EJ171*VLOOKUP('Données projet'!$B$15,Paramètres!$A$1:$I$89,3,0)*VLOOKUP('Données projet'!$B$15,Paramètres!$A$1:$I$89,5,0)</f>
        <v>-9.2222762759774927E-14</v>
      </c>
      <c r="EL171" s="14" t="e">
        <f t="shared" si="179"/>
        <v>#NUM!</v>
      </c>
      <c r="EM171" s="22" t="e">
        <f t="shared" si="180"/>
        <v>#NUM!</v>
      </c>
      <c r="EN171" s="62" t="e">
        <f t="shared" si="128"/>
        <v>#NUM!</v>
      </c>
      <c r="EO171" s="62">
        <f ca="1">AVERAGE(OFFSET($EN$3,0,0,'Données projet'!$E$15+1,1))-AVERAGE(OFFSET($H$3,0,0,'Données projet'!$E$15+1,1))</f>
        <v>272.69564942740931</v>
      </c>
      <c r="EP171" s="62">
        <f t="shared" si="154"/>
        <v>316.57989180609252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>
        <f>EXP(-LN(2)/35)*EV170+(1-EXP(-LN(2)/35))/(LN(2)/35)*ER171*ES171*VLOOKUP('Données projet'!$B$15,Paramètres!$A$1:$I$89,3,0)*0.475*44/12</f>
        <v>0</v>
      </c>
      <c r="EW171" s="23">
        <f>EXP(-LN(2)/25)*EW170+(1-EXP(-LN(2)/25))/(LN(2)/25)*Calculateur!ER171*Calculateur!ET171*VLOOKUP('Données projet'!$B$15,Paramètres!$A$1:$I$89,3,0)*0.475*44/12</f>
        <v>0</v>
      </c>
      <c r="EX171" s="23">
        <f>EXP(-LN(2)/2)*EX170+(1-EXP(-LN(2)/2))/(LN(2)/2)*ER171*EU171*VLOOKUP('Données projet'!$B$15,Paramètres!$A$1:$I$89,3,0)*0.475*44/12</f>
        <v>0</v>
      </c>
      <c r="EY171" s="24">
        <f t="shared" si="181"/>
        <v>0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-3.4106051316484809E-13</v>
      </c>
      <c r="FF171" s="18">
        <f>FE171*VLOOKUP('Données projet'!$B$16,Paramètres!$A$1:$I$89,3,0)*VLOOKUP('Données projet'!$B$16,Paramètres!$A$1:$I$89,5,0)</f>
        <v>-2.2878339223098009E-13</v>
      </c>
      <c r="FG171" s="14" t="e">
        <f t="shared" si="182"/>
        <v>#NUM!</v>
      </c>
      <c r="FH171" s="22" t="e">
        <f t="shared" si="183"/>
        <v>#NUM!</v>
      </c>
      <c r="FI171" s="62" t="e">
        <f t="shared" si="131"/>
        <v>#NUM!</v>
      </c>
      <c r="FJ171" s="62">
        <f ca="1">AVERAGE(OFFSET($FI$3,0,0,'Données projet'!$E$16+1,1))-AVERAGE(OFFSET($H$3,0,0,'Données projet'!$E$16+1,1))</f>
        <v>440.90856392064205</v>
      </c>
      <c r="FK171" s="62">
        <f t="shared" si="156"/>
        <v>373.33139300970629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>
        <f>EXP(-LN(2)/35)*FQ170+(1-EXP(-LN(2)/35))/(LN(2)/35)*FM171*FN171*VLOOKUP('Données projet'!$B$16,Paramètres!$A$1:$I$89,3,0)*0.475*44/12</f>
        <v>0</v>
      </c>
      <c r="FR171" s="23">
        <f>EXP(-LN(2)/25)*FR170+(1-EXP(-LN(2)/25))/(LN(2)/25)*Calculateur!FM171*Calculateur!FO171*VLOOKUP('Données projet'!$B$16,Paramètres!$A$1:$I$89,3,0)*0.475*44/12</f>
        <v>0</v>
      </c>
      <c r="FS171" s="23">
        <f>EXP(-LN(2)/2)*FS170+(1-EXP(-LN(2)/2))/(LN(2)/2)*FM171*FP171*VLOOKUP('Données projet'!$B$16,Paramètres!$A$1:$I$89,3,0)*0.475*44/12</f>
        <v>0</v>
      </c>
      <c r="FT171" s="24">
        <f t="shared" si="184"/>
        <v>0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70">
        <f t="shared" si="110"/>
        <v>183.33333333333334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-1.1368683772161603E-13</v>
      </c>
      <c r="O172" s="14">
        <f>N172*VLOOKUP('Données projet'!$B$9,Paramètres!$A$1:$I$89,3,0)*VLOOKUP('Données projet'!$B$9,Paramètres!$A$1:$I$89,5,0)</f>
        <v>-1.0286385077051818E-13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570.08763950759544</v>
      </c>
      <c r="T172" s="62">
        <f t="shared" si="142"/>
        <v>297.32483725004136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-2.2737367544323206E-13</v>
      </c>
      <c r="AJ172" s="14">
        <f>AI172*VLOOKUP('Données projet'!$B$10,Paramètres!$A$1:$I$89,3,0)*VLOOKUP('Données projet'!$B$10,Paramètres!$A$1:$I$89,5,0)</f>
        <v>-1.8089849618263545E-13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394.70330963327166</v>
      </c>
      <c r="AO172" s="62">
        <f t="shared" si="144"/>
        <v>424.06445894109982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-2.2737367544323206E-13</v>
      </c>
      <c r="BE172" s="14">
        <f>BD172*VLOOKUP('Données projet'!$B$11,Paramètres!$A$1:$I$89,3,0)*VLOOKUP('Données projet'!$B$11,Paramètres!$A$1:$I$89,5,0)</f>
        <v>-1.6671037883497774E-13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368.54671978064204</v>
      </c>
      <c r="BJ172" s="62">
        <f t="shared" si="146"/>
        <v>395.83504504492237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5.6843418860808015E-14</v>
      </c>
      <c r="BZ172" s="14">
        <f>BY172*VLOOKUP('Données projet'!$B$12,Paramètres!$A$1:$I$89,3,0)*VLOOKUP('Données projet'!$B$12,Paramètres!$A$1:$I$89,5,0)</f>
        <v>4.4337866711430253E-14</v>
      </c>
      <c r="CA172" s="14">
        <f t="shared" si="170"/>
        <v>7.3222115536967035E-13</v>
      </c>
      <c r="CB172" s="22">
        <f t="shared" si="171"/>
        <v>1.3525069634579169E-12</v>
      </c>
      <c r="CC172" s="62">
        <f t="shared" si="119"/>
        <v>288.57137590097778</v>
      </c>
      <c r="CD172" s="62">
        <f ca="1">AVERAGE(OFFSET($CC$3,0,0,'Données projet'!$E$12+1,1))-AVERAGE(OFFSET($H$3,0,0,'Données projet'!$E$12+1,1))</f>
        <v>309.21625451786218</v>
      </c>
      <c r="CE172" s="62">
        <f t="shared" si="148"/>
        <v>302.59481222418219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-2.8421709430404007E-13</v>
      </c>
      <c r="CU172" s="18">
        <f>CT172*VLOOKUP('Données projet'!$B$13,Paramètres!$A$1:$I$89,3,0)*VLOOKUP('Données projet'!$B$13,Paramètres!$A$1:$I$89,5,0)</f>
        <v>-2.7046098693972454E-13</v>
      </c>
      <c r="CV172" s="14" t="e">
        <f t="shared" si="173"/>
        <v>#NUM!</v>
      </c>
      <c r="CW172" s="22" t="e">
        <f t="shared" si="174"/>
        <v>#NUM!</v>
      </c>
      <c r="CX172" s="62" t="e">
        <f t="shared" si="122"/>
        <v>#NUM!</v>
      </c>
      <c r="CY172" s="62">
        <f ca="1">AVERAGE(OFFSET($CX$3,0,0,'Données projet'!$E$13+1,1))-AVERAGE(OFFSET($H$3,0,0,'Données projet'!$E$13+1,1))</f>
        <v>491.87038198656927</v>
      </c>
      <c r="CZ172" s="62">
        <f t="shared" si="150"/>
        <v>406.49261644949559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0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-1.1368683772161603E-13</v>
      </c>
      <c r="DP172" s="18">
        <f>DO172*VLOOKUP('Données projet'!$B$14,Paramètres!$A$1:$I$89,3,0)*VLOOKUP('Données projet'!$B$14,Paramètres!$A$1:$I$89,5,0)</f>
        <v>-1.0995790944434703E-13</v>
      </c>
      <c r="DQ172" s="14" t="e">
        <f t="shared" si="176"/>
        <v>#NUM!</v>
      </c>
      <c r="DR172" s="22" t="e">
        <f t="shared" si="177"/>
        <v>#NUM!</v>
      </c>
      <c r="DS172" s="62" t="e">
        <f t="shared" si="125"/>
        <v>#NUM!</v>
      </c>
      <c r="DT172" s="62">
        <f ca="1">AVERAGE(OFFSET($DS$3,0,0,'Données projet'!$E$14+1,1))-AVERAGE(OFFSET($H$3,0,0,'Données projet'!$E$14+1,1))</f>
        <v>603.52431522262032</v>
      </c>
      <c r="DU172" s="62">
        <f t="shared" si="152"/>
        <v>313.56299786481338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projet'!$B$14,Paramètres!$A$1:$I$89,3,0)*0.475*44/12</f>
        <v>0</v>
      </c>
      <c r="EB172" s="23">
        <f>EXP(-LN(2)/25)*EB171+(1-EXP(-LN(2)/25))/(LN(2)/25)*Calculateur!DW172*Calculateur!DY172*VLOOKUP('Données projet'!$B$14,Paramètres!$A$1:$I$89,3,0)*0.475*44/12</f>
        <v>0</v>
      </c>
      <c r="EC172" s="23">
        <f>EXP(-LN(2)/2)*EC171+(1-EXP(-LN(2)/2))/(LN(2)/2)*DW172*DZ172*VLOOKUP('Données projet'!$B$14,Paramètres!$A$1:$I$89,3,0)*0.475*44/12</f>
        <v>0</v>
      </c>
      <c r="ED172" s="24">
        <f t="shared" si="178"/>
        <v>0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-1.1368683772161603E-13</v>
      </c>
      <c r="EK172" s="18">
        <f>EJ172*VLOOKUP('Données projet'!$B$15,Paramètres!$A$1:$I$89,3,0)*VLOOKUP('Données projet'!$B$15,Paramètres!$A$1:$I$89,5,0)</f>
        <v>-9.2222762759774927E-14</v>
      </c>
      <c r="EL172" s="14" t="e">
        <f t="shared" si="179"/>
        <v>#NUM!</v>
      </c>
      <c r="EM172" s="22" t="e">
        <f t="shared" si="180"/>
        <v>#NUM!</v>
      </c>
      <c r="EN172" s="62" t="e">
        <f t="shared" si="128"/>
        <v>#NUM!</v>
      </c>
      <c r="EO172" s="62">
        <f ca="1">AVERAGE(OFFSET($EN$3,0,0,'Données projet'!$E$15+1,1))-AVERAGE(OFFSET($H$3,0,0,'Données projet'!$E$15+1,1))</f>
        <v>272.69564942740931</v>
      </c>
      <c r="EP172" s="62">
        <f t="shared" si="154"/>
        <v>316.57989180609252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>
        <f>EXP(-LN(2)/35)*EV171+(1-EXP(-LN(2)/35))/(LN(2)/35)*ER172*ES172*VLOOKUP('Données projet'!$B$15,Paramètres!$A$1:$I$89,3,0)*0.475*44/12</f>
        <v>0</v>
      </c>
      <c r="EW172" s="23">
        <f>EXP(-LN(2)/25)*EW171+(1-EXP(-LN(2)/25))/(LN(2)/25)*Calculateur!ER172*Calculateur!ET172*VLOOKUP('Données projet'!$B$15,Paramètres!$A$1:$I$89,3,0)*0.475*44/12</f>
        <v>0</v>
      </c>
      <c r="EX172" s="23">
        <f>EXP(-LN(2)/2)*EX171+(1-EXP(-LN(2)/2))/(LN(2)/2)*ER172*EU172*VLOOKUP('Données projet'!$B$15,Paramètres!$A$1:$I$89,3,0)*0.475*44/12</f>
        <v>0</v>
      </c>
      <c r="EY172" s="24">
        <f t="shared" si="181"/>
        <v>0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-3.4106051316484809E-13</v>
      </c>
      <c r="FF172" s="18">
        <f>FE172*VLOOKUP('Données projet'!$B$16,Paramètres!$A$1:$I$89,3,0)*VLOOKUP('Données projet'!$B$16,Paramètres!$A$1:$I$89,5,0)</f>
        <v>-2.2878339223098009E-13</v>
      </c>
      <c r="FG172" s="14" t="e">
        <f t="shared" si="182"/>
        <v>#NUM!</v>
      </c>
      <c r="FH172" s="22" t="e">
        <f t="shared" si="183"/>
        <v>#NUM!</v>
      </c>
      <c r="FI172" s="62" t="e">
        <f t="shared" si="131"/>
        <v>#NUM!</v>
      </c>
      <c r="FJ172" s="62">
        <f ca="1">AVERAGE(OFFSET($FI$3,0,0,'Données projet'!$E$16+1,1))-AVERAGE(OFFSET($H$3,0,0,'Données projet'!$E$16+1,1))</f>
        <v>440.90856392064205</v>
      </c>
      <c r="FK172" s="62">
        <f t="shared" si="156"/>
        <v>373.33139300970629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>
        <f>EXP(-LN(2)/35)*FQ171+(1-EXP(-LN(2)/35))/(LN(2)/35)*FM172*FN172*VLOOKUP('Données projet'!$B$16,Paramètres!$A$1:$I$89,3,0)*0.475*44/12</f>
        <v>0</v>
      </c>
      <c r="FR172" s="23">
        <f>EXP(-LN(2)/25)*FR171+(1-EXP(-LN(2)/25))/(LN(2)/25)*Calculateur!FM172*Calculateur!FO172*VLOOKUP('Données projet'!$B$16,Paramètres!$A$1:$I$89,3,0)*0.475*44/12</f>
        <v>0</v>
      </c>
      <c r="FS172" s="23">
        <f>EXP(-LN(2)/2)*FS171+(1-EXP(-LN(2)/2))/(LN(2)/2)*FM172*FP172*VLOOKUP('Données projet'!$B$16,Paramètres!$A$1:$I$89,3,0)*0.475*44/12</f>
        <v>0</v>
      </c>
      <c r="FT172" s="24">
        <f t="shared" si="184"/>
        <v>0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70">
        <f t="shared" si="110"/>
        <v>183.33333333333334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-1.1368683772161603E-13</v>
      </c>
      <c r="O173" s="14">
        <f>N173*VLOOKUP('Données projet'!$B$9,Paramètres!$A$1:$I$89,3,0)*VLOOKUP('Données projet'!$B$9,Paramètres!$A$1:$I$89,5,0)</f>
        <v>-1.0286385077051818E-13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570.08763950759544</v>
      </c>
      <c r="T173" s="62">
        <f t="shared" si="142"/>
        <v>297.32483725004136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-2.2737367544323206E-13</v>
      </c>
      <c r="AJ173" s="14">
        <f>AI173*VLOOKUP('Données projet'!$B$10,Paramètres!$A$1:$I$89,3,0)*VLOOKUP('Données projet'!$B$10,Paramètres!$A$1:$I$89,5,0)</f>
        <v>-1.8089849618263545E-13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394.70330963327166</v>
      </c>
      <c r="AO173" s="62">
        <f t="shared" si="144"/>
        <v>424.06445894109982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-2.2737367544323206E-13</v>
      </c>
      <c r="BE173" s="14">
        <f>BD173*VLOOKUP('Données projet'!$B$11,Paramètres!$A$1:$I$89,3,0)*VLOOKUP('Données projet'!$B$11,Paramètres!$A$1:$I$89,5,0)</f>
        <v>-1.6671037883497774E-13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368.54671978064204</v>
      </c>
      <c r="BJ173" s="62">
        <f t="shared" si="146"/>
        <v>395.83504504492237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5.6843418860808015E-14</v>
      </c>
      <c r="BZ173" s="14">
        <f>BY173*VLOOKUP('Données projet'!$B$12,Paramètres!$A$1:$I$89,3,0)*VLOOKUP('Données projet'!$B$12,Paramètres!$A$1:$I$89,5,0)</f>
        <v>4.4337866711430253E-14</v>
      </c>
      <c r="CA173" s="14">
        <f t="shared" si="170"/>
        <v>7.3222115536967035E-13</v>
      </c>
      <c r="CB173" s="22">
        <f t="shared" si="171"/>
        <v>1.3525069634579169E-12</v>
      </c>
      <c r="CC173" s="62">
        <f t="shared" si="119"/>
        <v>288.65398521628725</v>
      </c>
      <c r="CD173" s="62">
        <f ca="1">AVERAGE(OFFSET($CC$3,0,0,'Données projet'!$E$12+1,1))-AVERAGE(OFFSET($H$3,0,0,'Données projet'!$E$12+1,1))</f>
        <v>309.21625451786218</v>
      </c>
      <c r="CE173" s="62">
        <f t="shared" si="148"/>
        <v>302.59481222418219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-2.8421709430404007E-13</v>
      </c>
      <c r="CU173" s="18">
        <f>CT173*VLOOKUP('Données projet'!$B$13,Paramètres!$A$1:$I$89,3,0)*VLOOKUP('Données projet'!$B$13,Paramètres!$A$1:$I$89,5,0)</f>
        <v>-2.7046098693972454E-13</v>
      </c>
      <c r="CV173" s="14" t="e">
        <f t="shared" si="173"/>
        <v>#NUM!</v>
      </c>
      <c r="CW173" s="22" t="e">
        <f t="shared" si="174"/>
        <v>#NUM!</v>
      </c>
      <c r="CX173" s="62" t="e">
        <f t="shared" si="122"/>
        <v>#NUM!</v>
      </c>
      <c r="CY173" s="62">
        <f ca="1">AVERAGE(OFFSET($CX$3,0,0,'Données projet'!$E$13+1,1))-AVERAGE(OFFSET($H$3,0,0,'Données projet'!$E$13+1,1))</f>
        <v>491.87038198656927</v>
      </c>
      <c r="CZ173" s="62">
        <f t="shared" si="150"/>
        <v>406.49261644949559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0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-1.1368683772161603E-13</v>
      </c>
      <c r="DP173" s="18">
        <f>DO173*VLOOKUP('Données projet'!$B$14,Paramètres!$A$1:$I$89,3,0)*VLOOKUP('Données projet'!$B$14,Paramètres!$A$1:$I$89,5,0)</f>
        <v>-1.0995790944434703E-13</v>
      </c>
      <c r="DQ173" s="14" t="e">
        <f t="shared" si="176"/>
        <v>#NUM!</v>
      </c>
      <c r="DR173" s="22" t="e">
        <f t="shared" si="177"/>
        <v>#NUM!</v>
      </c>
      <c r="DS173" s="62" t="e">
        <f t="shared" si="125"/>
        <v>#NUM!</v>
      </c>
      <c r="DT173" s="62">
        <f ca="1">AVERAGE(OFFSET($DS$3,0,0,'Données projet'!$E$14+1,1))-AVERAGE(OFFSET($H$3,0,0,'Données projet'!$E$14+1,1))</f>
        <v>603.52431522262032</v>
      </c>
      <c r="DU173" s="62">
        <f t="shared" si="152"/>
        <v>313.56299786481338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projet'!$B$14,Paramètres!$A$1:$I$89,3,0)*0.475*44/12</f>
        <v>0</v>
      </c>
      <c r="EB173" s="23">
        <f>EXP(-LN(2)/25)*EB172+(1-EXP(-LN(2)/25))/(LN(2)/25)*Calculateur!DW173*Calculateur!DY173*VLOOKUP('Données projet'!$B$14,Paramètres!$A$1:$I$89,3,0)*0.475*44/12</f>
        <v>0</v>
      </c>
      <c r="EC173" s="23">
        <f>EXP(-LN(2)/2)*EC172+(1-EXP(-LN(2)/2))/(LN(2)/2)*DW173*DZ173*VLOOKUP('Données projet'!$B$14,Paramètres!$A$1:$I$89,3,0)*0.475*44/12</f>
        <v>0</v>
      </c>
      <c r="ED173" s="24">
        <f t="shared" si="178"/>
        <v>0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-1.1368683772161603E-13</v>
      </c>
      <c r="EK173" s="18">
        <f>EJ173*VLOOKUP('Données projet'!$B$15,Paramètres!$A$1:$I$89,3,0)*VLOOKUP('Données projet'!$B$15,Paramètres!$A$1:$I$89,5,0)</f>
        <v>-9.2222762759774927E-14</v>
      </c>
      <c r="EL173" s="14" t="e">
        <f t="shared" si="179"/>
        <v>#NUM!</v>
      </c>
      <c r="EM173" s="22" t="e">
        <f t="shared" si="180"/>
        <v>#NUM!</v>
      </c>
      <c r="EN173" s="62" t="e">
        <f t="shared" si="128"/>
        <v>#NUM!</v>
      </c>
      <c r="EO173" s="62">
        <f ca="1">AVERAGE(OFFSET($EN$3,0,0,'Données projet'!$E$15+1,1))-AVERAGE(OFFSET($H$3,0,0,'Données projet'!$E$15+1,1))</f>
        <v>272.69564942740931</v>
      </c>
      <c r="EP173" s="62">
        <f t="shared" si="154"/>
        <v>316.57989180609252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>
        <f>EXP(-LN(2)/35)*EV172+(1-EXP(-LN(2)/35))/(LN(2)/35)*ER173*ES173*VLOOKUP('Données projet'!$B$15,Paramètres!$A$1:$I$89,3,0)*0.475*44/12</f>
        <v>0</v>
      </c>
      <c r="EW173" s="23">
        <f>EXP(-LN(2)/25)*EW172+(1-EXP(-LN(2)/25))/(LN(2)/25)*Calculateur!ER173*Calculateur!ET173*VLOOKUP('Données projet'!$B$15,Paramètres!$A$1:$I$89,3,0)*0.475*44/12</f>
        <v>0</v>
      </c>
      <c r="EX173" s="23">
        <f>EXP(-LN(2)/2)*EX172+(1-EXP(-LN(2)/2))/(LN(2)/2)*ER173*EU173*VLOOKUP('Données projet'!$B$15,Paramètres!$A$1:$I$89,3,0)*0.475*44/12</f>
        <v>0</v>
      </c>
      <c r="EY173" s="24">
        <f t="shared" si="181"/>
        <v>0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-3.4106051316484809E-13</v>
      </c>
      <c r="FF173" s="18">
        <f>FE173*VLOOKUP('Données projet'!$B$16,Paramètres!$A$1:$I$89,3,0)*VLOOKUP('Données projet'!$B$16,Paramètres!$A$1:$I$89,5,0)</f>
        <v>-2.2878339223098009E-13</v>
      </c>
      <c r="FG173" s="14" t="e">
        <f t="shared" si="182"/>
        <v>#NUM!</v>
      </c>
      <c r="FH173" s="22" t="e">
        <f t="shared" si="183"/>
        <v>#NUM!</v>
      </c>
      <c r="FI173" s="62" t="e">
        <f t="shared" si="131"/>
        <v>#NUM!</v>
      </c>
      <c r="FJ173" s="62">
        <f ca="1">AVERAGE(OFFSET($FI$3,0,0,'Données projet'!$E$16+1,1))-AVERAGE(OFFSET($H$3,0,0,'Données projet'!$E$16+1,1))</f>
        <v>440.90856392064205</v>
      </c>
      <c r="FK173" s="62">
        <f t="shared" si="156"/>
        <v>373.33139300970629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>
        <f>EXP(-LN(2)/35)*FQ172+(1-EXP(-LN(2)/35))/(LN(2)/35)*FM173*FN173*VLOOKUP('Données projet'!$B$16,Paramètres!$A$1:$I$89,3,0)*0.475*44/12</f>
        <v>0</v>
      </c>
      <c r="FR173" s="23">
        <f>EXP(-LN(2)/25)*FR172+(1-EXP(-LN(2)/25))/(LN(2)/25)*Calculateur!FM173*Calculateur!FO173*VLOOKUP('Données projet'!$B$16,Paramètres!$A$1:$I$89,3,0)*0.475*44/12</f>
        <v>0</v>
      </c>
      <c r="FS173" s="23">
        <f>EXP(-LN(2)/2)*FS172+(1-EXP(-LN(2)/2))/(LN(2)/2)*FM173*FP173*VLOOKUP('Données projet'!$B$16,Paramètres!$A$1:$I$89,3,0)*0.475*44/12</f>
        <v>0</v>
      </c>
      <c r="FT173" s="24">
        <f t="shared" si="184"/>
        <v>0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70">
        <f t="shared" si="110"/>
        <v>183.33333333333334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-1.1368683772161603E-13</v>
      </c>
      <c r="O174" s="14">
        <f>N174*VLOOKUP('Données projet'!$B$9,Paramètres!$A$1:$I$89,3,0)*VLOOKUP('Données projet'!$B$9,Paramètres!$A$1:$I$89,5,0)</f>
        <v>-1.0286385077051818E-13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570.08763950759544</v>
      </c>
      <c r="T174" s="62">
        <f t="shared" si="142"/>
        <v>297.32483725004136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-2.2737367544323206E-13</v>
      </c>
      <c r="AJ174" s="14">
        <f>AI174*VLOOKUP('Données projet'!$B$10,Paramètres!$A$1:$I$89,3,0)*VLOOKUP('Données projet'!$B$10,Paramètres!$A$1:$I$89,5,0)</f>
        <v>-1.8089849618263545E-13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394.70330963327166</v>
      </c>
      <c r="AO174" s="62">
        <f t="shared" si="144"/>
        <v>424.06445894109982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-2.2737367544323206E-13</v>
      </c>
      <c r="BE174" s="14">
        <f>BD174*VLOOKUP('Données projet'!$B$11,Paramètres!$A$1:$I$89,3,0)*VLOOKUP('Données projet'!$B$11,Paramètres!$A$1:$I$89,5,0)</f>
        <v>-1.6671037883497774E-13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368.54671978064204</v>
      </c>
      <c r="BJ174" s="62">
        <f t="shared" si="146"/>
        <v>395.83504504492237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5.6843418860808015E-14</v>
      </c>
      <c r="BZ174" s="14">
        <f>BY174*VLOOKUP('Données projet'!$B$12,Paramètres!$A$1:$I$89,3,0)*VLOOKUP('Données projet'!$B$12,Paramètres!$A$1:$I$89,5,0)</f>
        <v>4.4337866711430253E-14</v>
      </c>
      <c r="CA174" s="14">
        <f t="shared" si="170"/>
        <v>7.3222115536967035E-13</v>
      </c>
      <c r="CB174" s="22">
        <f t="shared" si="171"/>
        <v>1.3525069634579169E-12</v>
      </c>
      <c r="CC174" s="62">
        <f t="shared" si="119"/>
        <v>288.73516144466288</v>
      </c>
      <c r="CD174" s="62">
        <f ca="1">AVERAGE(OFFSET($CC$3,0,0,'Données projet'!$E$12+1,1))-AVERAGE(OFFSET($H$3,0,0,'Données projet'!$E$12+1,1))</f>
        <v>309.21625451786218</v>
      </c>
      <c r="CE174" s="62">
        <f t="shared" si="148"/>
        <v>302.59481222418219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-2.8421709430404007E-13</v>
      </c>
      <c r="CU174" s="18">
        <f>CT174*VLOOKUP('Données projet'!$B$13,Paramètres!$A$1:$I$89,3,0)*VLOOKUP('Données projet'!$B$13,Paramètres!$A$1:$I$89,5,0)</f>
        <v>-2.7046098693972454E-13</v>
      </c>
      <c r="CV174" s="14" t="e">
        <f t="shared" si="173"/>
        <v>#NUM!</v>
      </c>
      <c r="CW174" s="22" t="e">
        <f t="shared" si="174"/>
        <v>#NUM!</v>
      </c>
      <c r="CX174" s="62" t="e">
        <f t="shared" si="122"/>
        <v>#NUM!</v>
      </c>
      <c r="CY174" s="62">
        <f ca="1">AVERAGE(OFFSET($CX$3,0,0,'Données projet'!$E$13+1,1))-AVERAGE(OFFSET($H$3,0,0,'Données projet'!$E$13+1,1))</f>
        <v>491.87038198656927</v>
      </c>
      <c r="CZ174" s="62">
        <f t="shared" si="150"/>
        <v>406.49261644949559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0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-1.1368683772161603E-13</v>
      </c>
      <c r="DP174" s="18">
        <f>DO174*VLOOKUP('Données projet'!$B$14,Paramètres!$A$1:$I$89,3,0)*VLOOKUP('Données projet'!$B$14,Paramètres!$A$1:$I$89,5,0)</f>
        <v>-1.0995790944434703E-13</v>
      </c>
      <c r="DQ174" s="14" t="e">
        <f t="shared" si="176"/>
        <v>#NUM!</v>
      </c>
      <c r="DR174" s="22" t="e">
        <f t="shared" si="177"/>
        <v>#NUM!</v>
      </c>
      <c r="DS174" s="62" t="e">
        <f t="shared" si="125"/>
        <v>#NUM!</v>
      </c>
      <c r="DT174" s="62">
        <f ca="1">AVERAGE(OFFSET($DS$3,0,0,'Données projet'!$E$14+1,1))-AVERAGE(OFFSET($H$3,0,0,'Données projet'!$E$14+1,1))</f>
        <v>603.52431522262032</v>
      </c>
      <c r="DU174" s="62">
        <f t="shared" si="152"/>
        <v>313.56299786481338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projet'!$B$14,Paramètres!$A$1:$I$89,3,0)*0.475*44/12</f>
        <v>0</v>
      </c>
      <c r="EB174" s="23">
        <f>EXP(-LN(2)/25)*EB173+(1-EXP(-LN(2)/25))/(LN(2)/25)*Calculateur!DW174*Calculateur!DY174*VLOOKUP('Données projet'!$B$14,Paramètres!$A$1:$I$89,3,0)*0.475*44/12</f>
        <v>0</v>
      </c>
      <c r="EC174" s="23">
        <f>EXP(-LN(2)/2)*EC173+(1-EXP(-LN(2)/2))/(LN(2)/2)*DW174*DZ174*VLOOKUP('Données projet'!$B$14,Paramètres!$A$1:$I$89,3,0)*0.475*44/12</f>
        <v>0</v>
      </c>
      <c r="ED174" s="24">
        <f t="shared" si="178"/>
        <v>0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-1.1368683772161603E-13</v>
      </c>
      <c r="EK174" s="18">
        <f>EJ174*VLOOKUP('Données projet'!$B$15,Paramètres!$A$1:$I$89,3,0)*VLOOKUP('Données projet'!$B$15,Paramètres!$A$1:$I$89,5,0)</f>
        <v>-9.2222762759774927E-14</v>
      </c>
      <c r="EL174" s="14" t="e">
        <f t="shared" si="179"/>
        <v>#NUM!</v>
      </c>
      <c r="EM174" s="22" t="e">
        <f t="shared" si="180"/>
        <v>#NUM!</v>
      </c>
      <c r="EN174" s="62" t="e">
        <f t="shared" si="128"/>
        <v>#NUM!</v>
      </c>
      <c r="EO174" s="62">
        <f ca="1">AVERAGE(OFFSET($EN$3,0,0,'Données projet'!$E$15+1,1))-AVERAGE(OFFSET($H$3,0,0,'Données projet'!$E$15+1,1))</f>
        <v>272.69564942740931</v>
      </c>
      <c r="EP174" s="62">
        <f t="shared" si="154"/>
        <v>316.57989180609252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>
        <f>EXP(-LN(2)/35)*EV173+(1-EXP(-LN(2)/35))/(LN(2)/35)*ER174*ES174*VLOOKUP('Données projet'!$B$15,Paramètres!$A$1:$I$89,3,0)*0.475*44/12</f>
        <v>0</v>
      </c>
      <c r="EW174" s="23">
        <f>EXP(-LN(2)/25)*EW173+(1-EXP(-LN(2)/25))/(LN(2)/25)*Calculateur!ER174*Calculateur!ET174*VLOOKUP('Données projet'!$B$15,Paramètres!$A$1:$I$89,3,0)*0.475*44/12</f>
        <v>0</v>
      </c>
      <c r="EX174" s="23">
        <f>EXP(-LN(2)/2)*EX173+(1-EXP(-LN(2)/2))/(LN(2)/2)*ER174*EU174*VLOOKUP('Données projet'!$B$15,Paramètres!$A$1:$I$89,3,0)*0.475*44/12</f>
        <v>0</v>
      </c>
      <c r="EY174" s="24">
        <f t="shared" si="181"/>
        <v>0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-3.4106051316484809E-13</v>
      </c>
      <c r="FF174" s="18">
        <f>FE174*VLOOKUP('Données projet'!$B$16,Paramètres!$A$1:$I$89,3,0)*VLOOKUP('Données projet'!$B$16,Paramètres!$A$1:$I$89,5,0)</f>
        <v>-2.2878339223098009E-13</v>
      </c>
      <c r="FG174" s="14" t="e">
        <f t="shared" si="182"/>
        <v>#NUM!</v>
      </c>
      <c r="FH174" s="22" t="e">
        <f t="shared" si="183"/>
        <v>#NUM!</v>
      </c>
      <c r="FI174" s="62" t="e">
        <f t="shared" si="131"/>
        <v>#NUM!</v>
      </c>
      <c r="FJ174" s="62">
        <f ca="1">AVERAGE(OFFSET($FI$3,0,0,'Données projet'!$E$16+1,1))-AVERAGE(OFFSET($H$3,0,0,'Données projet'!$E$16+1,1))</f>
        <v>440.90856392064205</v>
      </c>
      <c r="FK174" s="62">
        <f t="shared" si="156"/>
        <v>373.33139300970629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>
        <f>EXP(-LN(2)/35)*FQ173+(1-EXP(-LN(2)/35))/(LN(2)/35)*FM174*FN174*VLOOKUP('Données projet'!$B$16,Paramètres!$A$1:$I$89,3,0)*0.475*44/12</f>
        <v>0</v>
      </c>
      <c r="FR174" s="23">
        <f>EXP(-LN(2)/25)*FR173+(1-EXP(-LN(2)/25))/(LN(2)/25)*Calculateur!FM174*Calculateur!FO174*VLOOKUP('Données projet'!$B$16,Paramètres!$A$1:$I$89,3,0)*0.475*44/12</f>
        <v>0</v>
      </c>
      <c r="FS174" s="23">
        <f>EXP(-LN(2)/2)*FS173+(1-EXP(-LN(2)/2))/(LN(2)/2)*FM174*FP174*VLOOKUP('Données projet'!$B$16,Paramètres!$A$1:$I$89,3,0)*0.475*44/12</f>
        <v>0</v>
      </c>
      <c r="FT174" s="24">
        <f t="shared" si="184"/>
        <v>0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70">
        <f t="shared" si="110"/>
        <v>183.33333333333334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-1.1368683772161603E-13</v>
      </c>
      <c r="O175" s="14">
        <f>N175*VLOOKUP('Données projet'!$B$9,Paramètres!$A$1:$I$89,3,0)*VLOOKUP('Données projet'!$B$9,Paramètres!$A$1:$I$89,5,0)</f>
        <v>-1.0286385077051818E-13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570.08763950759544</v>
      </c>
      <c r="T175" s="62">
        <f t="shared" si="142"/>
        <v>297.32483725004136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-2.2737367544323206E-13</v>
      </c>
      <c r="AJ175" s="14">
        <f>AI175*VLOOKUP('Données projet'!$B$10,Paramètres!$A$1:$I$89,3,0)*VLOOKUP('Données projet'!$B$10,Paramètres!$A$1:$I$89,5,0)</f>
        <v>-1.8089849618263545E-13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394.70330963327166</v>
      </c>
      <c r="AO175" s="62">
        <f t="shared" si="144"/>
        <v>424.06445894109982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-2.2737367544323206E-13</v>
      </c>
      <c r="BE175" s="14">
        <f>BD175*VLOOKUP('Données projet'!$B$11,Paramètres!$A$1:$I$89,3,0)*VLOOKUP('Données projet'!$B$11,Paramètres!$A$1:$I$89,5,0)</f>
        <v>-1.6671037883497774E-13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368.54671978064204</v>
      </c>
      <c r="BJ175" s="62">
        <f t="shared" si="146"/>
        <v>395.83504504492237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5.6843418860808015E-14</v>
      </c>
      <c r="BZ175" s="14">
        <f>BY175*VLOOKUP('Données projet'!$B$12,Paramètres!$A$1:$I$89,3,0)*VLOOKUP('Données projet'!$B$12,Paramètres!$A$1:$I$89,5,0)</f>
        <v>4.4337866711430253E-14</v>
      </c>
      <c r="CA175" s="14">
        <f t="shared" si="170"/>
        <v>7.3222115536967035E-13</v>
      </c>
      <c r="CB175" s="22">
        <f t="shared" si="171"/>
        <v>1.3525069634579169E-12</v>
      </c>
      <c r="CC175" s="62">
        <f t="shared" si="119"/>
        <v>288.81492944695901</v>
      </c>
      <c r="CD175" s="62">
        <f ca="1">AVERAGE(OFFSET($CC$3,0,0,'Données projet'!$E$12+1,1))-AVERAGE(OFFSET($H$3,0,0,'Données projet'!$E$12+1,1))</f>
        <v>309.21625451786218</v>
      </c>
      <c r="CE175" s="62">
        <f t="shared" si="148"/>
        <v>302.59481222418219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-2.8421709430404007E-13</v>
      </c>
      <c r="CU175" s="18">
        <f>CT175*VLOOKUP('Données projet'!$B$13,Paramètres!$A$1:$I$89,3,0)*VLOOKUP('Données projet'!$B$13,Paramètres!$A$1:$I$89,5,0)</f>
        <v>-2.7046098693972454E-13</v>
      </c>
      <c r="CV175" s="14" t="e">
        <f t="shared" si="173"/>
        <v>#NUM!</v>
      </c>
      <c r="CW175" s="22" t="e">
        <f t="shared" si="174"/>
        <v>#NUM!</v>
      </c>
      <c r="CX175" s="62" t="e">
        <f t="shared" si="122"/>
        <v>#NUM!</v>
      </c>
      <c r="CY175" s="62">
        <f ca="1">AVERAGE(OFFSET($CX$3,0,0,'Données projet'!$E$13+1,1))-AVERAGE(OFFSET($H$3,0,0,'Données projet'!$E$13+1,1))</f>
        <v>491.87038198656927</v>
      </c>
      <c r="CZ175" s="62">
        <f t="shared" si="150"/>
        <v>406.49261644949559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0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-1.1368683772161603E-13</v>
      </c>
      <c r="DP175" s="18">
        <f>DO175*VLOOKUP('Données projet'!$B$14,Paramètres!$A$1:$I$89,3,0)*VLOOKUP('Données projet'!$B$14,Paramètres!$A$1:$I$89,5,0)</f>
        <v>-1.0995790944434703E-13</v>
      </c>
      <c r="DQ175" s="14" t="e">
        <f t="shared" si="176"/>
        <v>#NUM!</v>
      </c>
      <c r="DR175" s="22" t="e">
        <f t="shared" si="177"/>
        <v>#NUM!</v>
      </c>
      <c r="DS175" s="62" t="e">
        <f t="shared" si="125"/>
        <v>#NUM!</v>
      </c>
      <c r="DT175" s="62">
        <f ca="1">AVERAGE(OFFSET($DS$3,0,0,'Données projet'!$E$14+1,1))-AVERAGE(OFFSET($H$3,0,0,'Données projet'!$E$14+1,1))</f>
        <v>603.52431522262032</v>
      </c>
      <c r="DU175" s="62">
        <f t="shared" si="152"/>
        <v>313.56299786481338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projet'!$B$14,Paramètres!$A$1:$I$89,3,0)*0.475*44/12</f>
        <v>0</v>
      </c>
      <c r="EB175" s="23">
        <f>EXP(-LN(2)/25)*EB174+(1-EXP(-LN(2)/25))/(LN(2)/25)*Calculateur!DW175*Calculateur!DY175*VLOOKUP('Données projet'!$B$14,Paramètres!$A$1:$I$89,3,0)*0.475*44/12</f>
        <v>0</v>
      </c>
      <c r="EC175" s="23">
        <f>EXP(-LN(2)/2)*EC174+(1-EXP(-LN(2)/2))/(LN(2)/2)*DW175*DZ175*VLOOKUP('Données projet'!$B$14,Paramètres!$A$1:$I$89,3,0)*0.475*44/12</f>
        <v>0</v>
      </c>
      <c r="ED175" s="24">
        <f t="shared" si="178"/>
        <v>0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-1.1368683772161603E-13</v>
      </c>
      <c r="EK175" s="18">
        <f>EJ175*VLOOKUP('Données projet'!$B$15,Paramètres!$A$1:$I$89,3,0)*VLOOKUP('Données projet'!$B$15,Paramètres!$A$1:$I$89,5,0)</f>
        <v>-9.2222762759774927E-14</v>
      </c>
      <c r="EL175" s="14" t="e">
        <f t="shared" si="179"/>
        <v>#NUM!</v>
      </c>
      <c r="EM175" s="22" t="e">
        <f t="shared" si="180"/>
        <v>#NUM!</v>
      </c>
      <c r="EN175" s="62" t="e">
        <f t="shared" si="128"/>
        <v>#NUM!</v>
      </c>
      <c r="EO175" s="62">
        <f ca="1">AVERAGE(OFFSET($EN$3,0,0,'Données projet'!$E$15+1,1))-AVERAGE(OFFSET($H$3,0,0,'Données projet'!$E$15+1,1))</f>
        <v>272.69564942740931</v>
      </c>
      <c r="EP175" s="62">
        <f t="shared" si="154"/>
        <v>316.57989180609252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>
        <f>EXP(-LN(2)/35)*EV174+(1-EXP(-LN(2)/35))/(LN(2)/35)*ER175*ES175*VLOOKUP('Données projet'!$B$15,Paramètres!$A$1:$I$89,3,0)*0.475*44/12</f>
        <v>0</v>
      </c>
      <c r="EW175" s="23">
        <f>EXP(-LN(2)/25)*EW174+(1-EXP(-LN(2)/25))/(LN(2)/25)*Calculateur!ER175*Calculateur!ET175*VLOOKUP('Données projet'!$B$15,Paramètres!$A$1:$I$89,3,0)*0.475*44/12</f>
        <v>0</v>
      </c>
      <c r="EX175" s="23">
        <f>EXP(-LN(2)/2)*EX174+(1-EXP(-LN(2)/2))/(LN(2)/2)*ER175*EU175*VLOOKUP('Données projet'!$B$15,Paramètres!$A$1:$I$89,3,0)*0.475*44/12</f>
        <v>0</v>
      </c>
      <c r="EY175" s="24">
        <f t="shared" si="181"/>
        <v>0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-3.4106051316484809E-13</v>
      </c>
      <c r="FF175" s="18">
        <f>FE175*VLOOKUP('Données projet'!$B$16,Paramètres!$A$1:$I$89,3,0)*VLOOKUP('Données projet'!$B$16,Paramètres!$A$1:$I$89,5,0)</f>
        <v>-2.2878339223098009E-13</v>
      </c>
      <c r="FG175" s="14" t="e">
        <f t="shared" si="182"/>
        <v>#NUM!</v>
      </c>
      <c r="FH175" s="22" t="e">
        <f t="shared" si="183"/>
        <v>#NUM!</v>
      </c>
      <c r="FI175" s="62" t="e">
        <f t="shared" si="131"/>
        <v>#NUM!</v>
      </c>
      <c r="FJ175" s="62">
        <f ca="1">AVERAGE(OFFSET($FI$3,0,0,'Données projet'!$E$16+1,1))-AVERAGE(OFFSET($H$3,0,0,'Données projet'!$E$16+1,1))</f>
        <v>440.90856392064205</v>
      </c>
      <c r="FK175" s="62">
        <f t="shared" si="156"/>
        <v>373.33139300970629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>
        <f>EXP(-LN(2)/35)*FQ174+(1-EXP(-LN(2)/35))/(LN(2)/35)*FM175*FN175*VLOOKUP('Données projet'!$B$16,Paramètres!$A$1:$I$89,3,0)*0.475*44/12</f>
        <v>0</v>
      </c>
      <c r="FR175" s="23">
        <f>EXP(-LN(2)/25)*FR174+(1-EXP(-LN(2)/25))/(LN(2)/25)*Calculateur!FM175*Calculateur!FO175*VLOOKUP('Données projet'!$B$16,Paramètres!$A$1:$I$89,3,0)*0.475*44/12</f>
        <v>0</v>
      </c>
      <c r="FS175" s="23">
        <f>EXP(-LN(2)/2)*FS174+(1-EXP(-LN(2)/2))/(LN(2)/2)*FM175*FP175*VLOOKUP('Données projet'!$B$16,Paramètres!$A$1:$I$89,3,0)*0.475*44/12</f>
        <v>0</v>
      </c>
      <c r="FT175" s="24">
        <f t="shared" si="184"/>
        <v>0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70">
        <f t="shared" si="110"/>
        <v>183.33333333333334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-1.1368683772161603E-13</v>
      </c>
      <c r="O176" s="14">
        <f>N176*VLOOKUP('Données projet'!$B$9,Paramètres!$A$1:$I$89,3,0)*VLOOKUP('Données projet'!$B$9,Paramètres!$A$1:$I$89,5,0)</f>
        <v>-1.0286385077051818E-13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570.08763950759544</v>
      </c>
      <c r="T176" s="62">
        <f t="shared" si="142"/>
        <v>297.32483725004136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-2.2737367544323206E-13</v>
      </c>
      <c r="AJ176" s="14">
        <f>AI176*VLOOKUP('Données projet'!$B$10,Paramètres!$A$1:$I$89,3,0)*VLOOKUP('Données projet'!$B$10,Paramètres!$A$1:$I$89,5,0)</f>
        <v>-1.8089849618263545E-13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394.70330963327166</v>
      </c>
      <c r="AO176" s="62">
        <f t="shared" si="144"/>
        <v>424.06445894109982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-2.2737367544323206E-13</v>
      </c>
      <c r="BE176" s="14">
        <f>BD176*VLOOKUP('Données projet'!$B$11,Paramètres!$A$1:$I$89,3,0)*VLOOKUP('Données projet'!$B$11,Paramètres!$A$1:$I$89,5,0)</f>
        <v>-1.6671037883497774E-13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368.54671978064204</v>
      </c>
      <c r="BJ176" s="62">
        <f t="shared" si="146"/>
        <v>395.83504504492237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5.6843418860808015E-14</v>
      </c>
      <c r="BZ176" s="14">
        <f>BY176*VLOOKUP('Données projet'!$B$12,Paramètres!$A$1:$I$89,3,0)*VLOOKUP('Données projet'!$B$12,Paramètres!$A$1:$I$89,5,0)</f>
        <v>4.4337866711430253E-14</v>
      </c>
      <c r="CA176" s="14">
        <f t="shared" si="170"/>
        <v>7.3222115536967035E-13</v>
      </c>
      <c r="CB176" s="22">
        <f t="shared" si="171"/>
        <v>1.3525069634579169E-12</v>
      </c>
      <c r="CC176" s="62">
        <f t="shared" si="119"/>
        <v>288.89331365274984</v>
      </c>
      <c r="CD176" s="62">
        <f ca="1">AVERAGE(OFFSET($CC$3,0,0,'Données projet'!$E$12+1,1))-AVERAGE(OFFSET($H$3,0,0,'Données projet'!$E$12+1,1))</f>
        <v>309.21625451786218</v>
      </c>
      <c r="CE176" s="62">
        <f t="shared" si="148"/>
        <v>302.59481222418219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-2.8421709430404007E-13</v>
      </c>
      <c r="CU176" s="18">
        <f>CT176*VLOOKUP('Données projet'!$B$13,Paramètres!$A$1:$I$89,3,0)*VLOOKUP('Données projet'!$B$13,Paramètres!$A$1:$I$89,5,0)</f>
        <v>-2.7046098693972454E-13</v>
      </c>
      <c r="CV176" s="14" t="e">
        <f t="shared" si="173"/>
        <v>#NUM!</v>
      </c>
      <c r="CW176" s="22" t="e">
        <f t="shared" si="174"/>
        <v>#NUM!</v>
      </c>
      <c r="CX176" s="62" t="e">
        <f t="shared" si="122"/>
        <v>#NUM!</v>
      </c>
      <c r="CY176" s="62">
        <f ca="1">AVERAGE(OFFSET($CX$3,0,0,'Données projet'!$E$13+1,1))-AVERAGE(OFFSET($H$3,0,0,'Données projet'!$E$13+1,1))</f>
        <v>491.87038198656927</v>
      </c>
      <c r="CZ176" s="62">
        <f t="shared" si="150"/>
        <v>406.49261644949559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0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-1.1368683772161603E-13</v>
      </c>
      <c r="DP176" s="18">
        <f>DO176*VLOOKUP('Données projet'!$B$14,Paramètres!$A$1:$I$89,3,0)*VLOOKUP('Données projet'!$B$14,Paramètres!$A$1:$I$89,5,0)</f>
        <v>-1.0995790944434703E-13</v>
      </c>
      <c r="DQ176" s="14" t="e">
        <f t="shared" si="176"/>
        <v>#NUM!</v>
      </c>
      <c r="DR176" s="22" t="e">
        <f t="shared" si="177"/>
        <v>#NUM!</v>
      </c>
      <c r="DS176" s="62" t="e">
        <f t="shared" si="125"/>
        <v>#NUM!</v>
      </c>
      <c r="DT176" s="62">
        <f ca="1">AVERAGE(OFFSET($DS$3,0,0,'Données projet'!$E$14+1,1))-AVERAGE(OFFSET($H$3,0,0,'Données projet'!$E$14+1,1))</f>
        <v>603.52431522262032</v>
      </c>
      <c r="DU176" s="62">
        <f t="shared" si="152"/>
        <v>313.56299786481338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projet'!$B$14,Paramètres!$A$1:$I$89,3,0)*0.475*44/12</f>
        <v>0</v>
      </c>
      <c r="EB176" s="23">
        <f>EXP(-LN(2)/25)*EB175+(1-EXP(-LN(2)/25))/(LN(2)/25)*Calculateur!DW176*Calculateur!DY176*VLOOKUP('Données projet'!$B$14,Paramètres!$A$1:$I$89,3,0)*0.475*44/12</f>
        <v>0</v>
      </c>
      <c r="EC176" s="23">
        <f>EXP(-LN(2)/2)*EC175+(1-EXP(-LN(2)/2))/(LN(2)/2)*DW176*DZ176*VLOOKUP('Données projet'!$B$14,Paramètres!$A$1:$I$89,3,0)*0.475*44/12</f>
        <v>0</v>
      </c>
      <c r="ED176" s="24">
        <f t="shared" si="178"/>
        <v>0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-1.1368683772161603E-13</v>
      </c>
      <c r="EK176" s="18">
        <f>EJ176*VLOOKUP('Données projet'!$B$15,Paramètres!$A$1:$I$89,3,0)*VLOOKUP('Données projet'!$B$15,Paramètres!$A$1:$I$89,5,0)</f>
        <v>-9.2222762759774927E-14</v>
      </c>
      <c r="EL176" s="14" t="e">
        <f t="shared" si="179"/>
        <v>#NUM!</v>
      </c>
      <c r="EM176" s="22" t="e">
        <f t="shared" si="180"/>
        <v>#NUM!</v>
      </c>
      <c r="EN176" s="62" t="e">
        <f t="shared" si="128"/>
        <v>#NUM!</v>
      </c>
      <c r="EO176" s="62">
        <f ca="1">AVERAGE(OFFSET($EN$3,0,0,'Données projet'!$E$15+1,1))-AVERAGE(OFFSET($H$3,0,0,'Données projet'!$E$15+1,1))</f>
        <v>272.69564942740931</v>
      </c>
      <c r="EP176" s="62">
        <f t="shared" si="154"/>
        <v>316.57989180609252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>
        <f>EXP(-LN(2)/35)*EV175+(1-EXP(-LN(2)/35))/(LN(2)/35)*ER176*ES176*VLOOKUP('Données projet'!$B$15,Paramètres!$A$1:$I$89,3,0)*0.475*44/12</f>
        <v>0</v>
      </c>
      <c r="EW176" s="23">
        <f>EXP(-LN(2)/25)*EW175+(1-EXP(-LN(2)/25))/(LN(2)/25)*Calculateur!ER176*Calculateur!ET176*VLOOKUP('Données projet'!$B$15,Paramètres!$A$1:$I$89,3,0)*0.475*44/12</f>
        <v>0</v>
      </c>
      <c r="EX176" s="23">
        <f>EXP(-LN(2)/2)*EX175+(1-EXP(-LN(2)/2))/(LN(2)/2)*ER176*EU176*VLOOKUP('Données projet'!$B$15,Paramètres!$A$1:$I$89,3,0)*0.475*44/12</f>
        <v>0</v>
      </c>
      <c r="EY176" s="24">
        <f t="shared" si="181"/>
        <v>0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-3.4106051316484809E-13</v>
      </c>
      <c r="FF176" s="18">
        <f>FE176*VLOOKUP('Données projet'!$B$16,Paramètres!$A$1:$I$89,3,0)*VLOOKUP('Données projet'!$B$16,Paramètres!$A$1:$I$89,5,0)</f>
        <v>-2.2878339223098009E-13</v>
      </c>
      <c r="FG176" s="14" t="e">
        <f t="shared" si="182"/>
        <v>#NUM!</v>
      </c>
      <c r="FH176" s="22" t="e">
        <f t="shared" si="183"/>
        <v>#NUM!</v>
      </c>
      <c r="FI176" s="62" t="e">
        <f t="shared" si="131"/>
        <v>#NUM!</v>
      </c>
      <c r="FJ176" s="62">
        <f ca="1">AVERAGE(OFFSET($FI$3,0,0,'Données projet'!$E$16+1,1))-AVERAGE(OFFSET($H$3,0,0,'Données projet'!$E$16+1,1))</f>
        <v>440.90856392064205</v>
      </c>
      <c r="FK176" s="62">
        <f t="shared" si="156"/>
        <v>373.33139300970629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>
        <f>EXP(-LN(2)/35)*FQ175+(1-EXP(-LN(2)/35))/(LN(2)/35)*FM176*FN176*VLOOKUP('Données projet'!$B$16,Paramètres!$A$1:$I$89,3,0)*0.475*44/12</f>
        <v>0</v>
      </c>
      <c r="FR176" s="23">
        <f>EXP(-LN(2)/25)*FR175+(1-EXP(-LN(2)/25))/(LN(2)/25)*Calculateur!FM176*Calculateur!FO176*VLOOKUP('Données projet'!$B$16,Paramètres!$A$1:$I$89,3,0)*0.475*44/12</f>
        <v>0</v>
      </c>
      <c r="FS176" s="23">
        <f>EXP(-LN(2)/2)*FS175+(1-EXP(-LN(2)/2))/(LN(2)/2)*FM176*FP176*VLOOKUP('Données projet'!$B$16,Paramètres!$A$1:$I$89,3,0)*0.475*44/12</f>
        <v>0</v>
      </c>
      <c r="FT176" s="24">
        <f t="shared" si="184"/>
        <v>0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70">
        <f t="shared" si="110"/>
        <v>183.33333333333334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-1.1368683772161603E-13</v>
      </c>
      <c r="O177" s="14">
        <f>N177*VLOOKUP('Données projet'!$B$9,Paramètres!$A$1:$I$89,3,0)*VLOOKUP('Données projet'!$B$9,Paramètres!$A$1:$I$89,5,0)</f>
        <v>-1.0286385077051818E-13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570.08763950759544</v>
      </c>
      <c r="T177" s="62">
        <f t="shared" si="142"/>
        <v>297.32483725004136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-2.2737367544323206E-13</v>
      </c>
      <c r="AJ177" s="14">
        <f>AI177*VLOOKUP('Données projet'!$B$10,Paramètres!$A$1:$I$89,3,0)*VLOOKUP('Données projet'!$B$10,Paramètres!$A$1:$I$89,5,0)</f>
        <v>-1.8089849618263545E-13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394.70330963327166</v>
      </c>
      <c r="AO177" s="62">
        <f t="shared" si="144"/>
        <v>424.06445894109982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-2.2737367544323206E-13</v>
      </c>
      <c r="BE177" s="14">
        <f>BD177*VLOOKUP('Données projet'!$B$11,Paramètres!$A$1:$I$89,3,0)*VLOOKUP('Données projet'!$B$11,Paramètres!$A$1:$I$89,5,0)</f>
        <v>-1.6671037883497774E-13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368.54671978064204</v>
      </c>
      <c r="BJ177" s="62">
        <f t="shared" si="146"/>
        <v>395.83504504492237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5.6843418860808015E-14</v>
      </c>
      <c r="BZ177" s="14">
        <f>BY177*VLOOKUP('Données projet'!$B$12,Paramètres!$A$1:$I$89,3,0)*VLOOKUP('Données projet'!$B$12,Paramètres!$A$1:$I$89,5,0)</f>
        <v>4.4337866711430253E-14</v>
      </c>
      <c r="CA177" s="14">
        <f t="shared" si="170"/>
        <v>7.3222115536967035E-13</v>
      </c>
      <c r="CB177" s="22">
        <f t="shared" si="171"/>
        <v>1.3525069634579169E-12</v>
      </c>
      <c r="CC177" s="62">
        <f t="shared" si="119"/>
        <v>288.9703380678111</v>
      </c>
      <c r="CD177" s="62">
        <f ca="1">AVERAGE(OFFSET($CC$3,0,0,'Données projet'!$E$12+1,1))-AVERAGE(OFFSET($H$3,0,0,'Données projet'!$E$12+1,1))</f>
        <v>309.21625451786218</v>
      </c>
      <c r="CE177" s="62">
        <f t="shared" si="148"/>
        <v>302.59481222418219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-2.8421709430404007E-13</v>
      </c>
      <c r="CU177" s="18">
        <f>CT177*VLOOKUP('Données projet'!$B$13,Paramètres!$A$1:$I$89,3,0)*VLOOKUP('Données projet'!$B$13,Paramètres!$A$1:$I$89,5,0)</f>
        <v>-2.7046098693972454E-13</v>
      </c>
      <c r="CV177" s="14" t="e">
        <f t="shared" si="173"/>
        <v>#NUM!</v>
      </c>
      <c r="CW177" s="22" t="e">
        <f t="shared" si="174"/>
        <v>#NUM!</v>
      </c>
      <c r="CX177" s="62" t="e">
        <f t="shared" si="122"/>
        <v>#NUM!</v>
      </c>
      <c r="CY177" s="62">
        <f ca="1">AVERAGE(OFFSET($CX$3,0,0,'Données projet'!$E$13+1,1))-AVERAGE(OFFSET($H$3,0,0,'Données projet'!$E$13+1,1))</f>
        <v>491.87038198656927</v>
      </c>
      <c r="CZ177" s="62">
        <f t="shared" si="150"/>
        <v>406.49261644949559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0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-1.1368683772161603E-13</v>
      </c>
      <c r="DP177" s="18">
        <f>DO177*VLOOKUP('Données projet'!$B$14,Paramètres!$A$1:$I$89,3,0)*VLOOKUP('Données projet'!$B$14,Paramètres!$A$1:$I$89,5,0)</f>
        <v>-1.0995790944434703E-13</v>
      </c>
      <c r="DQ177" s="14" t="e">
        <f t="shared" si="176"/>
        <v>#NUM!</v>
      </c>
      <c r="DR177" s="22" t="e">
        <f t="shared" si="177"/>
        <v>#NUM!</v>
      </c>
      <c r="DS177" s="62" t="e">
        <f t="shared" si="125"/>
        <v>#NUM!</v>
      </c>
      <c r="DT177" s="62">
        <f ca="1">AVERAGE(OFFSET($DS$3,0,0,'Données projet'!$E$14+1,1))-AVERAGE(OFFSET($H$3,0,0,'Données projet'!$E$14+1,1))</f>
        <v>603.52431522262032</v>
      </c>
      <c r="DU177" s="62">
        <f t="shared" si="152"/>
        <v>313.56299786481338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projet'!$B$14,Paramètres!$A$1:$I$89,3,0)*0.475*44/12</f>
        <v>0</v>
      </c>
      <c r="EB177" s="23">
        <f>EXP(-LN(2)/25)*EB176+(1-EXP(-LN(2)/25))/(LN(2)/25)*Calculateur!DW177*Calculateur!DY177*VLOOKUP('Données projet'!$B$14,Paramètres!$A$1:$I$89,3,0)*0.475*44/12</f>
        <v>0</v>
      </c>
      <c r="EC177" s="23">
        <f>EXP(-LN(2)/2)*EC176+(1-EXP(-LN(2)/2))/(LN(2)/2)*DW177*DZ177*VLOOKUP('Données projet'!$B$14,Paramètres!$A$1:$I$89,3,0)*0.475*44/12</f>
        <v>0</v>
      </c>
      <c r="ED177" s="24">
        <f t="shared" si="178"/>
        <v>0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-1.1368683772161603E-13</v>
      </c>
      <c r="EK177" s="18">
        <f>EJ177*VLOOKUP('Données projet'!$B$15,Paramètres!$A$1:$I$89,3,0)*VLOOKUP('Données projet'!$B$15,Paramètres!$A$1:$I$89,5,0)</f>
        <v>-9.2222762759774927E-14</v>
      </c>
      <c r="EL177" s="14" t="e">
        <f t="shared" si="179"/>
        <v>#NUM!</v>
      </c>
      <c r="EM177" s="22" t="e">
        <f t="shared" si="180"/>
        <v>#NUM!</v>
      </c>
      <c r="EN177" s="62" t="e">
        <f t="shared" si="128"/>
        <v>#NUM!</v>
      </c>
      <c r="EO177" s="62">
        <f ca="1">AVERAGE(OFFSET($EN$3,0,0,'Données projet'!$E$15+1,1))-AVERAGE(OFFSET($H$3,0,0,'Données projet'!$E$15+1,1))</f>
        <v>272.69564942740931</v>
      </c>
      <c r="EP177" s="62">
        <f t="shared" si="154"/>
        <v>316.57989180609252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>
        <f>EXP(-LN(2)/35)*EV176+(1-EXP(-LN(2)/35))/(LN(2)/35)*ER177*ES177*VLOOKUP('Données projet'!$B$15,Paramètres!$A$1:$I$89,3,0)*0.475*44/12</f>
        <v>0</v>
      </c>
      <c r="EW177" s="23">
        <f>EXP(-LN(2)/25)*EW176+(1-EXP(-LN(2)/25))/(LN(2)/25)*Calculateur!ER177*Calculateur!ET177*VLOOKUP('Données projet'!$B$15,Paramètres!$A$1:$I$89,3,0)*0.475*44/12</f>
        <v>0</v>
      </c>
      <c r="EX177" s="23">
        <f>EXP(-LN(2)/2)*EX176+(1-EXP(-LN(2)/2))/(LN(2)/2)*ER177*EU177*VLOOKUP('Données projet'!$B$15,Paramètres!$A$1:$I$89,3,0)*0.475*44/12</f>
        <v>0</v>
      </c>
      <c r="EY177" s="24">
        <f t="shared" si="181"/>
        <v>0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-3.4106051316484809E-13</v>
      </c>
      <c r="FF177" s="18">
        <f>FE177*VLOOKUP('Données projet'!$B$16,Paramètres!$A$1:$I$89,3,0)*VLOOKUP('Données projet'!$B$16,Paramètres!$A$1:$I$89,5,0)</f>
        <v>-2.2878339223098009E-13</v>
      </c>
      <c r="FG177" s="14" t="e">
        <f t="shared" si="182"/>
        <v>#NUM!</v>
      </c>
      <c r="FH177" s="22" t="e">
        <f t="shared" si="183"/>
        <v>#NUM!</v>
      </c>
      <c r="FI177" s="62" t="e">
        <f t="shared" si="131"/>
        <v>#NUM!</v>
      </c>
      <c r="FJ177" s="62">
        <f ca="1">AVERAGE(OFFSET($FI$3,0,0,'Données projet'!$E$16+1,1))-AVERAGE(OFFSET($H$3,0,0,'Données projet'!$E$16+1,1))</f>
        <v>440.90856392064205</v>
      </c>
      <c r="FK177" s="62">
        <f t="shared" si="156"/>
        <v>373.33139300970629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>
        <f>EXP(-LN(2)/35)*FQ176+(1-EXP(-LN(2)/35))/(LN(2)/35)*FM177*FN177*VLOOKUP('Données projet'!$B$16,Paramètres!$A$1:$I$89,3,0)*0.475*44/12</f>
        <v>0</v>
      </c>
      <c r="FR177" s="23">
        <f>EXP(-LN(2)/25)*FR176+(1-EXP(-LN(2)/25))/(LN(2)/25)*Calculateur!FM177*Calculateur!FO177*VLOOKUP('Données projet'!$B$16,Paramètres!$A$1:$I$89,3,0)*0.475*44/12</f>
        <v>0</v>
      </c>
      <c r="FS177" s="23">
        <f>EXP(-LN(2)/2)*FS176+(1-EXP(-LN(2)/2))/(LN(2)/2)*FM177*FP177*VLOOKUP('Données projet'!$B$16,Paramètres!$A$1:$I$89,3,0)*0.475*44/12</f>
        <v>0</v>
      </c>
      <c r="FT177" s="24">
        <f t="shared" si="184"/>
        <v>0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70">
        <f t="shared" si="110"/>
        <v>183.33333333333334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-1.1368683772161603E-13</v>
      </c>
      <c r="O178" s="14">
        <f>N178*VLOOKUP('Données projet'!$B$9,Paramètres!$A$1:$I$89,3,0)*VLOOKUP('Données projet'!$B$9,Paramètres!$A$1:$I$89,5,0)</f>
        <v>-1.0286385077051818E-13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570.08763950759544</v>
      </c>
      <c r="T178" s="62">
        <f t="shared" si="142"/>
        <v>297.32483725004136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-2.2737367544323206E-13</v>
      </c>
      <c r="AJ178" s="14">
        <f>AI178*VLOOKUP('Données projet'!$B$10,Paramètres!$A$1:$I$89,3,0)*VLOOKUP('Données projet'!$B$10,Paramètres!$A$1:$I$89,5,0)</f>
        <v>-1.8089849618263545E-13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394.70330963327166</v>
      </c>
      <c r="AO178" s="62">
        <f t="shared" si="144"/>
        <v>424.06445894109982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-2.2737367544323206E-13</v>
      </c>
      <c r="BE178" s="14">
        <f>BD178*VLOOKUP('Données projet'!$B$11,Paramètres!$A$1:$I$89,3,0)*VLOOKUP('Données projet'!$B$11,Paramètres!$A$1:$I$89,5,0)</f>
        <v>-1.6671037883497774E-13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368.54671978064204</v>
      </c>
      <c r="BJ178" s="62">
        <f t="shared" si="146"/>
        <v>395.83504504492237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5.6843418860808015E-14</v>
      </c>
      <c r="BZ178" s="14">
        <f>BY178*VLOOKUP('Données projet'!$B$12,Paramètres!$A$1:$I$89,3,0)*VLOOKUP('Données projet'!$B$12,Paramètres!$A$1:$I$89,5,0)</f>
        <v>4.4337866711430253E-14</v>
      </c>
      <c r="CA178" s="14">
        <f t="shared" si="170"/>
        <v>7.3222115536967035E-13</v>
      </c>
      <c r="CB178" s="22">
        <f t="shared" si="171"/>
        <v>1.3525069634579169E-12</v>
      </c>
      <c r="CC178" s="62">
        <f t="shared" si="119"/>
        <v>289.04602628147177</v>
      </c>
      <c r="CD178" s="62">
        <f ca="1">AVERAGE(OFFSET($CC$3,0,0,'Données projet'!$E$12+1,1))-AVERAGE(OFFSET($H$3,0,0,'Données projet'!$E$12+1,1))</f>
        <v>309.21625451786218</v>
      </c>
      <c r="CE178" s="62">
        <f t="shared" si="148"/>
        <v>302.59481222418219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-2.8421709430404007E-13</v>
      </c>
      <c r="CU178" s="18">
        <f>CT178*VLOOKUP('Données projet'!$B$13,Paramètres!$A$1:$I$89,3,0)*VLOOKUP('Données projet'!$B$13,Paramètres!$A$1:$I$89,5,0)</f>
        <v>-2.7046098693972454E-13</v>
      </c>
      <c r="CV178" s="14" t="e">
        <f t="shared" si="173"/>
        <v>#NUM!</v>
      </c>
      <c r="CW178" s="22" t="e">
        <f t="shared" si="174"/>
        <v>#NUM!</v>
      </c>
      <c r="CX178" s="62" t="e">
        <f t="shared" si="122"/>
        <v>#NUM!</v>
      </c>
      <c r="CY178" s="62">
        <f ca="1">AVERAGE(OFFSET($CX$3,0,0,'Données projet'!$E$13+1,1))-AVERAGE(OFFSET($H$3,0,0,'Données projet'!$E$13+1,1))</f>
        <v>491.87038198656927</v>
      </c>
      <c r="CZ178" s="62">
        <f t="shared" si="150"/>
        <v>406.49261644949559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0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-1.1368683772161603E-13</v>
      </c>
      <c r="DP178" s="18">
        <f>DO178*VLOOKUP('Données projet'!$B$14,Paramètres!$A$1:$I$89,3,0)*VLOOKUP('Données projet'!$B$14,Paramètres!$A$1:$I$89,5,0)</f>
        <v>-1.0995790944434703E-13</v>
      </c>
      <c r="DQ178" s="14" t="e">
        <f t="shared" si="176"/>
        <v>#NUM!</v>
      </c>
      <c r="DR178" s="22" t="e">
        <f t="shared" si="177"/>
        <v>#NUM!</v>
      </c>
      <c r="DS178" s="62" t="e">
        <f t="shared" si="125"/>
        <v>#NUM!</v>
      </c>
      <c r="DT178" s="62">
        <f ca="1">AVERAGE(OFFSET($DS$3,0,0,'Données projet'!$E$14+1,1))-AVERAGE(OFFSET($H$3,0,0,'Données projet'!$E$14+1,1))</f>
        <v>603.52431522262032</v>
      </c>
      <c r="DU178" s="62">
        <f t="shared" si="152"/>
        <v>313.56299786481338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projet'!$B$14,Paramètres!$A$1:$I$89,3,0)*0.475*44/12</f>
        <v>0</v>
      </c>
      <c r="EB178" s="23">
        <f>EXP(-LN(2)/25)*EB177+(1-EXP(-LN(2)/25))/(LN(2)/25)*Calculateur!DW178*Calculateur!DY178*VLOOKUP('Données projet'!$B$14,Paramètres!$A$1:$I$89,3,0)*0.475*44/12</f>
        <v>0</v>
      </c>
      <c r="EC178" s="23">
        <f>EXP(-LN(2)/2)*EC177+(1-EXP(-LN(2)/2))/(LN(2)/2)*DW178*DZ178*VLOOKUP('Données projet'!$B$14,Paramètres!$A$1:$I$89,3,0)*0.475*44/12</f>
        <v>0</v>
      </c>
      <c r="ED178" s="24">
        <f t="shared" si="178"/>
        <v>0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-1.1368683772161603E-13</v>
      </c>
      <c r="EK178" s="18">
        <f>EJ178*VLOOKUP('Données projet'!$B$15,Paramètres!$A$1:$I$89,3,0)*VLOOKUP('Données projet'!$B$15,Paramètres!$A$1:$I$89,5,0)</f>
        <v>-9.2222762759774927E-14</v>
      </c>
      <c r="EL178" s="14" t="e">
        <f t="shared" si="179"/>
        <v>#NUM!</v>
      </c>
      <c r="EM178" s="22" t="e">
        <f t="shared" si="180"/>
        <v>#NUM!</v>
      </c>
      <c r="EN178" s="62" t="e">
        <f t="shared" si="128"/>
        <v>#NUM!</v>
      </c>
      <c r="EO178" s="62">
        <f ca="1">AVERAGE(OFFSET($EN$3,0,0,'Données projet'!$E$15+1,1))-AVERAGE(OFFSET($H$3,0,0,'Données projet'!$E$15+1,1))</f>
        <v>272.69564942740931</v>
      </c>
      <c r="EP178" s="62">
        <f t="shared" si="154"/>
        <v>316.57989180609252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>
        <f>EXP(-LN(2)/35)*EV177+(1-EXP(-LN(2)/35))/(LN(2)/35)*ER178*ES178*VLOOKUP('Données projet'!$B$15,Paramètres!$A$1:$I$89,3,0)*0.475*44/12</f>
        <v>0</v>
      </c>
      <c r="EW178" s="23">
        <f>EXP(-LN(2)/25)*EW177+(1-EXP(-LN(2)/25))/(LN(2)/25)*Calculateur!ER178*Calculateur!ET178*VLOOKUP('Données projet'!$B$15,Paramètres!$A$1:$I$89,3,0)*0.475*44/12</f>
        <v>0</v>
      </c>
      <c r="EX178" s="23">
        <f>EXP(-LN(2)/2)*EX177+(1-EXP(-LN(2)/2))/(LN(2)/2)*ER178*EU178*VLOOKUP('Données projet'!$B$15,Paramètres!$A$1:$I$89,3,0)*0.475*44/12</f>
        <v>0</v>
      </c>
      <c r="EY178" s="24">
        <f t="shared" si="181"/>
        <v>0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-3.4106051316484809E-13</v>
      </c>
      <c r="FF178" s="18">
        <f>FE178*VLOOKUP('Données projet'!$B$16,Paramètres!$A$1:$I$89,3,0)*VLOOKUP('Données projet'!$B$16,Paramètres!$A$1:$I$89,5,0)</f>
        <v>-2.2878339223098009E-13</v>
      </c>
      <c r="FG178" s="14" t="e">
        <f t="shared" si="182"/>
        <v>#NUM!</v>
      </c>
      <c r="FH178" s="22" t="e">
        <f t="shared" si="183"/>
        <v>#NUM!</v>
      </c>
      <c r="FI178" s="62" t="e">
        <f t="shared" si="131"/>
        <v>#NUM!</v>
      </c>
      <c r="FJ178" s="62">
        <f ca="1">AVERAGE(OFFSET($FI$3,0,0,'Données projet'!$E$16+1,1))-AVERAGE(OFFSET($H$3,0,0,'Données projet'!$E$16+1,1))</f>
        <v>440.90856392064205</v>
      </c>
      <c r="FK178" s="62">
        <f t="shared" si="156"/>
        <v>373.33139300970629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>
        <f>EXP(-LN(2)/35)*FQ177+(1-EXP(-LN(2)/35))/(LN(2)/35)*FM178*FN178*VLOOKUP('Données projet'!$B$16,Paramètres!$A$1:$I$89,3,0)*0.475*44/12</f>
        <v>0</v>
      </c>
      <c r="FR178" s="23">
        <f>EXP(-LN(2)/25)*FR177+(1-EXP(-LN(2)/25))/(LN(2)/25)*Calculateur!FM178*Calculateur!FO178*VLOOKUP('Données projet'!$B$16,Paramètres!$A$1:$I$89,3,0)*0.475*44/12</f>
        <v>0</v>
      </c>
      <c r="FS178" s="23">
        <f>EXP(-LN(2)/2)*FS177+(1-EXP(-LN(2)/2))/(LN(2)/2)*FM178*FP178*VLOOKUP('Données projet'!$B$16,Paramètres!$A$1:$I$89,3,0)*0.475*44/12</f>
        <v>0</v>
      </c>
      <c r="FT178" s="24">
        <f t="shared" si="184"/>
        <v>0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70">
        <f t="shared" si="110"/>
        <v>183.33333333333334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-1.1368683772161603E-13</v>
      </c>
      <c r="O179" s="14">
        <f>N179*VLOOKUP('Données projet'!$B$9,Paramètres!$A$1:$I$89,3,0)*VLOOKUP('Données projet'!$B$9,Paramètres!$A$1:$I$89,5,0)</f>
        <v>-1.0286385077051818E-13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570.08763950759544</v>
      </c>
      <c r="T179" s="62">
        <f t="shared" si="142"/>
        <v>297.32483725004136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-2.2737367544323206E-13</v>
      </c>
      <c r="AJ179" s="14">
        <f>AI179*VLOOKUP('Données projet'!$B$10,Paramètres!$A$1:$I$89,3,0)*VLOOKUP('Données projet'!$B$10,Paramètres!$A$1:$I$89,5,0)</f>
        <v>-1.8089849618263545E-13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394.70330963327166</v>
      </c>
      <c r="AO179" s="62">
        <f t="shared" si="144"/>
        <v>424.06445894109982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-2.2737367544323206E-13</v>
      </c>
      <c r="BE179" s="14">
        <f>BD179*VLOOKUP('Données projet'!$B$11,Paramètres!$A$1:$I$89,3,0)*VLOOKUP('Données projet'!$B$11,Paramètres!$A$1:$I$89,5,0)</f>
        <v>-1.6671037883497774E-13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368.54671978064204</v>
      </c>
      <c r="BJ179" s="62">
        <f t="shared" si="146"/>
        <v>395.83504504492237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5.6843418860808015E-14</v>
      </c>
      <c r="BZ179" s="14">
        <f>BY179*VLOOKUP('Données projet'!$B$12,Paramètres!$A$1:$I$89,3,0)*VLOOKUP('Données projet'!$B$12,Paramètres!$A$1:$I$89,5,0)</f>
        <v>4.4337866711430253E-14</v>
      </c>
      <c r="CA179" s="14">
        <f t="shared" si="170"/>
        <v>7.3222115536967035E-13</v>
      </c>
      <c r="CB179" s="22">
        <f t="shared" si="171"/>
        <v>1.3525069634579169E-12</v>
      </c>
      <c r="CC179" s="62">
        <f t="shared" si="119"/>
        <v>289.12040147383897</v>
      </c>
      <c r="CD179" s="62">
        <f ca="1">AVERAGE(OFFSET($CC$3,0,0,'Données projet'!$E$12+1,1))-AVERAGE(OFFSET($H$3,0,0,'Données projet'!$E$12+1,1))</f>
        <v>309.21625451786218</v>
      </c>
      <c r="CE179" s="62">
        <f t="shared" si="148"/>
        <v>302.59481222418219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-2.8421709430404007E-13</v>
      </c>
      <c r="CU179" s="18">
        <f>CT179*VLOOKUP('Données projet'!$B$13,Paramètres!$A$1:$I$89,3,0)*VLOOKUP('Données projet'!$B$13,Paramètres!$A$1:$I$89,5,0)</f>
        <v>-2.7046098693972454E-13</v>
      </c>
      <c r="CV179" s="14" t="e">
        <f t="shared" si="173"/>
        <v>#NUM!</v>
      </c>
      <c r="CW179" s="22" t="e">
        <f t="shared" si="174"/>
        <v>#NUM!</v>
      </c>
      <c r="CX179" s="62" t="e">
        <f t="shared" si="122"/>
        <v>#NUM!</v>
      </c>
      <c r="CY179" s="62">
        <f ca="1">AVERAGE(OFFSET($CX$3,0,0,'Données projet'!$E$13+1,1))-AVERAGE(OFFSET($H$3,0,0,'Données projet'!$E$13+1,1))</f>
        <v>491.87038198656927</v>
      </c>
      <c r="CZ179" s="62">
        <f t="shared" si="150"/>
        <v>406.49261644949559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0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-1.1368683772161603E-13</v>
      </c>
      <c r="DP179" s="18">
        <f>DO179*VLOOKUP('Données projet'!$B$14,Paramètres!$A$1:$I$89,3,0)*VLOOKUP('Données projet'!$B$14,Paramètres!$A$1:$I$89,5,0)</f>
        <v>-1.0995790944434703E-13</v>
      </c>
      <c r="DQ179" s="14" t="e">
        <f t="shared" si="176"/>
        <v>#NUM!</v>
      </c>
      <c r="DR179" s="22" t="e">
        <f t="shared" si="177"/>
        <v>#NUM!</v>
      </c>
      <c r="DS179" s="62" t="e">
        <f t="shared" si="125"/>
        <v>#NUM!</v>
      </c>
      <c r="DT179" s="62">
        <f ca="1">AVERAGE(OFFSET($DS$3,0,0,'Données projet'!$E$14+1,1))-AVERAGE(OFFSET($H$3,0,0,'Données projet'!$E$14+1,1))</f>
        <v>603.52431522262032</v>
      </c>
      <c r="DU179" s="62">
        <f t="shared" si="152"/>
        <v>313.56299786481338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projet'!$B$14,Paramètres!$A$1:$I$89,3,0)*0.475*44/12</f>
        <v>0</v>
      </c>
      <c r="EB179" s="23">
        <f>EXP(-LN(2)/25)*EB178+(1-EXP(-LN(2)/25))/(LN(2)/25)*Calculateur!DW179*Calculateur!DY179*VLOOKUP('Données projet'!$B$14,Paramètres!$A$1:$I$89,3,0)*0.475*44/12</f>
        <v>0</v>
      </c>
      <c r="EC179" s="23">
        <f>EXP(-LN(2)/2)*EC178+(1-EXP(-LN(2)/2))/(LN(2)/2)*DW179*DZ179*VLOOKUP('Données projet'!$B$14,Paramètres!$A$1:$I$89,3,0)*0.475*44/12</f>
        <v>0</v>
      </c>
      <c r="ED179" s="24">
        <f t="shared" si="178"/>
        <v>0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-1.1368683772161603E-13</v>
      </c>
      <c r="EK179" s="18">
        <f>EJ179*VLOOKUP('Données projet'!$B$15,Paramètres!$A$1:$I$89,3,0)*VLOOKUP('Données projet'!$B$15,Paramètres!$A$1:$I$89,5,0)</f>
        <v>-9.2222762759774927E-14</v>
      </c>
      <c r="EL179" s="14" t="e">
        <f t="shared" si="179"/>
        <v>#NUM!</v>
      </c>
      <c r="EM179" s="22" t="e">
        <f t="shared" si="180"/>
        <v>#NUM!</v>
      </c>
      <c r="EN179" s="62" t="e">
        <f t="shared" si="128"/>
        <v>#NUM!</v>
      </c>
      <c r="EO179" s="62">
        <f ca="1">AVERAGE(OFFSET($EN$3,0,0,'Données projet'!$E$15+1,1))-AVERAGE(OFFSET($H$3,0,0,'Données projet'!$E$15+1,1))</f>
        <v>272.69564942740931</v>
      </c>
      <c r="EP179" s="62">
        <f t="shared" si="154"/>
        <v>316.57989180609252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>
        <f>EXP(-LN(2)/35)*EV178+(1-EXP(-LN(2)/35))/(LN(2)/35)*ER179*ES179*VLOOKUP('Données projet'!$B$15,Paramètres!$A$1:$I$89,3,0)*0.475*44/12</f>
        <v>0</v>
      </c>
      <c r="EW179" s="23">
        <f>EXP(-LN(2)/25)*EW178+(1-EXP(-LN(2)/25))/(LN(2)/25)*Calculateur!ER179*Calculateur!ET179*VLOOKUP('Données projet'!$B$15,Paramètres!$A$1:$I$89,3,0)*0.475*44/12</f>
        <v>0</v>
      </c>
      <c r="EX179" s="23">
        <f>EXP(-LN(2)/2)*EX178+(1-EXP(-LN(2)/2))/(LN(2)/2)*ER179*EU179*VLOOKUP('Données projet'!$B$15,Paramètres!$A$1:$I$89,3,0)*0.475*44/12</f>
        <v>0</v>
      </c>
      <c r="EY179" s="24">
        <f t="shared" si="181"/>
        <v>0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-3.4106051316484809E-13</v>
      </c>
      <c r="FF179" s="18">
        <f>FE179*VLOOKUP('Données projet'!$B$16,Paramètres!$A$1:$I$89,3,0)*VLOOKUP('Données projet'!$B$16,Paramètres!$A$1:$I$89,5,0)</f>
        <v>-2.2878339223098009E-13</v>
      </c>
      <c r="FG179" s="14" t="e">
        <f t="shared" si="182"/>
        <v>#NUM!</v>
      </c>
      <c r="FH179" s="22" t="e">
        <f t="shared" si="183"/>
        <v>#NUM!</v>
      </c>
      <c r="FI179" s="62" t="e">
        <f t="shared" si="131"/>
        <v>#NUM!</v>
      </c>
      <c r="FJ179" s="62">
        <f ca="1">AVERAGE(OFFSET($FI$3,0,0,'Données projet'!$E$16+1,1))-AVERAGE(OFFSET($H$3,0,0,'Données projet'!$E$16+1,1))</f>
        <v>440.90856392064205</v>
      </c>
      <c r="FK179" s="62">
        <f t="shared" si="156"/>
        <v>373.33139300970629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>
        <f>EXP(-LN(2)/35)*FQ178+(1-EXP(-LN(2)/35))/(LN(2)/35)*FM179*FN179*VLOOKUP('Données projet'!$B$16,Paramètres!$A$1:$I$89,3,0)*0.475*44/12</f>
        <v>0</v>
      </c>
      <c r="FR179" s="23">
        <f>EXP(-LN(2)/25)*FR178+(1-EXP(-LN(2)/25))/(LN(2)/25)*Calculateur!FM179*Calculateur!FO179*VLOOKUP('Données projet'!$B$16,Paramètres!$A$1:$I$89,3,0)*0.475*44/12</f>
        <v>0</v>
      </c>
      <c r="FS179" s="23">
        <f>EXP(-LN(2)/2)*FS178+(1-EXP(-LN(2)/2))/(LN(2)/2)*FM179*FP179*VLOOKUP('Données projet'!$B$16,Paramètres!$A$1:$I$89,3,0)*0.475*44/12</f>
        <v>0</v>
      </c>
      <c r="FT179" s="24">
        <f t="shared" si="184"/>
        <v>0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70">
        <f t="shared" si="110"/>
        <v>183.33333333333334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-1.1368683772161603E-13</v>
      </c>
      <c r="O180" s="14">
        <f>N180*VLOOKUP('Données projet'!$B$9,Paramètres!$A$1:$I$89,3,0)*VLOOKUP('Données projet'!$B$9,Paramètres!$A$1:$I$89,5,0)</f>
        <v>-1.0286385077051818E-13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570.08763950759544</v>
      </c>
      <c r="T180" s="62">
        <f t="shared" si="142"/>
        <v>297.32483725004136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-2.2737367544323206E-13</v>
      </c>
      <c r="AJ180" s="14">
        <f>AI180*VLOOKUP('Données projet'!$B$10,Paramètres!$A$1:$I$89,3,0)*VLOOKUP('Données projet'!$B$10,Paramètres!$A$1:$I$89,5,0)</f>
        <v>-1.8089849618263545E-13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394.70330963327166</v>
      </c>
      <c r="AO180" s="62">
        <f t="shared" si="144"/>
        <v>424.06445894109982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-2.2737367544323206E-13</v>
      </c>
      <c r="BE180" s="14">
        <f>BD180*VLOOKUP('Données projet'!$B$11,Paramètres!$A$1:$I$89,3,0)*VLOOKUP('Données projet'!$B$11,Paramètres!$A$1:$I$89,5,0)</f>
        <v>-1.6671037883497774E-13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368.54671978064204</v>
      </c>
      <c r="BJ180" s="62">
        <f t="shared" si="146"/>
        <v>395.83504504492237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5.6843418860808015E-14</v>
      </c>
      <c r="BZ180" s="14">
        <f>BY180*VLOOKUP('Données projet'!$B$12,Paramètres!$A$1:$I$89,3,0)*VLOOKUP('Données projet'!$B$12,Paramètres!$A$1:$I$89,5,0)</f>
        <v>4.4337866711430253E-14</v>
      </c>
      <c r="CA180" s="14">
        <f t="shared" si="170"/>
        <v>7.3222115536967035E-13</v>
      </c>
      <c r="CB180" s="22">
        <f t="shared" si="171"/>
        <v>1.3525069634579169E-12</v>
      </c>
      <c r="CC180" s="62">
        <f t="shared" si="119"/>
        <v>289.19348642289663</v>
      </c>
      <c r="CD180" s="62">
        <f ca="1">AVERAGE(OFFSET($CC$3,0,0,'Données projet'!$E$12+1,1))-AVERAGE(OFFSET($H$3,0,0,'Données projet'!$E$12+1,1))</f>
        <v>309.21625451786218</v>
      </c>
      <c r="CE180" s="62">
        <f t="shared" si="148"/>
        <v>302.59481222418219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-2.8421709430404007E-13</v>
      </c>
      <c r="CU180" s="18">
        <f>CT180*VLOOKUP('Données projet'!$B$13,Paramètres!$A$1:$I$89,3,0)*VLOOKUP('Données projet'!$B$13,Paramètres!$A$1:$I$89,5,0)</f>
        <v>-2.7046098693972454E-13</v>
      </c>
      <c r="CV180" s="14" t="e">
        <f t="shared" si="173"/>
        <v>#NUM!</v>
      </c>
      <c r="CW180" s="22" t="e">
        <f t="shared" si="174"/>
        <v>#NUM!</v>
      </c>
      <c r="CX180" s="62" t="e">
        <f t="shared" si="122"/>
        <v>#NUM!</v>
      </c>
      <c r="CY180" s="62">
        <f ca="1">AVERAGE(OFFSET($CX$3,0,0,'Données projet'!$E$13+1,1))-AVERAGE(OFFSET($H$3,0,0,'Données projet'!$E$13+1,1))</f>
        <v>491.87038198656927</v>
      </c>
      <c r="CZ180" s="62">
        <f t="shared" si="150"/>
        <v>406.49261644949559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0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-1.1368683772161603E-13</v>
      </c>
      <c r="DP180" s="18">
        <f>DO180*VLOOKUP('Données projet'!$B$14,Paramètres!$A$1:$I$89,3,0)*VLOOKUP('Données projet'!$B$14,Paramètres!$A$1:$I$89,5,0)</f>
        <v>-1.0995790944434703E-13</v>
      </c>
      <c r="DQ180" s="14" t="e">
        <f t="shared" si="176"/>
        <v>#NUM!</v>
      </c>
      <c r="DR180" s="22" t="e">
        <f t="shared" si="177"/>
        <v>#NUM!</v>
      </c>
      <c r="DS180" s="62" t="e">
        <f t="shared" si="125"/>
        <v>#NUM!</v>
      </c>
      <c r="DT180" s="62">
        <f ca="1">AVERAGE(OFFSET($DS$3,0,0,'Données projet'!$E$14+1,1))-AVERAGE(OFFSET($H$3,0,0,'Données projet'!$E$14+1,1))</f>
        <v>603.52431522262032</v>
      </c>
      <c r="DU180" s="62">
        <f t="shared" si="152"/>
        <v>313.56299786481338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projet'!$B$14,Paramètres!$A$1:$I$89,3,0)*0.475*44/12</f>
        <v>0</v>
      </c>
      <c r="EB180" s="23">
        <f>EXP(-LN(2)/25)*EB179+(1-EXP(-LN(2)/25))/(LN(2)/25)*Calculateur!DW180*Calculateur!DY180*VLOOKUP('Données projet'!$B$14,Paramètres!$A$1:$I$89,3,0)*0.475*44/12</f>
        <v>0</v>
      </c>
      <c r="EC180" s="23">
        <f>EXP(-LN(2)/2)*EC179+(1-EXP(-LN(2)/2))/(LN(2)/2)*DW180*DZ180*VLOOKUP('Données projet'!$B$14,Paramètres!$A$1:$I$89,3,0)*0.475*44/12</f>
        <v>0</v>
      </c>
      <c r="ED180" s="24">
        <f t="shared" si="178"/>
        <v>0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-1.1368683772161603E-13</v>
      </c>
      <c r="EK180" s="18">
        <f>EJ180*VLOOKUP('Données projet'!$B$15,Paramètres!$A$1:$I$89,3,0)*VLOOKUP('Données projet'!$B$15,Paramètres!$A$1:$I$89,5,0)</f>
        <v>-9.2222762759774927E-14</v>
      </c>
      <c r="EL180" s="14" t="e">
        <f t="shared" si="179"/>
        <v>#NUM!</v>
      </c>
      <c r="EM180" s="22" t="e">
        <f t="shared" si="180"/>
        <v>#NUM!</v>
      </c>
      <c r="EN180" s="62" t="e">
        <f t="shared" si="128"/>
        <v>#NUM!</v>
      </c>
      <c r="EO180" s="62">
        <f ca="1">AVERAGE(OFFSET($EN$3,0,0,'Données projet'!$E$15+1,1))-AVERAGE(OFFSET($H$3,0,0,'Données projet'!$E$15+1,1))</f>
        <v>272.69564942740931</v>
      </c>
      <c r="EP180" s="62">
        <f t="shared" si="154"/>
        <v>316.57989180609252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>
        <f>EXP(-LN(2)/35)*EV179+(1-EXP(-LN(2)/35))/(LN(2)/35)*ER180*ES180*VLOOKUP('Données projet'!$B$15,Paramètres!$A$1:$I$89,3,0)*0.475*44/12</f>
        <v>0</v>
      </c>
      <c r="EW180" s="23">
        <f>EXP(-LN(2)/25)*EW179+(1-EXP(-LN(2)/25))/(LN(2)/25)*Calculateur!ER180*Calculateur!ET180*VLOOKUP('Données projet'!$B$15,Paramètres!$A$1:$I$89,3,0)*0.475*44/12</f>
        <v>0</v>
      </c>
      <c r="EX180" s="23">
        <f>EXP(-LN(2)/2)*EX179+(1-EXP(-LN(2)/2))/(LN(2)/2)*ER180*EU180*VLOOKUP('Données projet'!$B$15,Paramètres!$A$1:$I$89,3,0)*0.475*44/12</f>
        <v>0</v>
      </c>
      <c r="EY180" s="24">
        <f t="shared" si="181"/>
        <v>0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-3.4106051316484809E-13</v>
      </c>
      <c r="FF180" s="18">
        <f>FE180*VLOOKUP('Données projet'!$B$16,Paramètres!$A$1:$I$89,3,0)*VLOOKUP('Données projet'!$B$16,Paramètres!$A$1:$I$89,5,0)</f>
        <v>-2.2878339223098009E-13</v>
      </c>
      <c r="FG180" s="14" t="e">
        <f t="shared" si="182"/>
        <v>#NUM!</v>
      </c>
      <c r="FH180" s="22" t="e">
        <f t="shared" si="183"/>
        <v>#NUM!</v>
      </c>
      <c r="FI180" s="62" t="e">
        <f t="shared" si="131"/>
        <v>#NUM!</v>
      </c>
      <c r="FJ180" s="62">
        <f ca="1">AVERAGE(OFFSET($FI$3,0,0,'Données projet'!$E$16+1,1))-AVERAGE(OFFSET($H$3,0,0,'Données projet'!$E$16+1,1))</f>
        <v>440.90856392064205</v>
      </c>
      <c r="FK180" s="62">
        <f t="shared" si="156"/>
        <v>373.33139300970629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>
        <f>EXP(-LN(2)/35)*FQ179+(1-EXP(-LN(2)/35))/(LN(2)/35)*FM180*FN180*VLOOKUP('Données projet'!$B$16,Paramètres!$A$1:$I$89,3,0)*0.475*44/12</f>
        <v>0</v>
      </c>
      <c r="FR180" s="23">
        <f>EXP(-LN(2)/25)*FR179+(1-EXP(-LN(2)/25))/(LN(2)/25)*Calculateur!FM180*Calculateur!FO180*VLOOKUP('Données projet'!$B$16,Paramètres!$A$1:$I$89,3,0)*0.475*44/12</f>
        <v>0</v>
      </c>
      <c r="FS180" s="23">
        <f>EXP(-LN(2)/2)*FS179+(1-EXP(-LN(2)/2))/(LN(2)/2)*FM180*FP180*VLOOKUP('Données projet'!$B$16,Paramètres!$A$1:$I$89,3,0)*0.475*44/12</f>
        <v>0</v>
      </c>
      <c r="FT180" s="24">
        <f t="shared" si="184"/>
        <v>0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70">
        <f t="shared" si="110"/>
        <v>183.33333333333334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-1.1368683772161603E-13</v>
      </c>
      <c r="O181" s="14">
        <f>N181*VLOOKUP('Données projet'!$B$9,Paramètres!$A$1:$I$89,3,0)*VLOOKUP('Données projet'!$B$9,Paramètres!$A$1:$I$89,5,0)</f>
        <v>-1.0286385077051818E-13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570.08763950759544</v>
      </c>
      <c r="T181" s="62">
        <f t="shared" si="142"/>
        <v>297.32483725004136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-2.2737367544323206E-13</v>
      </c>
      <c r="AJ181" s="14">
        <f>AI181*VLOOKUP('Données projet'!$B$10,Paramètres!$A$1:$I$89,3,0)*VLOOKUP('Données projet'!$B$10,Paramètres!$A$1:$I$89,5,0)</f>
        <v>-1.8089849618263545E-13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394.70330963327166</v>
      </c>
      <c r="AO181" s="62">
        <f t="shared" si="144"/>
        <v>424.06445894109982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-2.2737367544323206E-13</v>
      </c>
      <c r="BE181" s="14">
        <f>BD181*VLOOKUP('Données projet'!$B$11,Paramètres!$A$1:$I$89,3,0)*VLOOKUP('Données projet'!$B$11,Paramètres!$A$1:$I$89,5,0)</f>
        <v>-1.6671037883497774E-13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368.54671978064204</v>
      </c>
      <c r="BJ181" s="62">
        <f t="shared" si="146"/>
        <v>395.83504504492237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5.6843418860808015E-14</v>
      </c>
      <c r="BZ181" s="14">
        <f>BY181*VLOOKUP('Données projet'!$B$12,Paramètres!$A$1:$I$89,3,0)*VLOOKUP('Données projet'!$B$12,Paramètres!$A$1:$I$89,5,0)</f>
        <v>4.4337866711430253E-14</v>
      </c>
      <c r="CA181" s="14">
        <f t="shared" si="170"/>
        <v>7.3222115536967035E-13</v>
      </c>
      <c r="CB181" s="22">
        <f t="shared" si="171"/>
        <v>1.3525069634579169E-12</v>
      </c>
      <c r="CC181" s="62">
        <f t="shared" si="119"/>
        <v>289.26530351148153</v>
      </c>
      <c r="CD181" s="62">
        <f ca="1">AVERAGE(OFFSET($CC$3,0,0,'Données projet'!$E$12+1,1))-AVERAGE(OFFSET($H$3,0,0,'Données projet'!$E$12+1,1))</f>
        <v>309.21625451786218</v>
      </c>
      <c r="CE181" s="62">
        <f t="shared" si="148"/>
        <v>302.59481222418219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-2.8421709430404007E-13</v>
      </c>
      <c r="CU181" s="18">
        <f>CT181*VLOOKUP('Données projet'!$B$13,Paramètres!$A$1:$I$89,3,0)*VLOOKUP('Données projet'!$B$13,Paramètres!$A$1:$I$89,5,0)</f>
        <v>-2.7046098693972454E-13</v>
      </c>
      <c r="CV181" s="14" t="e">
        <f t="shared" si="173"/>
        <v>#NUM!</v>
      </c>
      <c r="CW181" s="22" t="e">
        <f t="shared" si="174"/>
        <v>#NUM!</v>
      </c>
      <c r="CX181" s="62" t="e">
        <f t="shared" si="122"/>
        <v>#NUM!</v>
      </c>
      <c r="CY181" s="62">
        <f ca="1">AVERAGE(OFFSET($CX$3,0,0,'Données projet'!$E$13+1,1))-AVERAGE(OFFSET($H$3,0,0,'Données projet'!$E$13+1,1))</f>
        <v>491.87038198656927</v>
      </c>
      <c r="CZ181" s="62">
        <f t="shared" si="150"/>
        <v>406.49261644949559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0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-1.1368683772161603E-13</v>
      </c>
      <c r="DP181" s="18">
        <f>DO181*VLOOKUP('Données projet'!$B$14,Paramètres!$A$1:$I$89,3,0)*VLOOKUP('Données projet'!$B$14,Paramètres!$A$1:$I$89,5,0)</f>
        <v>-1.0995790944434703E-13</v>
      </c>
      <c r="DQ181" s="14" t="e">
        <f t="shared" si="176"/>
        <v>#NUM!</v>
      </c>
      <c r="DR181" s="22" t="e">
        <f t="shared" si="177"/>
        <v>#NUM!</v>
      </c>
      <c r="DS181" s="62" t="e">
        <f t="shared" si="125"/>
        <v>#NUM!</v>
      </c>
      <c r="DT181" s="62">
        <f ca="1">AVERAGE(OFFSET($DS$3,0,0,'Données projet'!$E$14+1,1))-AVERAGE(OFFSET($H$3,0,0,'Données projet'!$E$14+1,1))</f>
        <v>603.52431522262032</v>
      </c>
      <c r="DU181" s="62">
        <f t="shared" si="152"/>
        <v>313.56299786481338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projet'!$B$14,Paramètres!$A$1:$I$89,3,0)*0.475*44/12</f>
        <v>0</v>
      </c>
      <c r="EB181" s="23">
        <f>EXP(-LN(2)/25)*EB180+(1-EXP(-LN(2)/25))/(LN(2)/25)*Calculateur!DW181*Calculateur!DY181*VLOOKUP('Données projet'!$B$14,Paramètres!$A$1:$I$89,3,0)*0.475*44/12</f>
        <v>0</v>
      </c>
      <c r="EC181" s="23">
        <f>EXP(-LN(2)/2)*EC180+(1-EXP(-LN(2)/2))/(LN(2)/2)*DW181*DZ181*VLOOKUP('Données projet'!$B$14,Paramètres!$A$1:$I$89,3,0)*0.475*44/12</f>
        <v>0</v>
      </c>
      <c r="ED181" s="24">
        <f t="shared" si="178"/>
        <v>0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-1.1368683772161603E-13</v>
      </c>
      <c r="EK181" s="18">
        <f>EJ181*VLOOKUP('Données projet'!$B$15,Paramètres!$A$1:$I$89,3,0)*VLOOKUP('Données projet'!$B$15,Paramètres!$A$1:$I$89,5,0)</f>
        <v>-9.2222762759774927E-14</v>
      </c>
      <c r="EL181" s="14" t="e">
        <f t="shared" si="179"/>
        <v>#NUM!</v>
      </c>
      <c r="EM181" s="22" t="e">
        <f t="shared" si="180"/>
        <v>#NUM!</v>
      </c>
      <c r="EN181" s="62" t="e">
        <f t="shared" si="128"/>
        <v>#NUM!</v>
      </c>
      <c r="EO181" s="62">
        <f ca="1">AVERAGE(OFFSET($EN$3,0,0,'Données projet'!$E$15+1,1))-AVERAGE(OFFSET($H$3,0,0,'Données projet'!$E$15+1,1))</f>
        <v>272.69564942740931</v>
      </c>
      <c r="EP181" s="62">
        <f t="shared" si="154"/>
        <v>316.57989180609252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>
        <f>EXP(-LN(2)/35)*EV180+(1-EXP(-LN(2)/35))/(LN(2)/35)*ER181*ES181*VLOOKUP('Données projet'!$B$15,Paramètres!$A$1:$I$89,3,0)*0.475*44/12</f>
        <v>0</v>
      </c>
      <c r="EW181" s="23">
        <f>EXP(-LN(2)/25)*EW180+(1-EXP(-LN(2)/25))/(LN(2)/25)*Calculateur!ER181*Calculateur!ET181*VLOOKUP('Données projet'!$B$15,Paramètres!$A$1:$I$89,3,0)*0.475*44/12</f>
        <v>0</v>
      </c>
      <c r="EX181" s="23">
        <f>EXP(-LN(2)/2)*EX180+(1-EXP(-LN(2)/2))/(LN(2)/2)*ER181*EU181*VLOOKUP('Données projet'!$B$15,Paramètres!$A$1:$I$89,3,0)*0.475*44/12</f>
        <v>0</v>
      </c>
      <c r="EY181" s="24">
        <f t="shared" si="181"/>
        <v>0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-3.4106051316484809E-13</v>
      </c>
      <c r="FF181" s="18">
        <f>FE181*VLOOKUP('Données projet'!$B$16,Paramètres!$A$1:$I$89,3,0)*VLOOKUP('Données projet'!$B$16,Paramètres!$A$1:$I$89,5,0)</f>
        <v>-2.2878339223098009E-13</v>
      </c>
      <c r="FG181" s="14" t="e">
        <f t="shared" si="182"/>
        <v>#NUM!</v>
      </c>
      <c r="FH181" s="22" t="e">
        <f t="shared" si="183"/>
        <v>#NUM!</v>
      </c>
      <c r="FI181" s="62" t="e">
        <f t="shared" si="131"/>
        <v>#NUM!</v>
      </c>
      <c r="FJ181" s="62">
        <f ca="1">AVERAGE(OFFSET($FI$3,0,0,'Données projet'!$E$16+1,1))-AVERAGE(OFFSET($H$3,0,0,'Données projet'!$E$16+1,1))</f>
        <v>440.90856392064205</v>
      </c>
      <c r="FK181" s="62">
        <f t="shared" si="156"/>
        <v>373.33139300970629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>
        <f>EXP(-LN(2)/35)*FQ180+(1-EXP(-LN(2)/35))/(LN(2)/35)*FM181*FN181*VLOOKUP('Données projet'!$B$16,Paramètres!$A$1:$I$89,3,0)*0.475*44/12</f>
        <v>0</v>
      </c>
      <c r="FR181" s="23">
        <f>EXP(-LN(2)/25)*FR180+(1-EXP(-LN(2)/25))/(LN(2)/25)*Calculateur!FM181*Calculateur!FO181*VLOOKUP('Données projet'!$B$16,Paramètres!$A$1:$I$89,3,0)*0.475*44/12</f>
        <v>0</v>
      </c>
      <c r="FS181" s="23">
        <f>EXP(-LN(2)/2)*FS180+(1-EXP(-LN(2)/2))/(LN(2)/2)*FM181*FP181*VLOOKUP('Données projet'!$B$16,Paramètres!$A$1:$I$89,3,0)*0.475*44/12</f>
        <v>0</v>
      </c>
      <c r="FT181" s="24">
        <f t="shared" si="184"/>
        <v>0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70">
        <f t="shared" si="110"/>
        <v>183.33333333333334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-1.1368683772161603E-13</v>
      </c>
      <c r="O182" s="14">
        <f>N182*VLOOKUP('Données projet'!$B$9,Paramètres!$A$1:$I$89,3,0)*VLOOKUP('Données projet'!$B$9,Paramètres!$A$1:$I$89,5,0)</f>
        <v>-1.0286385077051818E-13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570.08763950759544</v>
      </c>
      <c r="T182" s="62">
        <f t="shared" si="142"/>
        <v>297.32483725004136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-2.2737367544323206E-13</v>
      </c>
      <c r="AJ182" s="14">
        <f>AI182*VLOOKUP('Données projet'!$B$10,Paramètres!$A$1:$I$89,3,0)*VLOOKUP('Données projet'!$B$10,Paramètres!$A$1:$I$89,5,0)</f>
        <v>-1.8089849618263545E-13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394.70330963327166</v>
      </c>
      <c r="AO182" s="62">
        <f t="shared" si="144"/>
        <v>424.06445894109982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-2.2737367544323206E-13</v>
      </c>
      <c r="BE182" s="14">
        <f>BD182*VLOOKUP('Données projet'!$B$11,Paramètres!$A$1:$I$89,3,0)*VLOOKUP('Données projet'!$B$11,Paramètres!$A$1:$I$89,5,0)</f>
        <v>-1.6671037883497774E-13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368.54671978064204</v>
      </c>
      <c r="BJ182" s="62">
        <f t="shared" si="146"/>
        <v>395.83504504492237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5.6843418860808015E-14</v>
      </c>
      <c r="BZ182" s="14">
        <f>BY182*VLOOKUP('Données projet'!$B$12,Paramètres!$A$1:$I$89,3,0)*VLOOKUP('Données projet'!$B$12,Paramètres!$A$1:$I$89,5,0)</f>
        <v>4.4337866711430253E-14</v>
      </c>
      <c r="CA182" s="14">
        <f t="shared" si="170"/>
        <v>7.3222115536967035E-13</v>
      </c>
      <c r="CB182" s="22">
        <f t="shared" si="171"/>
        <v>1.3525069634579169E-12</v>
      </c>
      <c r="CC182" s="62">
        <f t="shared" si="119"/>
        <v>289.33587473413849</v>
      </c>
      <c r="CD182" s="62">
        <f ca="1">AVERAGE(OFFSET($CC$3,0,0,'Données projet'!$E$12+1,1))-AVERAGE(OFFSET($H$3,0,0,'Données projet'!$E$12+1,1))</f>
        <v>309.21625451786218</v>
      </c>
      <c r="CE182" s="62">
        <f t="shared" si="148"/>
        <v>302.59481222418219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-2.8421709430404007E-13</v>
      </c>
      <c r="CU182" s="18">
        <f>CT182*VLOOKUP('Données projet'!$B$13,Paramètres!$A$1:$I$89,3,0)*VLOOKUP('Données projet'!$B$13,Paramètres!$A$1:$I$89,5,0)</f>
        <v>-2.7046098693972454E-13</v>
      </c>
      <c r="CV182" s="14" t="e">
        <f t="shared" si="173"/>
        <v>#NUM!</v>
      </c>
      <c r="CW182" s="22" t="e">
        <f t="shared" si="174"/>
        <v>#NUM!</v>
      </c>
      <c r="CX182" s="62" t="e">
        <f t="shared" si="122"/>
        <v>#NUM!</v>
      </c>
      <c r="CY182" s="62">
        <f ca="1">AVERAGE(OFFSET($CX$3,0,0,'Données projet'!$E$13+1,1))-AVERAGE(OFFSET($H$3,0,0,'Données projet'!$E$13+1,1))</f>
        <v>491.87038198656927</v>
      </c>
      <c r="CZ182" s="62">
        <f t="shared" si="150"/>
        <v>406.49261644949559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0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-1.1368683772161603E-13</v>
      </c>
      <c r="DP182" s="18">
        <f>DO182*VLOOKUP('Données projet'!$B$14,Paramètres!$A$1:$I$89,3,0)*VLOOKUP('Données projet'!$B$14,Paramètres!$A$1:$I$89,5,0)</f>
        <v>-1.0995790944434703E-13</v>
      </c>
      <c r="DQ182" s="14" t="e">
        <f t="shared" si="176"/>
        <v>#NUM!</v>
      </c>
      <c r="DR182" s="22" t="e">
        <f t="shared" si="177"/>
        <v>#NUM!</v>
      </c>
      <c r="DS182" s="62" t="e">
        <f t="shared" si="125"/>
        <v>#NUM!</v>
      </c>
      <c r="DT182" s="62">
        <f ca="1">AVERAGE(OFFSET($DS$3,0,0,'Données projet'!$E$14+1,1))-AVERAGE(OFFSET($H$3,0,0,'Données projet'!$E$14+1,1))</f>
        <v>603.52431522262032</v>
      </c>
      <c r="DU182" s="62">
        <f t="shared" si="152"/>
        <v>313.56299786481338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projet'!$B$14,Paramètres!$A$1:$I$89,3,0)*0.475*44/12</f>
        <v>0</v>
      </c>
      <c r="EB182" s="23">
        <f>EXP(-LN(2)/25)*EB181+(1-EXP(-LN(2)/25))/(LN(2)/25)*Calculateur!DW182*Calculateur!DY182*VLOOKUP('Données projet'!$B$14,Paramètres!$A$1:$I$89,3,0)*0.475*44/12</f>
        <v>0</v>
      </c>
      <c r="EC182" s="23">
        <f>EXP(-LN(2)/2)*EC181+(1-EXP(-LN(2)/2))/(LN(2)/2)*DW182*DZ182*VLOOKUP('Données projet'!$B$14,Paramètres!$A$1:$I$89,3,0)*0.475*44/12</f>
        <v>0</v>
      </c>
      <c r="ED182" s="24">
        <f t="shared" si="178"/>
        <v>0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-1.1368683772161603E-13</v>
      </c>
      <c r="EK182" s="18">
        <f>EJ182*VLOOKUP('Données projet'!$B$15,Paramètres!$A$1:$I$89,3,0)*VLOOKUP('Données projet'!$B$15,Paramètres!$A$1:$I$89,5,0)</f>
        <v>-9.2222762759774927E-14</v>
      </c>
      <c r="EL182" s="14" t="e">
        <f t="shared" si="179"/>
        <v>#NUM!</v>
      </c>
      <c r="EM182" s="22" t="e">
        <f t="shared" si="180"/>
        <v>#NUM!</v>
      </c>
      <c r="EN182" s="62" t="e">
        <f t="shared" si="128"/>
        <v>#NUM!</v>
      </c>
      <c r="EO182" s="62">
        <f ca="1">AVERAGE(OFFSET($EN$3,0,0,'Données projet'!$E$15+1,1))-AVERAGE(OFFSET($H$3,0,0,'Données projet'!$E$15+1,1))</f>
        <v>272.69564942740931</v>
      </c>
      <c r="EP182" s="62">
        <f t="shared" si="154"/>
        <v>316.57989180609252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>
        <f>EXP(-LN(2)/35)*EV181+(1-EXP(-LN(2)/35))/(LN(2)/35)*ER182*ES182*VLOOKUP('Données projet'!$B$15,Paramètres!$A$1:$I$89,3,0)*0.475*44/12</f>
        <v>0</v>
      </c>
      <c r="EW182" s="23">
        <f>EXP(-LN(2)/25)*EW181+(1-EXP(-LN(2)/25))/(LN(2)/25)*Calculateur!ER182*Calculateur!ET182*VLOOKUP('Données projet'!$B$15,Paramètres!$A$1:$I$89,3,0)*0.475*44/12</f>
        <v>0</v>
      </c>
      <c r="EX182" s="23">
        <f>EXP(-LN(2)/2)*EX181+(1-EXP(-LN(2)/2))/(LN(2)/2)*ER182*EU182*VLOOKUP('Données projet'!$B$15,Paramètres!$A$1:$I$89,3,0)*0.475*44/12</f>
        <v>0</v>
      </c>
      <c r="EY182" s="24">
        <f t="shared" si="181"/>
        <v>0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-3.4106051316484809E-13</v>
      </c>
      <c r="FF182" s="18">
        <f>FE182*VLOOKUP('Données projet'!$B$16,Paramètres!$A$1:$I$89,3,0)*VLOOKUP('Données projet'!$B$16,Paramètres!$A$1:$I$89,5,0)</f>
        <v>-2.2878339223098009E-13</v>
      </c>
      <c r="FG182" s="14" t="e">
        <f t="shared" si="182"/>
        <v>#NUM!</v>
      </c>
      <c r="FH182" s="22" t="e">
        <f t="shared" si="183"/>
        <v>#NUM!</v>
      </c>
      <c r="FI182" s="62" t="e">
        <f t="shared" si="131"/>
        <v>#NUM!</v>
      </c>
      <c r="FJ182" s="62">
        <f ca="1">AVERAGE(OFFSET($FI$3,0,0,'Données projet'!$E$16+1,1))-AVERAGE(OFFSET($H$3,0,0,'Données projet'!$E$16+1,1))</f>
        <v>440.90856392064205</v>
      </c>
      <c r="FK182" s="62">
        <f t="shared" si="156"/>
        <v>373.33139300970629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>
        <f>EXP(-LN(2)/35)*FQ181+(1-EXP(-LN(2)/35))/(LN(2)/35)*FM182*FN182*VLOOKUP('Données projet'!$B$16,Paramètres!$A$1:$I$89,3,0)*0.475*44/12</f>
        <v>0</v>
      </c>
      <c r="FR182" s="23">
        <f>EXP(-LN(2)/25)*FR181+(1-EXP(-LN(2)/25))/(LN(2)/25)*Calculateur!FM182*Calculateur!FO182*VLOOKUP('Données projet'!$B$16,Paramètres!$A$1:$I$89,3,0)*0.475*44/12</f>
        <v>0</v>
      </c>
      <c r="FS182" s="23">
        <f>EXP(-LN(2)/2)*FS181+(1-EXP(-LN(2)/2))/(LN(2)/2)*FM182*FP182*VLOOKUP('Données projet'!$B$16,Paramètres!$A$1:$I$89,3,0)*0.475*44/12</f>
        <v>0</v>
      </c>
      <c r="FT182" s="24">
        <f t="shared" si="184"/>
        <v>0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70">
        <f t="shared" si="110"/>
        <v>183.33333333333334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-1.1368683772161603E-13</v>
      </c>
      <c r="O183" s="14">
        <f>N183*VLOOKUP('Données projet'!$B$9,Paramètres!$A$1:$I$89,3,0)*VLOOKUP('Données projet'!$B$9,Paramètres!$A$1:$I$89,5,0)</f>
        <v>-1.0286385077051818E-13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570.08763950759544</v>
      </c>
      <c r="T183" s="62">
        <f t="shared" si="142"/>
        <v>297.32483725004136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-2.2737367544323206E-13</v>
      </c>
      <c r="AJ183" s="14">
        <f>AI183*VLOOKUP('Données projet'!$B$10,Paramètres!$A$1:$I$89,3,0)*VLOOKUP('Données projet'!$B$10,Paramètres!$A$1:$I$89,5,0)</f>
        <v>-1.8089849618263545E-13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394.70330963327166</v>
      </c>
      <c r="AO183" s="62">
        <f t="shared" si="144"/>
        <v>424.06445894109982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-2.2737367544323206E-13</v>
      </c>
      <c r="BE183" s="14">
        <f>BD183*VLOOKUP('Données projet'!$B$11,Paramètres!$A$1:$I$89,3,0)*VLOOKUP('Données projet'!$B$11,Paramètres!$A$1:$I$89,5,0)</f>
        <v>-1.6671037883497774E-13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368.54671978064204</v>
      </c>
      <c r="BJ183" s="62">
        <f t="shared" si="146"/>
        <v>395.83504504492237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5.6843418860808015E-14</v>
      </c>
      <c r="BZ183" s="14">
        <f>BY183*VLOOKUP('Données projet'!$B$12,Paramètres!$A$1:$I$89,3,0)*VLOOKUP('Données projet'!$B$12,Paramètres!$A$1:$I$89,5,0)</f>
        <v>4.4337866711430253E-14</v>
      </c>
      <c r="CA183" s="14">
        <f t="shared" si="170"/>
        <v>7.3222115536967035E-13</v>
      </c>
      <c r="CB183" s="22">
        <f t="shared" si="171"/>
        <v>1.3525069634579169E-12</v>
      </c>
      <c r="CC183" s="62">
        <f t="shared" si="119"/>
        <v>289.405221703856</v>
      </c>
      <c r="CD183" s="62">
        <f ca="1">AVERAGE(OFFSET($CC$3,0,0,'Données projet'!$E$12+1,1))-AVERAGE(OFFSET($H$3,0,0,'Données projet'!$E$12+1,1))</f>
        <v>309.21625451786218</v>
      </c>
      <c r="CE183" s="62">
        <f t="shared" si="148"/>
        <v>302.59481222418219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-2.8421709430404007E-13</v>
      </c>
      <c r="CU183" s="18">
        <f>CT183*VLOOKUP('Données projet'!$B$13,Paramètres!$A$1:$I$89,3,0)*VLOOKUP('Données projet'!$B$13,Paramètres!$A$1:$I$89,5,0)</f>
        <v>-2.7046098693972454E-13</v>
      </c>
      <c r="CV183" s="14" t="e">
        <f t="shared" si="173"/>
        <v>#NUM!</v>
      </c>
      <c r="CW183" s="22" t="e">
        <f t="shared" si="174"/>
        <v>#NUM!</v>
      </c>
      <c r="CX183" s="62" t="e">
        <f t="shared" si="122"/>
        <v>#NUM!</v>
      </c>
      <c r="CY183" s="62">
        <f ca="1">AVERAGE(OFFSET($CX$3,0,0,'Données projet'!$E$13+1,1))-AVERAGE(OFFSET($H$3,0,0,'Données projet'!$E$13+1,1))</f>
        <v>491.87038198656927</v>
      </c>
      <c r="CZ183" s="62">
        <f t="shared" si="150"/>
        <v>406.49261644949559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0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-1.1368683772161603E-13</v>
      </c>
      <c r="DP183" s="18">
        <f>DO183*VLOOKUP('Données projet'!$B$14,Paramètres!$A$1:$I$89,3,0)*VLOOKUP('Données projet'!$B$14,Paramètres!$A$1:$I$89,5,0)</f>
        <v>-1.0995790944434703E-13</v>
      </c>
      <c r="DQ183" s="14" t="e">
        <f t="shared" si="176"/>
        <v>#NUM!</v>
      </c>
      <c r="DR183" s="22" t="e">
        <f t="shared" si="177"/>
        <v>#NUM!</v>
      </c>
      <c r="DS183" s="62" t="e">
        <f t="shared" si="125"/>
        <v>#NUM!</v>
      </c>
      <c r="DT183" s="62">
        <f ca="1">AVERAGE(OFFSET($DS$3,0,0,'Données projet'!$E$14+1,1))-AVERAGE(OFFSET($H$3,0,0,'Données projet'!$E$14+1,1))</f>
        <v>603.52431522262032</v>
      </c>
      <c r="DU183" s="62">
        <f t="shared" si="152"/>
        <v>313.56299786481338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projet'!$B$14,Paramètres!$A$1:$I$89,3,0)*0.475*44/12</f>
        <v>0</v>
      </c>
      <c r="EB183" s="23">
        <f>EXP(-LN(2)/25)*EB182+(1-EXP(-LN(2)/25))/(LN(2)/25)*Calculateur!DW183*Calculateur!DY183*VLOOKUP('Données projet'!$B$14,Paramètres!$A$1:$I$89,3,0)*0.475*44/12</f>
        <v>0</v>
      </c>
      <c r="EC183" s="23">
        <f>EXP(-LN(2)/2)*EC182+(1-EXP(-LN(2)/2))/(LN(2)/2)*DW183*DZ183*VLOOKUP('Données projet'!$B$14,Paramètres!$A$1:$I$89,3,0)*0.475*44/12</f>
        <v>0</v>
      </c>
      <c r="ED183" s="24">
        <f t="shared" si="178"/>
        <v>0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-1.1368683772161603E-13</v>
      </c>
      <c r="EK183" s="18">
        <f>EJ183*VLOOKUP('Données projet'!$B$15,Paramètres!$A$1:$I$89,3,0)*VLOOKUP('Données projet'!$B$15,Paramètres!$A$1:$I$89,5,0)</f>
        <v>-9.2222762759774927E-14</v>
      </c>
      <c r="EL183" s="14" t="e">
        <f t="shared" si="179"/>
        <v>#NUM!</v>
      </c>
      <c r="EM183" s="22" t="e">
        <f t="shared" si="180"/>
        <v>#NUM!</v>
      </c>
      <c r="EN183" s="62" t="e">
        <f t="shared" si="128"/>
        <v>#NUM!</v>
      </c>
      <c r="EO183" s="62">
        <f ca="1">AVERAGE(OFFSET($EN$3,0,0,'Données projet'!$E$15+1,1))-AVERAGE(OFFSET($H$3,0,0,'Données projet'!$E$15+1,1))</f>
        <v>272.69564942740931</v>
      </c>
      <c r="EP183" s="62">
        <f t="shared" si="154"/>
        <v>316.57989180609252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>
        <f>EXP(-LN(2)/35)*EV182+(1-EXP(-LN(2)/35))/(LN(2)/35)*ER183*ES183*VLOOKUP('Données projet'!$B$15,Paramètres!$A$1:$I$89,3,0)*0.475*44/12</f>
        <v>0</v>
      </c>
      <c r="EW183" s="23">
        <f>EXP(-LN(2)/25)*EW182+(1-EXP(-LN(2)/25))/(LN(2)/25)*Calculateur!ER183*Calculateur!ET183*VLOOKUP('Données projet'!$B$15,Paramètres!$A$1:$I$89,3,0)*0.475*44/12</f>
        <v>0</v>
      </c>
      <c r="EX183" s="23">
        <f>EXP(-LN(2)/2)*EX182+(1-EXP(-LN(2)/2))/(LN(2)/2)*ER183*EU183*VLOOKUP('Données projet'!$B$15,Paramètres!$A$1:$I$89,3,0)*0.475*44/12</f>
        <v>0</v>
      </c>
      <c r="EY183" s="24">
        <f t="shared" si="181"/>
        <v>0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-3.4106051316484809E-13</v>
      </c>
      <c r="FF183" s="18">
        <f>FE183*VLOOKUP('Données projet'!$B$16,Paramètres!$A$1:$I$89,3,0)*VLOOKUP('Données projet'!$B$16,Paramètres!$A$1:$I$89,5,0)</f>
        <v>-2.2878339223098009E-13</v>
      </c>
      <c r="FG183" s="14" t="e">
        <f t="shared" si="182"/>
        <v>#NUM!</v>
      </c>
      <c r="FH183" s="22" t="e">
        <f t="shared" si="183"/>
        <v>#NUM!</v>
      </c>
      <c r="FI183" s="62" t="e">
        <f t="shared" si="131"/>
        <v>#NUM!</v>
      </c>
      <c r="FJ183" s="62">
        <f ca="1">AVERAGE(OFFSET($FI$3,0,0,'Données projet'!$E$16+1,1))-AVERAGE(OFFSET($H$3,0,0,'Données projet'!$E$16+1,1))</f>
        <v>440.90856392064205</v>
      </c>
      <c r="FK183" s="62">
        <f t="shared" si="156"/>
        <v>373.33139300970629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>
        <f>EXP(-LN(2)/35)*FQ182+(1-EXP(-LN(2)/35))/(LN(2)/35)*FM183*FN183*VLOOKUP('Données projet'!$B$16,Paramètres!$A$1:$I$89,3,0)*0.475*44/12</f>
        <v>0</v>
      </c>
      <c r="FR183" s="23">
        <f>EXP(-LN(2)/25)*FR182+(1-EXP(-LN(2)/25))/(LN(2)/25)*Calculateur!FM183*Calculateur!FO183*VLOOKUP('Données projet'!$B$16,Paramètres!$A$1:$I$89,3,0)*0.475*44/12</f>
        <v>0</v>
      </c>
      <c r="FS183" s="23">
        <f>EXP(-LN(2)/2)*FS182+(1-EXP(-LN(2)/2))/(LN(2)/2)*FM183*FP183*VLOOKUP('Données projet'!$B$16,Paramètres!$A$1:$I$89,3,0)*0.475*44/12</f>
        <v>0</v>
      </c>
      <c r="FT183" s="24">
        <f t="shared" si="184"/>
        <v>0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70">
        <f t="shared" si="110"/>
        <v>183.33333333333334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-1.1368683772161603E-13</v>
      </c>
      <c r="O184" s="14">
        <f>N184*VLOOKUP('Données projet'!$B$9,Paramètres!$A$1:$I$89,3,0)*VLOOKUP('Données projet'!$B$9,Paramètres!$A$1:$I$89,5,0)</f>
        <v>-1.0286385077051818E-13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570.08763950759544</v>
      </c>
      <c r="T184" s="62">
        <f t="shared" si="142"/>
        <v>297.32483725004136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-2.2737367544323206E-13</v>
      </c>
      <c r="AJ184" s="14">
        <f>AI184*VLOOKUP('Données projet'!$B$10,Paramètres!$A$1:$I$89,3,0)*VLOOKUP('Données projet'!$B$10,Paramètres!$A$1:$I$89,5,0)</f>
        <v>-1.8089849618263545E-13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394.70330963327166</v>
      </c>
      <c r="AO184" s="62">
        <f t="shared" si="144"/>
        <v>424.06445894109982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-2.2737367544323206E-13</v>
      </c>
      <c r="BE184" s="14">
        <f>BD184*VLOOKUP('Données projet'!$B$11,Paramètres!$A$1:$I$89,3,0)*VLOOKUP('Données projet'!$B$11,Paramètres!$A$1:$I$89,5,0)</f>
        <v>-1.6671037883497774E-13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368.54671978064204</v>
      </c>
      <c r="BJ184" s="62">
        <f t="shared" si="146"/>
        <v>395.83504504492237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5.6843418860808015E-14</v>
      </c>
      <c r="BZ184" s="14">
        <f>BY184*VLOOKUP('Données projet'!$B$12,Paramètres!$A$1:$I$89,3,0)*VLOOKUP('Données projet'!$B$12,Paramètres!$A$1:$I$89,5,0)</f>
        <v>4.4337866711430253E-14</v>
      </c>
      <c r="CA184" s="14">
        <f t="shared" si="170"/>
        <v>7.3222115536967035E-13</v>
      </c>
      <c r="CB184" s="22">
        <f t="shared" si="171"/>
        <v>1.3525069634579169E-12</v>
      </c>
      <c r="CC184" s="62">
        <f t="shared" si="119"/>
        <v>289.47336565868545</v>
      </c>
      <c r="CD184" s="62">
        <f ca="1">AVERAGE(OFFSET($CC$3,0,0,'Données projet'!$E$12+1,1))-AVERAGE(OFFSET($H$3,0,0,'Données projet'!$E$12+1,1))</f>
        <v>309.21625451786218</v>
      </c>
      <c r="CE184" s="62">
        <f t="shared" si="148"/>
        <v>302.59481222418219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-2.8421709430404007E-13</v>
      </c>
      <c r="CU184" s="18">
        <f>CT184*VLOOKUP('Données projet'!$B$13,Paramètres!$A$1:$I$89,3,0)*VLOOKUP('Données projet'!$B$13,Paramètres!$A$1:$I$89,5,0)</f>
        <v>-2.7046098693972454E-13</v>
      </c>
      <c r="CV184" s="14" t="e">
        <f t="shared" si="173"/>
        <v>#NUM!</v>
      </c>
      <c r="CW184" s="22" t="e">
        <f t="shared" si="174"/>
        <v>#NUM!</v>
      </c>
      <c r="CX184" s="62" t="e">
        <f t="shared" si="122"/>
        <v>#NUM!</v>
      </c>
      <c r="CY184" s="62">
        <f ca="1">AVERAGE(OFFSET($CX$3,0,0,'Données projet'!$E$13+1,1))-AVERAGE(OFFSET($H$3,0,0,'Données projet'!$E$13+1,1))</f>
        <v>491.87038198656927</v>
      </c>
      <c r="CZ184" s="62">
        <f t="shared" si="150"/>
        <v>406.49261644949559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0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-1.1368683772161603E-13</v>
      </c>
      <c r="DP184" s="18">
        <f>DO184*VLOOKUP('Données projet'!$B$14,Paramètres!$A$1:$I$89,3,0)*VLOOKUP('Données projet'!$B$14,Paramètres!$A$1:$I$89,5,0)</f>
        <v>-1.0995790944434703E-13</v>
      </c>
      <c r="DQ184" s="14" t="e">
        <f t="shared" si="176"/>
        <v>#NUM!</v>
      </c>
      <c r="DR184" s="22" t="e">
        <f t="shared" si="177"/>
        <v>#NUM!</v>
      </c>
      <c r="DS184" s="62" t="e">
        <f t="shared" si="125"/>
        <v>#NUM!</v>
      </c>
      <c r="DT184" s="62">
        <f ca="1">AVERAGE(OFFSET($DS$3,0,0,'Données projet'!$E$14+1,1))-AVERAGE(OFFSET($H$3,0,0,'Données projet'!$E$14+1,1))</f>
        <v>603.52431522262032</v>
      </c>
      <c r="DU184" s="62">
        <f t="shared" si="152"/>
        <v>313.56299786481338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projet'!$B$14,Paramètres!$A$1:$I$89,3,0)*0.475*44/12</f>
        <v>0</v>
      </c>
      <c r="EB184" s="23">
        <f>EXP(-LN(2)/25)*EB183+(1-EXP(-LN(2)/25))/(LN(2)/25)*Calculateur!DW184*Calculateur!DY184*VLOOKUP('Données projet'!$B$14,Paramètres!$A$1:$I$89,3,0)*0.475*44/12</f>
        <v>0</v>
      </c>
      <c r="EC184" s="23">
        <f>EXP(-LN(2)/2)*EC183+(1-EXP(-LN(2)/2))/(LN(2)/2)*DW184*DZ184*VLOOKUP('Données projet'!$B$14,Paramètres!$A$1:$I$89,3,0)*0.475*44/12</f>
        <v>0</v>
      </c>
      <c r="ED184" s="24">
        <f t="shared" si="178"/>
        <v>0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-1.1368683772161603E-13</v>
      </c>
      <c r="EK184" s="18">
        <f>EJ184*VLOOKUP('Données projet'!$B$15,Paramètres!$A$1:$I$89,3,0)*VLOOKUP('Données projet'!$B$15,Paramètres!$A$1:$I$89,5,0)</f>
        <v>-9.2222762759774927E-14</v>
      </c>
      <c r="EL184" s="14" t="e">
        <f t="shared" si="179"/>
        <v>#NUM!</v>
      </c>
      <c r="EM184" s="22" t="e">
        <f t="shared" si="180"/>
        <v>#NUM!</v>
      </c>
      <c r="EN184" s="62" t="e">
        <f t="shared" si="128"/>
        <v>#NUM!</v>
      </c>
      <c r="EO184" s="62">
        <f ca="1">AVERAGE(OFFSET($EN$3,0,0,'Données projet'!$E$15+1,1))-AVERAGE(OFFSET($H$3,0,0,'Données projet'!$E$15+1,1))</f>
        <v>272.69564942740931</v>
      </c>
      <c r="EP184" s="62">
        <f t="shared" si="154"/>
        <v>316.57989180609252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>
        <f>EXP(-LN(2)/35)*EV183+(1-EXP(-LN(2)/35))/(LN(2)/35)*ER184*ES184*VLOOKUP('Données projet'!$B$15,Paramètres!$A$1:$I$89,3,0)*0.475*44/12</f>
        <v>0</v>
      </c>
      <c r="EW184" s="23">
        <f>EXP(-LN(2)/25)*EW183+(1-EXP(-LN(2)/25))/(LN(2)/25)*Calculateur!ER184*Calculateur!ET184*VLOOKUP('Données projet'!$B$15,Paramètres!$A$1:$I$89,3,0)*0.475*44/12</f>
        <v>0</v>
      </c>
      <c r="EX184" s="23">
        <f>EXP(-LN(2)/2)*EX183+(1-EXP(-LN(2)/2))/(LN(2)/2)*ER184*EU184*VLOOKUP('Données projet'!$B$15,Paramètres!$A$1:$I$89,3,0)*0.475*44/12</f>
        <v>0</v>
      </c>
      <c r="EY184" s="24">
        <f t="shared" si="181"/>
        <v>0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-3.4106051316484809E-13</v>
      </c>
      <c r="FF184" s="18">
        <f>FE184*VLOOKUP('Données projet'!$B$16,Paramètres!$A$1:$I$89,3,0)*VLOOKUP('Données projet'!$B$16,Paramètres!$A$1:$I$89,5,0)</f>
        <v>-2.2878339223098009E-13</v>
      </c>
      <c r="FG184" s="14" t="e">
        <f t="shared" si="182"/>
        <v>#NUM!</v>
      </c>
      <c r="FH184" s="22" t="e">
        <f t="shared" si="183"/>
        <v>#NUM!</v>
      </c>
      <c r="FI184" s="62" t="e">
        <f t="shared" si="131"/>
        <v>#NUM!</v>
      </c>
      <c r="FJ184" s="62">
        <f ca="1">AVERAGE(OFFSET($FI$3,0,0,'Données projet'!$E$16+1,1))-AVERAGE(OFFSET($H$3,0,0,'Données projet'!$E$16+1,1))</f>
        <v>440.90856392064205</v>
      </c>
      <c r="FK184" s="62">
        <f t="shared" si="156"/>
        <v>373.33139300970629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>
        <f>EXP(-LN(2)/35)*FQ183+(1-EXP(-LN(2)/35))/(LN(2)/35)*FM184*FN184*VLOOKUP('Données projet'!$B$16,Paramètres!$A$1:$I$89,3,0)*0.475*44/12</f>
        <v>0</v>
      </c>
      <c r="FR184" s="23">
        <f>EXP(-LN(2)/25)*FR183+(1-EXP(-LN(2)/25))/(LN(2)/25)*Calculateur!FM184*Calculateur!FO184*VLOOKUP('Données projet'!$B$16,Paramètres!$A$1:$I$89,3,0)*0.475*44/12</f>
        <v>0</v>
      </c>
      <c r="FS184" s="23">
        <f>EXP(-LN(2)/2)*FS183+(1-EXP(-LN(2)/2))/(LN(2)/2)*FM184*FP184*VLOOKUP('Données projet'!$B$16,Paramètres!$A$1:$I$89,3,0)*0.475*44/12</f>
        <v>0</v>
      </c>
      <c r="FT184" s="24">
        <f t="shared" si="184"/>
        <v>0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70">
        <f t="shared" si="110"/>
        <v>183.33333333333334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-1.1368683772161603E-13</v>
      </c>
      <c r="O185" s="14">
        <f>N185*VLOOKUP('Données projet'!$B$9,Paramètres!$A$1:$I$89,3,0)*VLOOKUP('Données projet'!$B$9,Paramètres!$A$1:$I$89,5,0)</f>
        <v>-1.0286385077051818E-13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570.08763950759544</v>
      </c>
      <c r="T185" s="62">
        <f t="shared" si="142"/>
        <v>297.32483725004136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-2.2737367544323206E-13</v>
      </c>
      <c r="AJ185" s="14">
        <f>AI185*VLOOKUP('Données projet'!$B$10,Paramètres!$A$1:$I$89,3,0)*VLOOKUP('Données projet'!$B$10,Paramètres!$A$1:$I$89,5,0)</f>
        <v>-1.8089849618263545E-13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394.70330963327166</v>
      </c>
      <c r="AO185" s="62">
        <f t="shared" si="144"/>
        <v>424.06445894109982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-2.2737367544323206E-13</v>
      </c>
      <c r="BE185" s="14">
        <f>BD185*VLOOKUP('Données projet'!$B$11,Paramètres!$A$1:$I$89,3,0)*VLOOKUP('Données projet'!$B$11,Paramètres!$A$1:$I$89,5,0)</f>
        <v>-1.6671037883497774E-13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368.54671978064204</v>
      </c>
      <c r="BJ185" s="62">
        <f t="shared" si="146"/>
        <v>395.83504504492237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5.6843418860808015E-14</v>
      </c>
      <c r="BZ185" s="14">
        <f>BY185*VLOOKUP('Données projet'!$B$12,Paramètres!$A$1:$I$89,3,0)*VLOOKUP('Données projet'!$B$12,Paramètres!$A$1:$I$89,5,0)</f>
        <v>4.4337866711430253E-14</v>
      </c>
      <c r="CA185" s="14">
        <f t="shared" si="170"/>
        <v>7.3222115536967035E-13</v>
      </c>
      <c r="CB185" s="22">
        <f t="shared" si="171"/>
        <v>1.3525069634579169E-12</v>
      </c>
      <c r="CC185" s="62">
        <f t="shared" si="119"/>
        <v>289.54032746824578</v>
      </c>
      <c r="CD185" s="62">
        <f ca="1">AVERAGE(OFFSET($CC$3,0,0,'Données projet'!$E$12+1,1))-AVERAGE(OFFSET($H$3,0,0,'Données projet'!$E$12+1,1))</f>
        <v>309.21625451786218</v>
      </c>
      <c r="CE185" s="62">
        <f t="shared" si="148"/>
        <v>302.59481222418219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-2.8421709430404007E-13</v>
      </c>
      <c r="CU185" s="18">
        <f>CT185*VLOOKUP('Données projet'!$B$13,Paramètres!$A$1:$I$89,3,0)*VLOOKUP('Données projet'!$B$13,Paramètres!$A$1:$I$89,5,0)</f>
        <v>-2.7046098693972454E-13</v>
      </c>
      <c r="CV185" s="14" t="e">
        <f t="shared" si="173"/>
        <v>#NUM!</v>
      </c>
      <c r="CW185" s="22" t="e">
        <f t="shared" si="174"/>
        <v>#NUM!</v>
      </c>
      <c r="CX185" s="62" t="e">
        <f t="shared" si="122"/>
        <v>#NUM!</v>
      </c>
      <c r="CY185" s="62">
        <f ca="1">AVERAGE(OFFSET($CX$3,0,0,'Données projet'!$E$13+1,1))-AVERAGE(OFFSET($H$3,0,0,'Données projet'!$E$13+1,1))</f>
        <v>491.87038198656927</v>
      </c>
      <c r="CZ185" s="62">
        <f t="shared" si="150"/>
        <v>406.49261644949559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0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-1.1368683772161603E-13</v>
      </c>
      <c r="DP185" s="18">
        <f>DO185*VLOOKUP('Données projet'!$B$14,Paramètres!$A$1:$I$89,3,0)*VLOOKUP('Données projet'!$B$14,Paramètres!$A$1:$I$89,5,0)</f>
        <v>-1.0995790944434703E-13</v>
      </c>
      <c r="DQ185" s="14" t="e">
        <f t="shared" si="176"/>
        <v>#NUM!</v>
      </c>
      <c r="DR185" s="22" t="e">
        <f t="shared" si="177"/>
        <v>#NUM!</v>
      </c>
      <c r="DS185" s="62" t="e">
        <f t="shared" si="125"/>
        <v>#NUM!</v>
      </c>
      <c r="DT185" s="62">
        <f ca="1">AVERAGE(OFFSET($DS$3,0,0,'Données projet'!$E$14+1,1))-AVERAGE(OFFSET($H$3,0,0,'Données projet'!$E$14+1,1))</f>
        <v>603.52431522262032</v>
      </c>
      <c r="DU185" s="62">
        <f t="shared" si="152"/>
        <v>313.56299786481338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projet'!$B$14,Paramètres!$A$1:$I$89,3,0)*0.475*44/12</f>
        <v>0</v>
      </c>
      <c r="EB185" s="23">
        <f>EXP(-LN(2)/25)*EB184+(1-EXP(-LN(2)/25))/(LN(2)/25)*Calculateur!DW185*Calculateur!DY185*VLOOKUP('Données projet'!$B$14,Paramètres!$A$1:$I$89,3,0)*0.475*44/12</f>
        <v>0</v>
      </c>
      <c r="EC185" s="23">
        <f>EXP(-LN(2)/2)*EC184+(1-EXP(-LN(2)/2))/(LN(2)/2)*DW185*DZ185*VLOOKUP('Données projet'!$B$14,Paramètres!$A$1:$I$89,3,0)*0.475*44/12</f>
        <v>0</v>
      </c>
      <c r="ED185" s="24">
        <f t="shared" si="178"/>
        <v>0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-1.1368683772161603E-13</v>
      </c>
      <c r="EK185" s="18">
        <f>EJ185*VLOOKUP('Données projet'!$B$15,Paramètres!$A$1:$I$89,3,0)*VLOOKUP('Données projet'!$B$15,Paramètres!$A$1:$I$89,5,0)</f>
        <v>-9.2222762759774927E-14</v>
      </c>
      <c r="EL185" s="14" t="e">
        <f t="shared" si="179"/>
        <v>#NUM!</v>
      </c>
      <c r="EM185" s="22" t="e">
        <f t="shared" si="180"/>
        <v>#NUM!</v>
      </c>
      <c r="EN185" s="62" t="e">
        <f t="shared" si="128"/>
        <v>#NUM!</v>
      </c>
      <c r="EO185" s="62">
        <f ca="1">AVERAGE(OFFSET($EN$3,0,0,'Données projet'!$E$15+1,1))-AVERAGE(OFFSET($H$3,0,0,'Données projet'!$E$15+1,1))</f>
        <v>272.69564942740931</v>
      </c>
      <c r="EP185" s="62">
        <f t="shared" si="154"/>
        <v>316.57989180609252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>
        <f>EXP(-LN(2)/35)*EV184+(1-EXP(-LN(2)/35))/(LN(2)/35)*ER185*ES185*VLOOKUP('Données projet'!$B$15,Paramètres!$A$1:$I$89,3,0)*0.475*44/12</f>
        <v>0</v>
      </c>
      <c r="EW185" s="23">
        <f>EXP(-LN(2)/25)*EW184+(1-EXP(-LN(2)/25))/(LN(2)/25)*Calculateur!ER185*Calculateur!ET185*VLOOKUP('Données projet'!$B$15,Paramètres!$A$1:$I$89,3,0)*0.475*44/12</f>
        <v>0</v>
      </c>
      <c r="EX185" s="23">
        <f>EXP(-LN(2)/2)*EX184+(1-EXP(-LN(2)/2))/(LN(2)/2)*ER185*EU185*VLOOKUP('Données projet'!$B$15,Paramètres!$A$1:$I$89,3,0)*0.475*44/12</f>
        <v>0</v>
      </c>
      <c r="EY185" s="24">
        <f t="shared" si="181"/>
        <v>0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-3.4106051316484809E-13</v>
      </c>
      <c r="FF185" s="18">
        <f>FE185*VLOOKUP('Données projet'!$B$16,Paramètres!$A$1:$I$89,3,0)*VLOOKUP('Données projet'!$B$16,Paramètres!$A$1:$I$89,5,0)</f>
        <v>-2.2878339223098009E-13</v>
      </c>
      <c r="FG185" s="14" t="e">
        <f t="shared" si="182"/>
        <v>#NUM!</v>
      </c>
      <c r="FH185" s="22" t="e">
        <f t="shared" si="183"/>
        <v>#NUM!</v>
      </c>
      <c r="FI185" s="62" t="e">
        <f t="shared" si="131"/>
        <v>#NUM!</v>
      </c>
      <c r="FJ185" s="62">
        <f ca="1">AVERAGE(OFFSET($FI$3,0,0,'Données projet'!$E$16+1,1))-AVERAGE(OFFSET($H$3,0,0,'Données projet'!$E$16+1,1))</f>
        <v>440.90856392064205</v>
      </c>
      <c r="FK185" s="62">
        <f t="shared" si="156"/>
        <v>373.33139300970629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>
        <f>EXP(-LN(2)/35)*FQ184+(1-EXP(-LN(2)/35))/(LN(2)/35)*FM185*FN185*VLOOKUP('Données projet'!$B$16,Paramètres!$A$1:$I$89,3,0)*0.475*44/12</f>
        <v>0</v>
      </c>
      <c r="FR185" s="23">
        <f>EXP(-LN(2)/25)*FR184+(1-EXP(-LN(2)/25))/(LN(2)/25)*Calculateur!FM185*Calculateur!FO185*VLOOKUP('Données projet'!$B$16,Paramètres!$A$1:$I$89,3,0)*0.475*44/12</f>
        <v>0</v>
      </c>
      <c r="FS185" s="23">
        <f>EXP(-LN(2)/2)*FS184+(1-EXP(-LN(2)/2))/(LN(2)/2)*FM185*FP185*VLOOKUP('Données projet'!$B$16,Paramètres!$A$1:$I$89,3,0)*0.475*44/12</f>
        <v>0</v>
      </c>
      <c r="FT185" s="24">
        <f t="shared" si="184"/>
        <v>0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70">
        <f t="shared" si="110"/>
        <v>183.33333333333334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-1.1368683772161603E-13</v>
      </c>
      <c r="O186" s="14">
        <f>N186*VLOOKUP('Données projet'!$B$9,Paramètres!$A$1:$I$89,3,0)*VLOOKUP('Données projet'!$B$9,Paramètres!$A$1:$I$89,5,0)</f>
        <v>-1.0286385077051818E-13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570.08763950759544</v>
      </c>
      <c r="T186" s="62">
        <f t="shared" si="142"/>
        <v>297.32483725004136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-2.2737367544323206E-13</v>
      </c>
      <c r="AJ186" s="14">
        <f>AI186*VLOOKUP('Données projet'!$B$10,Paramètres!$A$1:$I$89,3,0)*VLOOKUP('Données projet'!$B$10,Paramètres!$A$1:$I$89,5,0)</f>
        <v>-1.8089849618263545E-13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394.70330963327166</v>
      </c>
      <c r="AO186" s="62">
        <f t="shared" si="144"/>
        <v>424.06445894109982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-2.2737367544323206E-13</v>
      </c>
      <c r="BE186" s="14">
        <f>BD186*VLOOKUP('Données projet'!$B$11,Paramètres!$A$1:$I$89,3,0)*VLOOKUP('Données projet'!$B$11,Paramètres!$A$1:$I$89,5,0)</f>
        <v>-1.6671037883497774E-13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368.54671978064204</v>
      </c>
      <c r="BJ186" s="62">
        <f t="shared" si="146"/>
        <v>395.83504504492237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5.6843418860808015E-14</v>
      </c>
      <c r="BZ186" s="14">
        <f>BY186*VLOOKUP('Données projet'!$B$12,Paramètres!$A$1:$I$89,3,0)*VLOOKUP('Données projet'!$B$12,Paramètres!$A$1:$I$89,5,0)</f>
        <v>4.4337866711430253E-14</v>
      </c>
      <c r="CA186" s="14">
        <f t="shared" si="170"/>
        <v>7.3222115536967035E-13</v>
      </c>
      <c r="CB186" s="22">
        <f t="shared" si="171"/>
        <v>1.3525069634579169E-12</v>
      </c>
      <c r="CC186" s="62">
        <f t="shared" si="119"/>
        <v>289.60612764011432</v>
      </c>
      <c r="CD186" s="62">
        <f ca="1">AVERAGE(OFFSET($CC$3,0,0,'Données projet'!$E$12+1,1))-AVERAGE(OFFSET($H$3,0,0,'Données projet'!$E$12+1,1))</f>
        <v>309.21625451786218</v>
      </c>
      <c r="CE186" s="62">
        <f t="shared" si="148"/>
        <v>302.59481222418219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-2.8421709430404007E-13</v>
      </c>
      <c r="CU186" s="18">
        <f>CT186*VLOOKUP('Données projet'!$B$13,Paramètres!$A$1:$I$89,3,0)*VLOOKUP('Données projet'!$B$13,Paramètres!$A$1:$I$89,5,0)</f>
        <v>-2.7046098693972454E-13</v>
      </c>
      <c r="CV186" s="14" t="e">
        <f t="shared" si="173"/>
        <v>#NUM!</v>
      </c>
      <c r="CW186" s="22" t="e">
        <f t="shared" si="174"/>
        <v>#NUM!</v>
      </c>
      <c r="CX186" s="62" t="e">
        <f t="shared" si="122"/>
        <v>#NUM!</v>
      </c>
      <c r="CY186" s="62">
        <f ca="1">AVERAGE(OFFSET($CX$3,0,0,'Données projet'!$E$13+1,1))-AVERAGE(OFFSET($H$3,0,0,'Données projet'!$E$13+1,1))</f>
        <v>491.87038198656927</v>
      </c>
      <c r="CZ186" s="62">
        <f t="shared" si="150"/>
        <v>406.49261644949559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0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-1.1368683772161603E-13</v>
      </c>
      <c r="DP186" s="18">
        <f>DO186*VLOOKUP('Données projet'!$B$14,Paramètres!$A$1:$I$89,3,0)*VLOOKUP('Données projet'!$B$14,Paramètres!$A$1:$I$89,5,0)</f>
        <v>-1.0995790944434703E-13</v>
      </c>
      <c r="DQ186" s="14" t="e">
        <f t="shared" si="176"/>
        <v>#NUM!</v>
      </c>
      <c r="DR186" s="22" t="e">
        <f t="shared" si="177"/>
        <v>#NUM!</v>
      </c>
      <c r="DS186" s="62" t="e">
        <f t="shared" si="125"/>
        <v>#NUM!</v>
      </c>
      <c r="DT186" s="62">
        <f ca="1">AVERAGE(OFFSET($DS$3,0,0,'Données projet'!$E$14+1,1))-AVERAGE(OFFSET($H$3,0,0,'Données projet'!$E$14+1,1))</f>
        <v>603.52431522262032</v>
      </c>
      <c r="DU186" s="62">
        <f t="shared" si="152"/>
        <v>313.56299786481338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projet'!$B$14,Paramètres!$A$1:$I$89,3,0)*0.475*44/12</f>
        <v>0</v>
      </c>
      <c r="EB186" s="23">
        <f>EXP(-LN(2)/25)*EB185+(1-EXP(-LN(2)/25))/(LN(2)/25)*Calculateur!DW186*Calculateur!DY186*VLOOKUP('Données projet'!$B$14,Paramètres!$A$1:$I$89,3,0)*0.475*44/12</f>
        <v>0</v>
      </c>
      <c r="EC186" s="23">
        <f>EXP(-LN(2)/2)*EC185+(1-EXP(-LN(2)/2))/(LN(2)/2)*DW186*DZ186*VLOOKUP('Données projet'!$B$14,Paramètres!$A$1:$I$89,3,0)*0.475*44/12</f>
        <v>0</v>
      </c>
      <c r="ED186" s="24">
        <f t="shared" si="178"/>
        <v>0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-1.1368683772161603E-13</v>
      </c>
      <c r="EK186" s="18">
        <f>EJ186*VLOOKUP('Données projet'!$B$15,Paramètres!$A$1:$I$89,3,0)*VLOOKUP('Données projet'!$B$15,Paramètres!$A$1:$I$89,5,0)</f>
        <v>-9.2222762759774927E-14</v>
      </c>
      <c r="EL186" s="14" t="e">
        <f t="shared" si="179"/>
        <v>#NUM!</v>
      </c>
      <c r="EM186" s="22" t="e">
        <f t="shared" si="180"/>
        <v>#NUM!</v>
      </c>
      <c r="EN186" s="62" t="e">
        <f t="shared" si="128"/>
        <v>#NUM!</v>
      </c>
      <c r="EO186" s="62">
        <f ca="1">AVERAGE(OFFSET($EN$3,0,0,'Données projet'!$E$15+1,1))-AVERAGE(OFFSET($H$3,0,0,'Données projet'!$E$15+1,1))</f>
        <v>272.69564942740931</v>
      </c>
      <c r="EP186" s="62">
        <f t="shared" si="154"/>
        <v>316.57989180609252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>
        <f>EXP(-LN(2)/35)*EV185+(1-EXP(-LN(2)/35))/(LN(2)/35)*ER186*ES186*VLOOKUP('Données projet'!$B$15,Paramètres!$A$1:$I$89,3,0)*0.475*44/12</f>
        <v>0</v>
      </c>
      <c r="EW186" s="23">
        <f>EXP(-LN(2)/25)*EW185+(1-EXP(-LN(2)/25))/(LN(2)/25)*Calculateur!ER186*Calculateur!ET186*VLOOKUP('Données projet'!$B$15,Paramètres!$A$1:$I$89,3,0)*0.475*44/12</f>
        <v>0</v>
      </c>
      <c r="EX186" s="23">
        <f>EXP(-LN(2)/2)*EX185+(1-EXP(-LN(2)/2))/(LN(2)/2)*ER186*EU186*VLOOKUP('Données projet'!$B$15,Paramètres!$A$1:$I$89,3,0)*0.475*44/12</f>
        <v>0</v>
      </c>
      <c r="EY186" s="24">
        <f t="shared" si="181"/>
        <v>0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-3.4106051316484809E-13</v>
      </c>
      <c r="FF186" s="18">
        <f>FE186*VLOOKUP('Données projet'!$B$16,Paramètres!$A$1:$I$89,3,0)*VLOOKUP('Données projet'!$B$16,Paramètres!$A$1:$I$89,5,0)</f>
        <v>-2.2878339223098009E-13</v>
      </c>
      <c r="FG186" s="14" t="e">
        <f t="shared" si="182"/>
        <v>#NUM!</v>
      </c>
      <c r="FH186" s="22" t="e">
        <f t="shared" si="183"/>
        <v>#NUM!</v>
      </c>
      <c r="FI186" s="62" t="e">
        <f t="shared" si="131"/>
        <v>#NUM!</v>
      </c>
      <c r="FJ186" s="62">
        <f ca="1">AVERAGE(OFFSET($FI$3,0,0,'Données projet'!$E$16+1,1))-AVERAGE(OFFSET($H$3,0,0,'Données projet'!$E$16+1,1))</f>
        <v>440.90856392064205</v>
      </c>
      <c r="FK186" s="62">
        <f t="shared" si="156"/>
        <v>373.33139300970629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>
        <f>EXP(-LN(2)/35)*FQ185+(1-EXP(-LN(2)/35))/(LN(2)/35)*FM186*FN186*VLOOKUP('Données projet'!$B$16,Paramètres!$A$1:$I$89,3,0)*0.475*44/12</f>
        <v>0</v>
      </c>
      <c r="FR186" s="23">
        <f>EXP(-LN(2)/25)*FR185+(1-EXP(-LN(2)/25))/(LN(2)/25)*Calculateur!FM186*Calculateur!FO186*VLOOKUP('Données projet'!$B$16,Paramètres!$A$1:$I$89,3,0)*0.475*44/12</f>
        <v>0</v>
      </c>
      <c r="FS186" s="23">
        <f>EXP(-LN(2)/2)*FS185+(1-EXP(-LN(2)/2))/(LN(2)/2)*FM186*FP186*VLOOKUP('Données projet'!$B$16,Paramètres!$A$1:$I$89,3,0)*0.475*44/12</f>
        <v>0</v>
      </c>
      <c r="FT186" s="24">
        <f t="shared" si="184"/>
        <v>0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70">
        <f t="shared" si="110"/>
        <v>183.33333333333334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-1.1368683772161603E-13</v>
      </c>
      <c r="O187" s="14">
        <f>N187*VLOOKUP('Données projet'!$B$9,Paramètres!$A$1:$I$89,3,0)*VLOOKUP('Données projet'!$B$9,Paramètres!$A$1:$I$89,5,0)</f>
        <v>-1.0286385077051818E-13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570.08763950759544</v>
      </c>
      <c r="T187" s="62">
        <f t="shared" si="142"/>
        <v>297.32483725004136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-2.2737367544323206E-13</v>
      </c>
      <c r="AJ187" s="14">
        <f>AI187*VLOOKUP('Données projet'!$B$10,Paramètres!$A$1:$I$89,3,0)*VLOOKUP('Données projet'!$B$10,Paramètres!$A$1:$I$89,5,0)</f>
        <v>-1.8089849618263545E-13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394.70330963327166</v>
      </c>
      <c r="AO187" s="62">
        <f t="shared" si="144"/>
        <v>424.06445894109982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-2.2737367544323206E-13</v>
      </c>
      <c r="BE187" s="14">
        <f>BD187*VLOOKUP('Données projet'!$B$11,Paramètres!$A$1:$I$89,3,0)*VLOOKUP('Données projet'!$B$11,Paramètres!$A$1:$I$89,5,0)</f>
        <v>-1.6671037883497774E-13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368.54671978064204</v>
      </c>
      <c r="BJ187" s="62">
        <f t="shared" si="146"/>
        <v>395.83504504492237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5.6843418860808015E-14</v>
      </c>
      <c r="BZ187" s="14">
        <f>BY187*VLOOKUP('Données projet'!$B$12,Paramètres!$A$1:$I$89,3,0)*VLOOKUP('Données projet'!$B$12,Paramètres!$A$1:$I$89,5,0)</f>
        <v>4.4337866711430253E-14</v>
      </c>
      <c r="CA187" s="14">
        <f t="shared" si="170"/>
        <v>7.3222115536967035E-13</v>
      </c>
      <c r="CB187" s="22">
        <f t="shared" si="171"/>
        <v>1.3525069634579169E-12</v>
      </c>
      <c r="CC187" s="62">
        <f t="shared" si="119"/>
        <v>289.6707863261081</v>
      </c>
      <c r="CD187" s="62">
        <f ca="1">AVERAGE(OFFSET($CC$3,0,0,'Données projet'!$E$12+1,1))-AVERAGE(OFFSET($H$3,0,0,'Données projet'!$E$12+1,1))</f>
        <v>309.21625451786218</v>
      </c>
      <c r="CE187" s="62">
        <f t="shared" si="148"/>
        <v>302.59481222418219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-2.8421709430404007E-13</v>
      </c>
      <c r="CU187" s="18">
        <f>CT187*VLOOKUP('Données projet'!$B$13,Paramètres!$A$1:$I$89,3,0)*VLOOKUP('Données projet'!$B$13,Paramètres!$A$1:$I$89,5,0)</f>
        <v>-2.7046098693972454E-13</v>
      </c>
      <c r="CV187" s="14" t="e">
        <f t="shared" si="173"/>
        <v>#NUM!</v>
      </c>
      <c r="CW187" s="22" t="e">
        <f t="shared" si="174"/>
        <v>#NUM!</v>
      </c>
      <c r="CX187" s="62" t="e">
        <f t="shared" si="122"/>
        <v>#NUM!</v>
      </c>
      <c r="CY187" s="62">
        <f ca="1">AVERAGE(OFFSET($CX$3,0,0,'Données projet'!$E$13+1,1))-AVERAGE(OFFSET($H$3,0,0,'Données projet'!$E$13+1,1))</f>
        <v>491.87038198656927</v>
      </c>
      <c r="CZ187" s="62">
        <f t="shared" si="150"/>
        <v>406.49261644949559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0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-1.1368683772161603E-13</v>
      </c>
      <c r="DP187" s="18">
        <f>DO187*VLOOKUP('Données projet'!$B$14,Paramètres!$A$1:$I$89,3,0)*VLOOKUP('Données projet'!$B$14,Paramètres!$A$1:$I$89,5,0)</f>
        <v>-1.0995790944434703E-13</v>
      </c>
      <c r="DQ187" s="14" t="e">
        <f t="shared" si="176"/>
        <v>#NUM!</v>
      </c>
      <c r="DR187" s="22" t="e">
        <f t="shared" si="177"/>
        <v>#NUM!</v>
      </c>
      <c r="DS187" s="62" t="e">
        <f t="shared" si="125"/>
        <v>#NUM!</v>
      </c>
      <c r="DT187" s="62">
        <f ca="1">AVERAGE(OFFSET($DS$3,0,0,'Données projet'!$E$14+1,1))-AVERAGE(OFFSET($H$3,0,0,'Données projet'!$E$14+1,1))</f>
        <v>603.52431522262032</v>
      </c>
      <c r="DU187" s="62">
        <f t="shared" si="152"/>
        <v>313.56299786481338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projet'!$B$14,Paramètres!$A$1:$I$89,3,0)*0.475*44/12</f>
        <v>0</v>
      </c>
      <c r="EB187" s="23">
        <f>EXP(-LN(2)/25)*EB186+(1-EXP(-LN(2)/25))/(LN(2)/25)*Calculateur!DW187*Calculateur!DY187*VLOOKUP('Données projet'!$B$14,Paramètres!$A$1:$I$89,3,0)*0.475*44/12</f>
        <v>0</v>
      </c>
      <c r="EC187" s="23">
        <f>EXP(-LN(2)/2)*EC186+(1-EXP(-LN(2)/2))/(LN(2)/2)*DW187*DZ187*VLOOKUP('Données projet'!$B$14,Paramètres!$A$1:$I$89,3,0)*0.475*44/12</f>
        <v>0</v>
      </c>
      <c r="ED187" s="24">
        <f t="shared" si="178"/>
        <v>0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-1.1368683772161603E-13</v>
      </c>
      <c r="EK187" s="18">
        <f>EJ187*VLOOKUP('Données projet'!$B$15,Paramètres!$A$1:$I$89,3,0)*VLOOKUP('Données projet'!$B$15,Paramètres!$A$1:$I$89,5,0)</f>
        <v>-9.2222762759774927E-14</v>
      </c>
      <c r="EL187" s="14" t="e">
        <f t="shared" si="179"/>
        <v>#NUM!</v>
      </c>
      <c r="EM187" s="22" t="e">
        <f t="shared" si="180"/>
        <v>#NUM!</v>
      </c>
      <c r="EN187" s="62" t="e">
        <f t="shared" si="128"/>
        <v>#NUM!</v>
      </c>
      <c r="EO187" s="62">
        <f ca="1">AVERAGE(OFFSET($EN$3,0,0,'Données projet'!$E$15+1,1))-AVERAGE(OFFSET($H$3,0,0,'Données projet'!$E$15+1,1))</f>
        <v>272.69564942740931</v>
      </c>
      <c r="EP187" s="62">
        <f t="shared" si="154"/>
        <v>316.57989180609252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>
        <f>EXP(-LN(2)/35)*EV186+(1-EXP(-LN(2)/35))/(LN(2)/35)*ER187*ES187*VLOOKUP('Données projet'!$B$15,Paramètres!$A$1:$I$89,3,0)*0.475*44/12</f>
        <v>0</v>
      </c>
      <c r="EW187" s="23">
        <f>EXP(-LN(2)/25)*EW186+(1-EXP(-LN(2)/25))/(LN(2)/25)*Calculateur!ER187*Calculateur!ET187*VLOOKUP('Données projet'!$B$15,Paramètres!$A$1:$I$89,3,0)*0.475*44/12</f>
        <v>0</v>
      </c>
      <c r="EX187" s="23">
        <f>EXP(-LN(2)/2)*EX186+(1-EXP(-LN(2)/2))/(LN(2)/2)*ER187*EU187*VLOOKUP('Données projet'!$B$15,Paramètres!$A$1:$I$89,3,0)*0.475*44/12</f>
        <v>0</v>
      </c>
      <c r="EY187" s="24">
        <f t="shared" si="181"/>
        <v>0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-3.4106051316484809E-13</v>
      </c>
      <c r="FF187" s="18">
        <f>FE187*VLOOKUP('Données projet'!$B$16,Paramètres!$A$1:$I$89,3,0)*VLOOKUP('Données projet'!$B$16,Paramètres!$A$1:$I$89,5,0)</f>
        <v>-2.2878339223098009E-13</v>
      </c>
      <c r="FG187" s="14" t="e">
        <f t="shared" si="182"/>
        <v>#NUM!</v>
      </c>
      <c r="FH187" s="22" t="e">
        <f t="shared" si="183"/>
        <v>#NUM!</v>
      </c>
      <c r="FI187" s="62" t="e">
        <f t="shared" si="131"/>
        <v>#NUM!</v>
      </c>
      <c r="FJ187" s="62">
        <f ca="1">AVERAGE(OFFSET($FI$3,0,0,'Données projet'!$E$16+1,1))-AVERAGE(OFFSET($H$3,0,0,'Données projet'!$E$16+1,1))</f>
        <v>440.90856392064205</v>
      </c>
      <c r="FK187" s="62">
        <f t="shared" si="156"/>
        <v>373.33139300970629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>
        <f>EXP(-LN(2)/35)*FQ186+(1-EXP(-LN(2)/35))/(LN(2)/35)*FM187*FN187*VLOOKUP('Données projet'!$B$16,Paramètres!$A$1:$I$89,3,0)*0.475*44/12</f>
        <v>0</v>
      </c>
      <c r="FR187" s="23">
        <f>EXP(-LN(2)/25)*FR186+(1-EXP(-LN(2)/25))/(LN(2)/25)*Calculateur!FM187*Calculateur!FO187*VLOOKUP('Données projet'!$B$16,Paramètres!$A$1:$I$89,3,0)*0.475*44/12</f>
        <v>0</v>
      </c>
      <c r="FS187" s="23">
        <f>EXP(-LN(2)/2)*FS186+(1-EXP(-LN(2)/2))/(LN(2)/2)*FM187*FP187*VLOOKUP('Données projet'!$B$16,Paramètres!$A$1:$I$89,3,0)*0.475*44/12</f>
        <v>0</v>
      </c>
      <c r="FT187" s="24">
        <f t="shared" si="184"/>
        <v>0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70">
        <f t="shared" si="110"/>
        <v>183.33333333333334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-1.1368683772161603E-13</v>
      </c>
      <c r="O188" s="14">
        <f>N188*VLOOKUP('Données projet'!$B$9,Paramètres!$A$1:$I$89,3,0)*VLOOKUP('Données projet'!$B$9,Paramètres!$A$1:$I$89,5,0)</f>
        <v>-1.0286385077051818E-13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570.08763950759544</v>
      </c>
      <c r="T188" s="62">
        <f t="shared" si="142"/>
        <v>297.32483725004136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-2.2737367544323206E-13</v>
      </c>
      <c r="AJ188" s="14">
        <f>AI188*VLOOKUP('Données projet'!$B$10,Paramètres!$A$1:$I$89,3,0)*VLOOKUP('Données projet'!$B$10,Paramètres!$A$1:$I$89,5,0)</f>
        <v>-1.8089849618263545E-13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394.70330963327166</v>
      </c>
      <c r="AO188" s="62">
        <f t="shared" si="144"/>
        <v>424.06445894109982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-2.2737367544323206E-13</v>
      </c>
      <c r="BE188" s="14">
        <f>BD188*VLOOKUP('Données projet'!$B$11,Paramètres!$A$1:$I$89,3,0)*VLOOKUP('Données projet'!$B$11,Paramètres!$A$1:$I$89,5,0)</f>
        <v>-1.6671037883497774E-13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368.54671978064204</v>
      </c>
      <c r="BJ188" s="62">
        <f t="shared" si="146"/>
        <v>395.83504504492237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5.6843418860808015E-14</v>
      </c>
      <c r="BZ188" s="14">
        <f>BY188*VLOOKUP('Données projet'!$B$12,Paramètres!$A$1:$I$89,3,0)*VLOOKUP('Données projet'!$B$12,Paramètres!$A$1:$I$89,5,0)</f>
        <v>4.4337866711430253E-14</v>
      </c>
      <c r="CA188" s="14">
        <f t="shared" si="170"/>
        <v>7.3222115536967035E-13</v>
      </c>
      <c r="CB188" s="22">
        <f t="shared" si="171"/>
        <v>1.3525069634579169E-12</v>
      </c>
      <c r="CC188" s="62">
        <f t="shared" si="119"/>
        <v>289.7343233284551</v>
      </c>
      <c r="CD188" s="62">
        <f ca="1">AVERAGE(OFFSET($CC$3,0,0,'Données projet'!$E$12+1,1))-AVERAGE(OFFSET($H$3,0,0,'Données projet'!$E$12+1,1))</f>
        <v>309.21625451786218</v>
      </c>
      <c r="CE188" s="62">
        <f t="shared" si="148"/>
        <v>302.59481222418219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-2.8421709430404007E-13</v>
      </c>
      <c r="CU188" s="18">
        <f>CT188*VLOOKUP('Données projet'!$B$13,Paramètres!$A$1:$I$89,3,0)*VLOOKUP('Données projet'!$B$13,Paramètres!$A$1:$I$89,5,0)</f>
        <v>-2.7046098693972454E-13</v>
      </c>
      <c r="CV188" s="14" t="e">
        <f t="shared" si="173"/>
        <v>#NUM!</v>
      </c>
      <c r="CW188" s="22" t="e">
        <f t="shared" si="174"/>
        <v>#NUM!</v>
      </c>
      <c r="CX188" s="62" t="e">
        <f t="shared" si="122"/>
        <v>#NUM!</v>
      </c>
      <c r="CY188" s="62">
        <f ca="1">AVERAGE(OFFSET($CX$3,0,0,'Données projet'!$E$13+1,1))-AVERAGE(OFFSET($H$3,0,0,'Données projet'!$E$13+1,1))</f>
        <v>491.87038198656927</v>
      </c>
      <c r="CZ188" s="62">
        <f t="shared" si="150"/>
        <v>406.49261644949559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0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-1.1368683772161603E-13</v>
      </c>
      <c r="DP188" s="18">
        <f>DO188*VLOOKUP('Données projet'!$B$14,Paramètres!$A$1:$I$89,3,0)*VLOOKUP('Données projet'!$B$14,Paramètres!$A$1:$I$89,5,0)</f>
        <v>-1.0995790944434703E-13</v>
      </c>
      <c r="DQ188" s="14" t="e">
        <f t="shared" si="176"/>
        <v>#NUM!</v>
      </c>
      <c r="DR188" s="22" t="e">
        <f t="shared" si="177"/>
        <v>#NUM!</v>
      </c>
      <c r="DS188" s="62" t="e">
        <f t="shared" si="125"/>
        <v>#NUM!</v>
      </c>
      <c r="DT188" s="62">
        <f ca="1">AVERAGE(OFFSET($DS$3,0,0,'Données projet'!$E$14+1,1))-AVERAGE(OFFSET($H$3,0,0,'Données projet'!$E$14+1,1))</f>
        <v>603.52431522262032</v>
      </c>
      <c r="DU188" s="62">
        <f t="shared" si="152"/>
        <v>313.56299786481338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projet'!$B$14,Paramètres!$A$1:$I$89,3,0)*0.475*44/12</f>
        <v>0</v>
      </c>
      <c r="EB188" s="23">
        <f>EXP(-LN(2)/25)*EB187+(1-EXP(-LN(2)/25))/(LN(2)/25)*Calculateur!DW188*Calculateur!DY188*VLOOKUP('Données projet'!$B$14,Paramètres!$A$1:$I$89,3,0)*0.475*44/12</f>
        <v>0</v>
      </c>
      <c r="EC188" s="23">
        <f>EXP(-LN(2)/2)*EC187+(1-EXP(-LN(2)/2))/(LN(2)/2)*DW188*DZ188*VLOOKUP('Données projet'!$B$14,Paramètres!$A$1:$I$89,3,0)*0.475*44/12</f>
        <v>0</v>
      </c>
      <c r="ED188" s="24">
        <f t="shared" si="178"/>
        <v>0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-1.1368683772161603E-13</v>
      </c>
      <c r="EK188" s="18">
        <f>EJ188*VLOOKUP('Données projet'!$B$15,Paramètres!$A$1:$I$89,3,0)*VLOOKUP('Données projet'!$B$15,Paramètres!$A$1:$I$89,5,0)</f>
        <v>-9.2222762759774927E-14</v>
      </c>
      <c r="EL188" s="14" t="e">
        <f t="shared" si="179"/>
        <v>#NUM!</v>
      </c>
      <c r="EM188" s="22" t="e">
        <f t="shared" si="180"/>
        <v>#NUM!</v>
      </c>
      <c r="EN188" s="62" t="e">
        <f t="shared" si="128"/>
        <v>#NUM!</v>
      </c>
      <c r="EO188" s="62">
        <f ca="1">AVERAGE(OFFSET($EN$3,0,0,'Données projet'!$E$15+1,1))-AVERAGE(OFFSET($H$3,0,0,'Données projet'!$E$15+1,1))</f>
        <v>272.69564942740931</v>
      </c>
      <c r="EP188" s="62">
        <f t="shared" si="154"/>
        <v>316.57989180609252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>
        <f>EXP(-LN(2)/35)*EV187+(1-EXP(-LN(2)/35))/(LN(2)/35)*ER188*ES188*VLOOKUP('Données projet'!$B$15,Paramètres!$A$1:$I$89,3,0)*0.475*44/12</f>
        <v>0</v>
      </c>
      <c r="EW188" s="23">
        <f>EXP(-LN(2)/25)*EW187+(1-EXP(-LN(2)/25))/(LN(2)/25)*Calculateur!ER188*Calculateur!ET188*VLOOKUP('Données projet'!$B$15,Paramètres!$A$1:$I$89,3,0)*0.475*44/12</f>
        <v>0</v>
      </c>
      <c r="EX188" s="23">
        <f>EXP(-LN(2)/2)*EX187+(1-EXP(-LN(2)/2))/(LN(2)/2)*ER188*EU188*VLOOKUP('Données projet'!$B$15,Paramètres!$A$1:$I$89,3,0)*0.475*44/12</f>
        <v>0</v>
      </c>
      <c r="EY188" s="24">
        <f t="shared" si="181"/>
        <v>0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-3.4106051316484809E-13</v>
      </c>
      <c r="FF188" s="18">
        <f>FE188*VLOOKUP('Données projet'!$B$16,Paramètres!$A$1:$I$89,3,0)*VLOOKUP('Données projet'!$B$16,Paramètres!$A$1:$I$89,5,0)</f>
        <v>-2.2878339223098009E-13</v>
      </c>
      <c r="FG188" s="14" t="e">
        <f t="shared" si="182"/>
        <v>#NUM!</v>
      </c>
      <c r="FH188" s="22" t="e">
        <f t="shared" si="183"/>
        <v>#NUM!</v>
      </c>
      <c r="FI188" s="62" t="e">
        <f t="shared" si="131"/>
        <v>#NUM!</v>
      </c>
      <c r="FJ188" s="62">
        <f ca="1">AVERAGE(OFFSET($FI$3,0,0,'Données projet'!$E$16+1,1))-AVERAGE(OFFSET($H$3,0,0,'Données projet'!$E$16+1,1))</f>
        <v>440.90856392064205</v>
      </c>
      <c r="FK188" s="62">
        <f t="shared" si="156"/>
        <v>373.33139300970629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>
        <f>EXP(-LN(2)/35)*FQ187+(1-EXP(-LN(2)/35))/(LN(2)/35)*FM188*FN188*VLOOKUP('Données projet'!$B$16,Paramètres!$A$1:$I$89,3,0)*0.475*44/12</f>
        <v>0</v>
      </c>
      <c r="FR188" s="23">
        <f>EXP(-LN(2)/25)*FR187+(1-EXP(-LN(2)/25))/(LN(2)/25)*Calculateur!FM188*Calculateur!FO188*VLOOKUP('Données projet'!$B$16,Paramètres!$A$1:$I$89,3,0)*0.475*44/12</f>
        <v>0</v>
      </c>
      <c r="FS188" s="23">
        <f>EXP(-LN(2)/2)*FS187+(1-EXP(-LN(2)/2))/(LN(2)/2)*FM188*FP188*VLOOKUP('Données projet'!$B$16,Paramètres!$A$1:$I$89,3,0)*0.475*44/12</f>
        <v>0</v>
      </c>
      <c r="FT188" s="24">
        <f t="shared" si="184"/>
        <v>0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70">
        <f t="shared" si="110"/>
        <v>183.33333333333334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-1.1368683772161603E-13</v>
      </c>
      <c r="O189" s="14">
        <f>N189*VLOOKUP('Données projet'!$B$9,Paramètres!$A$1:$I$89,3,0)*VLOOKUP('Données projet'!$B$9,Paramètres!$A$1:$I$89,5,0)</f>
        <v>-1.0286385077051818E-13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570.08763950759544</v>
      </c>
      <c r="T189" s="62">
        <f t="shared" si="142"/>
        <v>297.32483725004136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-2.2737367544323206E-13</v>
      </c>
      <c r="AJ189" s="14">
        <f>AI189*VLOOKUP('Données projet'!$B$10,Paramètres!$A$1:$I$89,3,0)*VLOOKUP('Données projet'!$B$10,Paramètres!$A$1:$I$89,5,0)</f>
        <v>-1.8089849618263545E-13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394.70330963327166</v>
      </c>
      <c r="AO189" s="62">
        <f t="shared" si="144"/>
        <v>424.06445894109982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-2.2737367544323206E-13</v>
      </c>
      <c r="BE189" s="14">
        <f>BD189*VLOOKUP('Données projet'!$B$11,Paramètres!$A$1:$I$89,3,0)*VLOOKUP('Données projet'!$B$11,Paramètres!$A$1:$I$89,5,0)</f>
        <v>-1.6671037883497774E-13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368.54671978064204</v>
      </c>
      <c r="BJ189" s="62">
        <f t="shared" si="146"/>
        <v>395.83504504492237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5.6843418860808015E-14</v>
      </c>
      <c r="BZ189" s="14">
        <f>BY189*VLOOKUP('Données projet'!$B$12,Paramètres!$A$1:$I$89,3,0)*VLOOKUP('Données projet'!$B$12,Paramètres!$A$1:$I$89,5,0)</f>
        <v>4.4337866711430253E-14</v>
      </c>
      <c r="CA189" s="14">
        <f t="shared" si="170"/>
        <v>7.3222115536967035E-13</v>
      </c>
      <c r="CB189" s="22">
        <f t="shared" si="171"/>
        <v>1.3525069634579169E-12</v>
      </c>
      <c r="CC189" s="62">
        <f t="shared" si="119"/>
        <v>289.79675810585877</v>
      </c>
      <c r="CD189" s="62">
        <f ca="1">AVERAGE(OFFSET($CC$3,0,0,'Données projet'!$E$12+1,1))-AVERAGE(OFFSET($H$3,0,0,'Données projet'!$E$12+1,1))</f>
        <v>309.21625451786218</v>
      </c>
      <c r="CE189" s="62">
        <f t="shared" si="148"/>
        <v>302.59481222418219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-2.8421709430404007E-13</v>
      </c>
      <c r="CU189" s="18">
        <f>CT189*VLOOKUP('Données projet'!$B$13,Paramètres!$A$1:$I$89,3,0)*VLOOKUP('Données projet'!$B$13,Paramètres!$A$1:$I$89,5,0)</f>
        <v>-2.7046098693972454E-13</v>
      </c>
      <c r="CV189" s="14" t="e">
        <f t="shared" si="173"/>
        <v>#NUM!</v>
      </c>
      <c r="CW189" s="22" t="e">
        <f t="shared" si="174"/>
        <v>#NUM!</v>
      </c>
      <c r="CX189" s="62" t="e">
        <f t="shared" si="122"/>
        <v>#NUM!</v>
      </c>
      <c r="CY189" s="62">
        <f ca="1">AVERAGE(OFFSET($CX$3,0,0,'Données projet'!$E$13+1,1))-AVERAGE(OFFSET($H$3,0,0,'Données projet'!$E$13+1,1))</f>
        <v>491.87038198656927</v>
      </c>
      <c r="CZ189" s="62">
        <f t="shared" si="150"/>
        <v>406.49261644949559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0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-1.1368683772161603E-13</v>
      </c>
      <c r="DP189" s="18">
        <f>DO189*VLOOKUP('Données projet'!$B$14,Paramètres!$A$1:$I$89,3,0)*VLOOKUP('Données projet'!$B$14,Paramètres!$A$1:$I$89,5,0)</f>
        <v>-1.0995790944434703E-13</v>
      </c>
      <c r="DQ189" s="14" t="e">
        <f t="shared" si="176"/>
        <v>#NUM!</v>
      </c>
      <c r="DR189" s="22" t="e">
        <f t="shared" si="177"/>
        <v>#NUM!</v>
      </c>
      <c r="DS189" s="62" t="e">
        <f t="shared" si="125"/>
        <v>#NUM!</v>
      </c>
      <c r="DT189" s="62">
        <f ca="1">AVERAGE(OFFSET($DS$3,0,0,'Données projet'!$E$14+1,1))-AVERAGE(OFFSET($H$3,0,0,'Données projet'!$E$14+1,1))</f>
        <v>603.52431522262032</v>
      </c>
      <c r="DU189" s="62">
        <f t="shared" si="152"/>
        <v>313.56299786481338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projet'!$B$14,Paramètres!$A$1:$I$89,3,0)*0.475*44/12</f>
        <v>0</v>
      </c>
      <c r="EB189" s="23">
        <f>EXP(-LN(2)/25)*EB188+(1-EXP(-LN(2)/25))/(LN(2)/25)*Calculateur!DW189*Calculateur!DY189*VLOOKUP('Données projet'!$B$14,Paramètres!$A$1:$I$89,3,0)*0.475*44/12</f>
        <v>0</v>
      </c>
      <c r="EC189" s="23">
        <f>EXP(-LN(2)/2)*EC188+(1-EXP(-LN(2)/2))/(LN(2)/2)*DW189*DZ189*VLOOKUP('Données projet'!$B$14,Paramètres!$A$1:$I$89,3,0)*0.475*44/12</f>
        <v>0</v>
      </c>
      <c r="ED189" s="24">
        <f t="shared" si="178"/>
        <v>0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-1.1368683772161603E-13</v>
      </c>
      <c r="EK189" s="18">
        <f>EJ189*VLOOKUP('Données projet'!$B$15,Paramètres!$A$1:$I$89,3,0)*VLOOKUP('Données projet'!$B$15,Paramètres!$A$1:$I$89,5,0)</f>
        <v>-9.2222762759774927E-14</v>
      </c>
      <c r="EL189" s="14" t="e">
        <f t="shared" si="179"/>
        <v>#NUM!</v>
      </c>
      <c r="EM189" s="22" t="e">
        <f t="shared" si="180"/>
        <v>#NUM!</v>
      </c>
      <c r="EN189" s="62" t="e">
        <f t="shared" si="128"/>
        <v>#NUM!</v>
      </c>
      <c r="EO189" s="62">
        <f ca="1">AVERAGE(OFFSET($EN$3,0,0,'Données projet'!$E$15+1,1))-AVERAGE(OFFSET($H$3,0,0,'Données projet'!$E$15+1,1))</f>
        <v>272.69564942740931</v>
      </c>
      <c r="EP189" s="62">
        <f t="shared" si="154"/>
        <v>316.57989180609252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>
        <f>EXP(-LN(2)/35)*EV188+(1-EXP(-LN(2)/35))/(LN(2)/35)*ER189*ES189*VLOOKUP('Données projet'!$B$15,Paramètres!$A$1:$I$89,3,0)*0.475*44/12</f>
        <v>0</v>
      </c>
      <c r="EW189" s="23">
        <f>EXP(-LN(2)/25)*EW188+(1-EXP(-LN(2)/25))/(LN(2)/25)*Calculateur!ER189*Calculateur!ET189*VLOOKUP('Données projet'!$B$15,Paramètres!$A$1:$I$89,3,0)*0.475*44/12</f>
        <v>0</v>
      </c>
      <c r="EX189" s="23">
        <f>EXP(-LN(2)/2)*EX188+(1-EXP(-LN(2)/2))/(LN(2)/2)*ER189*EU189*VLOOKUP('Données projet'!$B$15,Paramètres!$A$1:$I$89,3,0)*0.475*44/12</f>
        <v>0</v>
      </c>
      <c r="EY189" s="24">
        <f t="shared" si="181"/>
        <v>0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-3.4106051316484809E-13</v>
      </c>
      <c r="FF189" s="18">
        <f>FE189*VLOOKUP('Données projet'!$B$16,Paramètres!$A$1:$I$89,3,0)*VLOOKUP('Données projet'!$B$16,Paramètres!$A$1:$I$89,5,0)</f>
        <v>-2.2878339223098009E-13</v>
      </c>
      <c r="FG189" s="14" t="e">
        <f t="shared" si="182"/>
        <v>#NUM!</v>
      </c>
      <c r="FH189" s="22" t="e">
        <f t="shared" si="183"/>
        <v>#NUM!</v>
      </c>
      <c r="FI189" s="62" t="e">
        <f t="shared" si="131"/>
        <v>#NUM!</v>
      </c>
      <c r="FJ189" s="62">
        <f ca="1">AVERAGE(OFFSET($FI$3,0,0,'Données projet'!$E$16+1,1))-AVERAGE(OFFSET($H$3,0,0,'Données projet'!$E$16+1,1))</f>
        <v>440.90856392064205</v>
      </c>
      <c r="FK189" s="62">
        <f t="shared" si="156"/>
        <v>373.33139300970629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>
        <f>EXP(-LN(2)/35)*FQ188+(1-EXP(-LN(2)/35))/(LN(2)/35)*FM189*FN189*VLOOKUP('Données projet'!$B$16,Paramètres!$A$1:$I$89,3,0)*0.475*44/12</f>
        <v>0</v>
      </c>
      <c r="FR189" s="23">
        <f>EXP(-LN(2)/25)*FR188+(1-EXP(-LN(2)/25))/(LN(2)/25)*Calculateur!FM189*Calculateur!FO189*VLOOKUP('Données projet'!$B$16,Paramètres!$A$1:$I$89,3,0)*0.475*44/12</f>
        <v>0</v>
      </c>
      <c r="FS189" s="23">
        <f>EXP(-LN(2)/2)*FS188+(1-EXP(-LN(2)/2))/(LN(2)/2)*FM189*FP189*VLOOKUP('Données projet'!$B$16,Paramètres!$A$1:$I$89,3,0)*0.475*44/12</f>
        <v>0</v>
      </c>
      <c r="FT189" s="24">
        <f t="shared" si="184"/>
        <v>0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70">
        <f t="shared" si="110"/>
        <v>183.33333333333334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-1.1368683772161603E-13</v>
      </c>
      <c r="O190" s="14">
        <f>N190*VLOOKUP('Données projet'!$B$9,Paramètres!$A$1:$I$89,3,0)*VLOOKUP('Données projet'!$B$9,Paramètres!$A$1:$I$89,5,0)</f>
        <v>-1.0286385077051818E-13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570.08763950759544</v>
      </c>
      <c r="T190" s="62">
        <f t="shared" si="142"/>
        <v>297.32483725004136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-2.2737367544323206E-13</v>
      </c>
      <c r="AJ190" s="14">
        <f>AI190*VLOOKUP('Données projet'!$B$10,Paramètres!$A$1:$I$89,3,0)*VLOOKUP('Données projet'!$B$10,Paramètres!$A$1:$I$89,5,0)</f>
        <v>-1.8089849618263545E-13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394.70330963327166</v>
      </c>
      <c r="AO190" s="62">
        <f t="shared" si="144"/>
        <v>424.06445894109982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-2.2737367544323206E-13</v>
      </c>
      <c r="BE190" s="14">
        <f>BD190*VLOOKUP('Données projet'!$B$11,Paramètres!$A$1:$I$89,3,0)*VLOOKUP('Données projet'!$B$11,Paramètres!$A$1:$I$89,5,0)</f>
        <v>-1.6671037883497774E-13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368.54671978064204</v>
      </c>
      <c r="BJ190" s="62">
        <f t="shared" si="146"/>
        <v>395.83504504492237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5.6843418860808015E-14</v>
      </c>
      <c r="BZ190" s="14">
        <f>BY190*VLOOKUP('Données projet'!$B$12,Paramètres!$A$1:$I$89,3,0)*VLOOKUP('Données projet'!$B$12,Paramètres!$A$1:$I$89,5,0)</f>
        <v>4.4337866711430253E-14</v>
      </c>
      <c r="CA190" s="14">
        <f t="shared" si="170"/>
        <v>7.3222115536967035E-13</v>
      </c>
      <c r="CB190" s="22">
        <f t="shared" si="171"/>
        <v>1.3525069634579169E-12</v>
      </c>
      <c r="CC190" s="62">
        <f t="shared" si="119"/>
        <v>289.85810977945778</v>
      </c>
      <c r="CD190" s="62">
        <f ca="1">AVERAGE(OFFSET($CC$3,0,0,'Données projet'!$E$12+1,1))-AVERAGE(OFFSET($H$3,0,0,'Données projet'!$E$12+1,1))</f>
        <v>309.21625451786218</v>
      </c>
      <c r="CE190" s="62">
        <f t="shared" si="148"/>
        <v>302.59481222418219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-2.8421709430404007E-13</v>
      </c>
      <c r="CU190" s="18">
        <f>CT190*VLOOKUP('Données projet'!$B$13,Paramètres!$A$1:$I$89,3,0)*VLOOKUP('Données projet'!$B$13,Paramètres!$A$1:$I$89,5,0)</f>
        <v>-2.7046098693972454E-13</v>
      </c>
      <c r="CV190" s="14" t="e">
        <f t="shared" si="173"/>
        <v>#NUM!</v>
      </c>
      <c r="CW190" s="22" t="e">
        <f t="shared" si="174"/>
        <v>#NUM!</v>
      </c>
      <c r="CX190" s="62" t="e">
        <f t="shared" si="122"/>
        <v>#NUM!</v>
      </c>
      <c r="CY190" s="62">
        <f ca="1">AVERAGE(OFFSET($CX$3,0,0,'Données projet'!$E$13+1,1))-AVERAGE(OFFSET($H$3,0,0,'Données projet'!$E$13+1,1))</f>
        <v>491.87038198656927</v>
      </c>
      <c r="CZ190" s="62">
        <f t="shared" si="150"/>
        <v>406.49261644949559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0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-1.1368683772161603E-13</v>
      </c>
      <c r="DP190" s="18">
        <f>DO190*VLOOKUP('Données projet'!$B$14,Paramètres!$A$1:$I$89,3,0)*VLOOKUP('Données projet'!$B$14,Paramètres!$A$1:$I$89,5,0)</f>
        <v>-1.0995790944434703E-13</v>
      </c>
      <c r="DQ190" s="14" t="e">
        <f t="shared" si="176"/>
        <v>#NUM!</v>
      </c>
      <c r="DR190" s="22" t="e">
        <f t="shared" si="177"/>
        <v>#NUM!</v>
      </c>
      <c r="DS190" s="62" t="e">
        <f t="shared" si="125"/>
        <v>#NUM!</v>
      </c>
      <c r="DT190" s="62">
        <f ca="1">AVERAGE(OFFSET($DS$3,0,0,'Données projet'!$E$14+1,1))-AVERAGE(OFFSET($H$3,0,0,'Données projet'!$E$14+1,1))</f>
        <v>603.52431522262032</v>
      </c>
      <c r="DU190" s="62">
        <f t="shared" si="152"/>
        <v>313.56299786481338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projet'!$B$14,Paramètres!$A$1:$I$89,3,0)*0.475*44/12</f>
        <v>0</v>
      </c>
      <c r="EB190" s="23">
        <f>EXP(-LN(2)/25)*EB189+(1-EXP(-LN(2)/25))/(LN(2)/25)*Calculateur!DW190*Calculateur!DY190*VLOOKUP('Données projet'!$B$14,Paramètres!$A$1:$I$89,3,0)*0.475*44/12</f>
        <v>0</v>
      </c>
      <c r="EC190" s="23">
        <f>EXP(-LN(2)/2)*EC189+(1-EXP(-LN(2)/2))/(LN(2)/2)*DW190*DZ190*VLOOKUP('Données projet'!$B$14,Paramètres!$A$1:$I$89,3,0)*0.475*44/12</f>
        <v>0</v>
      </c>
      <c r="ED190" s="24">
        <f t="shared" si="178"/>
        <v>0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-1.1368683772161603E-13</v>
      </c>
      <c r="EK190" s="18">
        <f>EJ190*VLOOKUP('Données projet'!$B$15,Paramètres!$A$1:$I$89,3,0)*VLOOKUP('Données projet'!$B$15,Paramètres!$A$1:$I$89,5,0)</f>
        <v>-9.2222762759774927E-14</v>
      </c>
      <c r="EL190" s="14" t="e">
        <f t="shared" si="179"/>
        <v>#NUM!</v>
      </c>
      <c r="EM190" s="22" t="e">
        <f t="shared" si="180"/>
        <v>#NUM!</v>
      </c>
      <c r="EN190" s="62" t="e">
        <f t="shared" si="128"/>
        <v>#NUM!</v>
      </c>
      <c r="EO190" s="62">
        <f ca="1">AVERAGE(OFFSET($EN$3,0,0,'Données projet'!$E$15+1,1))-AVERAGE(OFFSET($H$3,0,0,'Données projet'!$E$15+1,1))</f>
        <v>272.69564942740931</v>
      </c>
      <c r="EP190" s="62">
        <f t="shared" si="154"/>
        <v>316.57989180609252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>
        <f>EXP(-LN(2)/35)*EV189+(1-EXP(-LN(2)/35))/(LN(2)/35)*ER190*ES190*VLOOKUP('Données projet'!$B$15,Paramètres!$A$1:$I$89,3,0)*0.475*44/12</f>
        <v>0</v>
      </c>
      <c r="EW190" s="23">
        <f>EXP(-LN(2)/25)*EW189+(1-EXP(-LN(2)/25))/(LN(2)/25)*Calculateur!ER190*Calculateur!ET190*VLOOKUP('Données projet'!$B$15,Paramètres!$A$1:$I$89,3,0)*0.475*44/12</f>
        <v>0</v>
      </c>
      <c r="EX190" s="23">
        <f>EXP(-LN(2)/2)*EX189+(1-EXP(-LN(2)/2))/(LN(2)/2)*ER190*EU190*VLOOKUP('Données projet'!$B$15,Paramètres!$A$1:$I$89,3,0)*0.475*44/12</f>
        <v>0</v>
      </c>
      <c r="EY190" s="24">
        <f t="shared" si="181"/>
        <v>0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-3.4106051316484809E-13</v>
      </c>
      <c r="FF190" s="18">
        <f>FE190*VLOOKUP('Données projet'!$B$16,Paramètres!$A$1:$I$89,3,0)*VLOOKUP('Données projet'!$B$16,Paramètres!$A$1:$I$89,5,0)</f>
        <v>-2.2878339223098009E-13</v>
      </c>
      <c r="FG190" s="14" t="e">
        <f t="shared" si="182"/>
        <v>#NUM!</v>
      </c>
      <c r="FH190" s="22" t="e">
        <f t="shared" si="183"/>
        <v>#NUM!</v>
      </c>
      <c r="FI190" s="62" t="e">
        <f t="shared" si="131"/>
        <v>#NUM!</v>
      </c>
      <c r="FJ190" s="62">
        <f ca="1">AVERAGE(OFFSET($FI$3,0,0,'Données projet'!$E$16+1,1))-AVERAGE(OFFSET($H$3,0,0,'Données projet'!$E$16+1,1))</f>
        <v>440.90856392064205</v>
      </c>
      <c r="FK190" s="62">
        <f t="shared" si="156"/>
        <v>373.33139300970629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>
        <f>EXP(-LN(2)/35)*FQ189+(1-EXP(-LN(2)/35))/(LN(2)/35)*FM190*FN190*VLOOKUP('Données projet'!$B$16,Paramètres!$A$1:$I$89,3,0)*0.475*44/12</f>
        <v>0</v>
      </c>
      <c r="FR190" s="23">
        <f>EXP(-LN(2)/25)*FR189+(1-EXP(-LN(2)/25))/(LN(2)/25)*Calculateur!FM190*Calculateur!FO190*VLOOKUP('Données projet'!$B$16,Paramètres!$A$1:$I$89,3,0)*0.475*44/12</f>
        <v>0</v>
      </c>
      <c r="FS190" s="23">
        <f>EXP(-LN(2)/2)*FS189+(1-EXP(-LN(2)/2))/(LN(2)/2)*FM190*FP190*VLOOKUP('Données projet'!$B$16,Paramètres!$A$1:$I$89,3,0)*0.475*44/12</f>
        <v>0</v>
      </c>
      <c r="FT190" s="24">
        <f t="shared" si="184"/>
        <v>0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70">
        <f t="shared" si="110"/>
        <v>183.33333333333334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-1.1368683772161603E-13</v>
      </c>
      <c r="O191" s="14">
        <f>N191*VLOOKUP('Données projet'!$B$9,Paramètres!$A$1:$I$89,3,0)*VLOOKUP('Données projet'!$B$9,Paramètres!$A$1:$I$89,5,0)</f>
        <v>-1.0286385077051818E-13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570.08763950759544</v>
      </c>
      <c r="T191" s="62">
        <f t="shared" si="142"/>
        <v>297.32483725004136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-2.2737367544323206E-13</v>
      </c>
      <c r="AJ191" s="14">
        <f>AI191*VLOOKUP('Données projet'!$B$10,Paramètres!$A$1:$I$89,3,0)*VLOOKUP('Données projet'!$B$10,Paramètres!$A$1:$I$89,5,0)</f>
        <v>-1.8089849618263545E-13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394.70330963327166</v>
      </c>
      <c r="AO191" s="62">
        <f t="shared" si="144"/>
        <v>424.06445894109982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-2.2737367544323206E-13</v>
      </c>
      <c r="BE191" s="14">
        <f>BD191*VLOOKUP('Données projet'!$B$11,Paramètres!$A$1:$I$89,3,0)*VLOOKUP('Données projet'!$B$11,Paramètres!$A$1:$I$89,5,0)</f>
        <v>-1.6671037883497774E-13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368.54671978064204</v>
      </c>
      <c r="BJ191" s="62">
        <f t="shared" si="146"/>
        <v>395.83504504492237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5.6843418860808015E-14</v>
      </c>
      <c r="BZ191" s="14">
        <f>BY191*VLOOKUP('Données projet'!$B$12,Paramètres!$A$1:$I$89,3,0)*VLOOKUP('Données projet'!$B$12,Paramètres!$A$1:$I$89,5,0)</f>
        <v>4.4337866711430253E-14</v>
      </c>
      <c r="CA191" s="14">
        <f t="shared" si="170"/>
        <v>7.3222115536967035E-13</v>
      </c>
      <c r="CB191" s="22">
        <f t="shared" si="171"/>
        <v>1.3525069634579169E-12</v>
      </c>
      <c r="CC191" s="62">
        <f t="shared" si="119"/>
        <v>289.9183971386816</v>
      </c>
      <c r="CD191" s="62">
        <f ca="1">AVERAGE(OFFSET($CC$3,0,0,'Données projet'!$E$12+1,1))-AVERAGE(OFFSET($H$3,0,0,'Données projet'!$E$12+1,1))</f>
        <v>309.21625451786218</v>
      </c>
      <c r="CE191" s="62">
        <f t="shared" si="148"/>
        <v>302.59481222418219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-2.8421709430404007E-13</v>
      </c>
      <c r="CU191" s="18">
        <f>CT191*VLOOKUP('Données projet'!$B$13,Paramètres!$A$1:$I$89,3,0)*VLOOKUP('Données projet'!$B$13,Paramètres!$A$1:$I$89,5,0)</f>
        <v>-2.7046098693972454E-13</v>
      </c>
      <c r="CV191" s="14" t="e">
        <f t="shared" si="173"/>
        <v>#NUM!</v>
      </c>
      <c r="CW191" s="22" t="e">
        <f t="shared" si="174"/>
        <v>#NUM!</v>
      </c>
      <c r="CX191" s="62" t="e">
        <f t="shared" si="122"/>
        <v>#NUM!</v>
      </c>
      <c r="CY191" s="62">
        <f ca="1">AVERAGE(OFFSET($CX$3,0,0,'Données projet'!$E$13+1,1))-AVERAGE(OFFSET($H$3,0,0,'Données projet'!$E$13+1,1))</f>
        <v>491.87038198656927</v>
      </c>
      <c r="CZ191" s="62">
        <f t="shared" si="150"/>
        <v>406.49261644949559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0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-1.1368683772161603E-13</v>
      </c>
      <c r="DP191" s="18">
        <f>DO191*VLOOKUP('Données projet'!$B$14,Paramètres!$A$1:$I$89,3,0)*VLOOKUP('Données projet'!$B$14,Paramètres!$A$1:$I$89,5,0)</f>
        <v>-1.0995790944434703E-13</v>
      </c>
      <c r="DQ191" s="14" t="e">
        <f t="shared" si="176"/>
        <v>#NUM!</v>
      </c>
      <c r="DR191" s="22" t="e">
        <f t="shared" si="177"/>
        <v>#NUM!</v>
      </c>
      <c r="DS191" s="62" t="e">
        <f t="shared" si="125"/>
        <v>#NUM!</v>
      </c>
      <c r="DT191" s="62">
        <f ca="1">AVERAGE(OFFSET($DS$3,0,0,'Données projet'!$E$14+1,1))-AVERAGE(OFFSET($H$3,0,0,'Données projet'!$E$14+1,1))</f>
        <v>603.52431522262032</v>
      </c>
      <c r="DU191" s="62">
        <f t="shared" si="152"/>
        <v>313.56299786481338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projet'!$B$14,Paramètres!$A$1:$I$89,3,0)*0.475*44/12</f>
        <v>0</v>
      </c>
      <c r="EB191" s="23">
        <f>EXP(-LN(2)/25)*EB190+(1-EXP(-LN(2)/25))/(LN(2)/25)*Calculateur!DW191*Calculateur!DY191*VLOOKUP('Données projet'!$B$14,Paramètres!$A$1:$I$89,3,0)*0.475*44/12</f>
        <v>0</v>
      </c>
      <c r="EC191" s="23">
        <f>EXP(-LN(2)/2)*EC190+(1-EXP(-LN(2)/2))/(LN(2)/2)*DW191*DZ191*VLOOKUP('Données projet'!$B$14,Paramètres!$A$1:$I$89,3,0)*0.475*44/12</f>
        <v>0</v>
      </c>
      <c r="ED191" s="24">
        <f t="shared" si="178"/>
        <v>0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-1.1368683772161603E-13</v>
      </c>
      <c r="EK191" s="18">
        <f>EJ191*VLOOKUP('Données projet'!$B$15,Paramètres!$A$1:$I$89,3,0)*VLOOKUP('Données projet'!$B$15,Paramètres!$A$1:$I$89,5,0)</f>
        <v>-9.2222762759774927E-14</v>
      </c>
      <c r="EL191" s="14" t="e">
        <f t="shared" si="179"/>
        <v>#NUM!</v>
      </c>
      <c r="EM191" s="22" t="e">
        <f t="shared" si="180"/>
        <v>#NUM!</v>
      </c>
      <c r="EN191" s="62" t="e">
        <f t="shared" si="128"/>
        <v>#NUM!</v>
      </c>
      <c r="EO191" s="62">
        <f ca="1">AVERAGE(OFFSET($EN$3,0,0,'Données projet'!$E$15+1,1))-AVERAGE(OFFSET($H$3,0,0,'Données projet'!$E$15+1,1))</f>
        <v>272.69564942740931</v>
      </c>
      <c r="EP191" s="62">
        <f t="shared" si="154"/>
        <v>316.57989180609252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>
        <f>EXP(-LN(2)/35)*EV190+(1-EXP(-LN(2)/35))/(LN(2)/35)*ER191*ES191*VLOOKUP('Données projet'!$B$15,Paramètres!$A$1:$I$89,3,0)*0.475*44/12</f>
        <v>0</v>
      </c>
      <c r="EW191" s="23">
        <f>EXP(-LN(2)/25)*EW190+(1-EXP(-LN(2)/25))/(LN(2)/25)*Calculateur!ER191*Calculateur!ET191*VLOOKUP('Données projet'!$B$15,Paramètres!$A$1:$I$89,3,0)*0.475*44/12</f>
        <v>0</v>
      </c>
      <c r="EX191" s="23">
        <f>EXP(-LN(2)/2)*EX190+(1-EXP(-LN(2)/2))/(LN(2)/2)*ER191*EU191*VLOOKUP('Données projet'!$B$15,Paramètres!$A$1:$I$89,3,0)*0.475*44/12</f>
        <v>0</v>
      </c>
      <c r="EY191" s="24">
        <f t="shared" si="181"/>
        <v>0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-3.4106051316484809E-13</v>
      </c>
      <c r="FF191" s="18">
        <f>FE191*VLOOKUP('Données projet'!$B$16,Paramètres!$A$1:$I$89,3,0)*VLOOKUP('Données projet'!$B$16,Paramètres!$A$1:$I$89,5,0)</f>
        <v>-2.2878339223098009E-13</v>
      </c>
      <c r="FG191" s="14" t="e">
        <f t="shared" si="182"/>
        <v>#NUM!</v>
      </c>
      <c r="FH191" s="22" t="e">
        <f t="shared" si="183"/>
        <v>#NUM!</v>
      </c>
      <c r="FI191" s="62" t="e">
        <f t="shared" si="131"/>
        <v>#NUM!</v>
      </c>
      <c r="FJ191" s="62">
        <f ca="1">AVERAGE(OFFSET($FI$3,0,0,'Données projet'!$E$16+1,1))-AVERAGE(OFFSET($H$3,0,0,'Données projet'!$E$16+1,1))</f>
        <v>440.90856392064205</v>
      </c>
      <c r="FK191" s="62">
        <f t="shared" si="156"/>
        <v>373.33139300970629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>
        <f>EXP(-LN(2)/35)*FQ190+(1-EXP(-LN(2)/35))/(LN(2)/35)*FM191*FN191*VLOOKUP('Données projet'!$B$16,Paramètres!$A$1:$I$89,3,0)*0.475*44/12</f>
        <v>0</v>
      </c>
      <c r="FR191" s="23">
        <f>EXP(-LN(2)/25)*FR190+(1-EXP(-LN(2)/25))/(LN(2)/25)*Calculateur!FM191*Calculateur!FO191*VLOOKUP('Données projet'!$B$16,Paramètres!$A$1:$I$89,3,0)*0.475*44/12</f>
        <v>0</v>
      </c>
      <c r="FS191" s="23">
        <f>EXP(-LN(2)/2)*FS190+(1-EXP(-LN(2)/2))/(LN(2)/2)*FM191*FP191*VLOOKUP('Données projet'!$B$16,Paramètres!$A$1:$I$89,3,0)*0.475*44/12</f>
        <v>0</v>
      </c>
      <c r="FT191" s="24">
        <f t="shared" si="184"/>
        <v>0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70">
        <f t="shared" si="110"/>
        <v>183.33333333333334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-1.1368683772161603E-13</v>
      </c>
      <c r="O192" s="14">
        <f>N192*VLOOKUP('Données projet'!$B$9,Paramètres!$A$1:$I$89,3,0)*VLOOKUP('Données projet'!$B$9,Paramètres!$A$1:$I$89,5,0)</f>
        <v>-1.0286385077051818E-13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570.08763950759544</v>
      </c>
      <c r="T192" s="62">
        <f t="shared" si="142"/>
        <v>297.32483725004136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-2.2737367544323206E-13</v>
      </c>
      <c r="AJ192" s="14">
        <f>AI192*VLOOKUP('Données projet'!$B$10,Paramètres!$A$1:$I$89,3,0)*VLOOKUP('Données projet'!$B$10,Paramètres!$A$1:$I$89,5,0)</f>
        <v>-1.8089849618263545E-13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394.70330963327166</v>
      </c>
      <c r="AO192" s="62">
        <f t="shared" si="144"/>
        <v>424.06445894109982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-2.2737367544323206E-13</v>
      </c>
      <c r="BE192" s="14">
        <f>BD192*VLOOKUP('Données projet'!$B$11,Paramètres!$A$1:$I$89,3,0)*VLOOKUP('Données projet'!$B$11,Paramètres!$A$1:$I$89,5,0)</f>
        <v>-1.6671037883497774E-13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368.54671978064204</v>
      </c>
      <c r="BJ192" s="62">
        <f t="shared" si="146"/>
        <v>395.83504504492237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5.6843418860808015E-14</v>
      </c>
      <c r="BZ192" s="14">
        <f>BY192*VLOOKUP('Données projet'!$B$12,Paramètres!$A$1:$I$89,3,0)*VLOOKUP('Données projet'!$B$12,Paramètres!$A$1:$I$89,5,0)</f>
        <v>4.4337866711430253E-14</v>
      </c>
      <c r="CA192" s="14">
        <f t="shared" si="170"/>
        <v>7.3222115536967035E-13</v>
      </c>
      <c r="CB192" s="22">
        <f t="shared" si="171"/>
        <v>1.3525069634579169E-12</v>
      </c>
      <c r="CC192" s="62">
        <f t="shared" si="119"/>
        <v>289.97763864700522</v>
      </c>
      <c r="CD192" s="62">
        <f ca="1">AVERAGE(OFFSET($CC$3,0,0,'Données projet'!$E$12+1,1))-AVERAGE(OFFSET($H$3,0,0,'Données projet'!$E$12+1,1))</f>
        <v>309.21625451786218</v>
      </c>
      <c r="CE192" s="62">
        <f t="shared" si="148"/>
        <v>302.59481222418219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-2.8421709430404007E-13</v>
      </c>
      <c r="CU192" s="18">
        <f>CT192*VLOOKUP('Données projet'!$B$13,Paramètres!$A$1:$I$89,3,0)*VLOOKUP('Données projet'!$B$13,Paramètres!$A$1:$I$89,5,0)</f>
        <v>-2.7046098693972454E-13</v>
      </c>
      <c r="CV192" s="14" t="e">
        <f t="shared" si="173"/>
        <v>#NUM!</v>
      </c>
      <c r="CW192" s="22" t="e">
        <f t="shared" si="174"/>
        <v>#NUM!</v>
      </c>
      <c r="CX192" s="62" t="e">
        <f t="shared" si="122"/>
        <v>#NUM!</v>
      </c>
      <c r="CY192" s="62">
        <f ca="1">AVERAGE(OFFSET($CX$3,0,0,'Données projet'!$E$13+1,1))-AVERAGE(OFFSET($H$3,0,0,'Données projet'!$E$13+1,1))</f>
        <v>491.87038198656927</v>
      </c>
      <c r="CZ192" s="62">
        <f t="shared" si="150"/>
        <v>406.49261644949559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0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-1.1368683772161603E-13</v>
      </c>
      <c r="DP192" s="18">
        <f>DO192*VLOOKUP('Données projet'!$B$14,Paramètres!$A$1:$I$89,3,0)*VLOOKUP('Données projet'!$B$14,Paramètres!$A$1:$I$89,5,0)</f>
        <v>-1.0995790944434703E-13</v>
      </c>
      <c r="DQ192" s="14" t="e">
        <f t="shared" si="176"/>
        <v>#NUM!</v>
      </c>
      <c r="DR192" s="22" t="e">
        <f t="shared" si="177"/>
        <v>#NUM!</v>
      </c>
      <c r="DS192" s="62" t="e">
        <f t="shared" si="125"/>
        <v>#NUM!</v>
      </c>
      <c r="DT192" s="62">
        <f ca="1">AVERAGE(OFFSET($DS$3,0,0,'Données projet'!$E$14+1,1))-AVERAGE(OFFSET($H$3,0,0,'Données projet'!$E$14+1,1))</f>
        <v>603.52431522262032</v>
      </c>
      <c r="DU192" s="62">
        <f t="shared" si="152"/>
        <v>313.56299786481338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projet'!$B$14,Paramètres!$A$1:$I$89,3,0)*0.475*44/12</f>
        <v>0</v>
      </c>
      <c r="EB192" s="23">
        <f>EXP(-LN(2)/25)*EB191+(1-EXP(-LN(2)/25))/(LN(2)/25)*Calculateur!DW192*Calculateur!DY192*VLOOKUP('Données projet'!$B$14,Paramètres!$A$1:$I$89,3,0)*0.475*44/12</f>
        <v>0</v>
      </c>
      <c r="EC192" s="23">
        <f>EXP(-LN(2)/2)*EC191+(1-EXP(-LN(2)/2))/(LN(2)/2)*DW192*DZ192*VLOOKUP('Données projet'!$B$14,Paramètres!$A$1:$I$89,3,0)*0.475*44/12</f>
        <v>0</v>
      </c>
      <c r="ED192" s="24">
        <f t="shared" si="178"/>
        <v>0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-1.1368683772161603E-13</v>
      </c>
      <c r="EK192" s="18">
        <f>EJ192*VLOOKUP('Données projet'!$B$15,Paramètres!$A$1:$I$89,3,0)*VLOOKUP('Données projet'!$B$15,Paramètres!$A$1:$I$89,5,0)</f>
        <v>-9.2222762759774927E-14</v>
      </c>
      <c r="EL192" s="14" t="e">
        <f t="shared" si="179"/>
        <v>#NUM!</v>
      </c>
      <c r="EM192" s="22" t="e">
        <f t="shared" si="180"/>
        <v>#NUM!</v>
      </c>
      <c r="EN192" s="62" t="e">
        <f t="shared" si="128"/>
        <v>#NUM!</v>
      </c>
      <c r="EO192" s="62">
        <f ca="1">AVERAGE(OFFSET($EN$3,0,0,'Données projet'!$E$15+1,1))-AVERAGE(OFFSET($H$3,0,0,'Données projet'!$E$15+1,1))</f>
        <v>272.69564942740931</v>
      </c>
      <c r="EP192" s="62">
        <f t="shared" si="154"/>
        <v>316.57989180609252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>
        <f>EXP(-LN(2)/35)*EV191+(1-EXP(-LN(2)/35))/(LN(2)/35)*ER192*ES192*VLOOKUP('Données projet'!$B$15,Paramètres!$A$1:$I$89,3,0)*0.475*44/12</f>
        <v>0</v>
      </c>
      <c r="EW192" s="23">
        <f>EXP(-LN(2)/25)*EW191+(1-EXP(-LN(2)/25))/(LN(2)/25)*Calculateur!ER192*Calculateur!ET192*VLOOKUP('Données projet'!$B$15,Paramètres!$A$1:$I$89,3,0)*0.475*44/12</f>
        <v>0</v>
      </c>
      <c r="EX192" s="23">
        <f>EXP(-LN(2)/2)*EX191+(1-EXP(-LN(2)/2))/(LN(2)/2)*ER192*EU192*VLOOKUP('Données projet'!$B$15,Paramètres!$A$1:$I$89,3,0)*0.475*44/12</f>
        <v>0</v>
      </c>
      <c r="EY192" s="24">
        <f t="shared" si="181"/>
        <v>0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-3.4106051316484809E-13</v>
      </c>
      <c r="FF192" s="18">
        <f>FE192*VLOOKUP('Données projet'!$B$16,Paramètres!$A$1:$I$89,3,0)*VLOOKUP('Données projet'!$B$16,Paramètres!$A$1:$I$89,5,0)</f>
        <v>-2.2878339223098009E-13</v>
      </c>
      <c r="FG192" s="14" t="e">
        <f t="shared" si="182"/>
        <v>#NUM!</v>
      </c>
      <c r="FH192" s="22" t="e">
        <f t="shared" si="183"/>
        <v>#NUM!</v>
      </c>
      <c r="FI192" s="62" t="e">
        <f t="shared" si="131"/>
        <v>#NUM!</v>
      </c>
      <c r="FJ192" s="62">
        <f ca="1">AVERAGE(OFFSET($FI$3,0,0,'Données projet'!$E$16+1,1))-AVERAGE(OFFSET($H$3,0,0,'Données projet'!$E$16+1,1))</f>
        <v>440.90856392064205</v>
      </c>
      <c r="FK192" s="62">
        <f t="shared" si="156"/>
        <v>373.33139300970629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>
        <f>EXP(-LN(2)/35)*FQ191+(1-EXP(-LN(2)/35))/(LN(2)/35)*FM192*FN192*VLOOKUP('Données projet'!$B$16,Paramètres!$A$1:$I$89,3,0)*0.475*44/12</f>
        <v>0</v>
      </c>
      <c r="FR192" s="23">
        <f>EXP(-LN(2)/25)*FR191+(1-EXP(-LN(2)/25))/(LN(2)/25)*Calculateur!FM192*Calculateur!FO192*VLOOKUP('Données projet'!$B$16,Paramètres!$A$1:$I$89,3,0)*0.475*44/12</f>
        <v>0</v>
      </c>
      <c r="FS192" s="23">
        <f>EXP(-LN(2)/2)*FS191+(1-EXP(-LN(2)/2))/(LN(2)/2)*FM192*FP192*VLOOKUP('Données projet'!$B$16,Paramètres!$A$1:$I$89,3,0)*0.475*44/12</f>
        <v>0</v>
      </c>
      <c r="FT192" s="24">
        <f t="shared" si="184"/>
        <v>0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70">
        <f t="shared" si="110"/>
        <v>183.33333333333334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-1.1368683772161603E-13</v>
      </c>
      <c r="O193" s="14">
        <f>N193*VLOOKUP('Données projet'!$B$9,Paramètres!$A$1:$I$89,3,0)*VLOOKUP('Données projet'!$B$9,Paramètres!$A$1:$I$89,5,0)</f>
        <v>-1.0286385077051818E-13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570.08763950759544</v>
      </c>
      <c r="T193" s="62">
        <f t="shared" si="142"/>
        <v>297.32483725004136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-2.2737367544323206E-13</v>
      </c>
      <c r="AJ193" s="14">
        <f>AI193*VLOOKUP('Données projet'!$B$10,Paramètres!$A$1:$I$89,3,0)*VLOOKUP('Données projet'!$B$10,Paramètres!$A$1:$I$89,5,0)</f>
        <v>-1.8089849618263545E-13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394.70330963327166</v>
      </c>
      <c r="AO193" s="62">
        <f t="shared" si="144"/>
        <v>424.06445894109982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-2.2737367544323206E-13</v>
      </c>
      <c r="BE193" s="14">
        <f>BD193*VLOOKUP('Données projet'!$B$11,Paramètres!$A$1:$I$89,3,0)*VLOOKUP('Données projet'!$B$11,Paramètres!$A$1:$I$89,5,0)</f>
        <v>-1.6671037883497774E-13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368.54671978064204</v>
      </c>
      <c r="BJ193" s="62">
        <f t="shared" si="146"/>
        <v>395.83504504492237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5.6843418860808015E-14</v>
      </c>
      <c r="BZ193" s="14">
        <f>BY193*VLOOKUP('Données projet'!$B$12,Paramètres!$A$1:$I$89,3,0)*VLOOKUP('Données projet'!$B$12,Paramètres!$A$1:$I$89,5,0)</f>
        <v>4.4337866711430253E-14</v>
      </c>
      <c r="CA193" s="14">
        <f t="shared" si="170"/>
        <v>7.3222115536967035E-13</v>
      </c>
      <c r="CB193" s="22">
        <f t="shared" si="171"/>
        <v>1.3525069634579169E-12</v>
      </c>
      <c r="CC193" s="62">
        <f t="shared" si="119"/>
        <v>290.03585244760365</v>
      </c>
      <c r="CD193" s="62">
        <f ca="1">AVERAGE(OFFSET($CC$3,0,0,'Données projet'!$E$12+1,1))-AVERAGE(OFFSET($H$3,0,0,'Données projet'!$E$12+1,1))</f>
        <v>309.21625451786218</v>
      </c>
      <c r="CE193" s="62">
        <f t="shared" si="148"/>
        <v>302.59481222418219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-2.8421709430404007E-13</v>
      </c>
      <c r="CU193" s="18">
        <f>CT193*VLOOKUP('Données projet'!$B$13,Paramètres!$A$1:$I$89,3,0)*VLOOKUP('Données projet'!$B$13,Paramètres!$A$1:$I$89,5,0)</f>
        <v>-2.7046098693972454E-13</v>
      </c>
      <c r="CV193" s="14" t="e">
        <f t="shared" si="173"/>
        <v>#NUM!</v>
      </c>
      <c r="CW193" s="22" t="e">
        <f t="shared" si="174"/>
        <v>#NUM!</v>
      </c>
      <c r="CX193" s="62" t="e">
        <f t="shared" si="122"/>
        <v>#NUM!</v>
      </c>
      <c r="CY193" s="62">
        <f ca="1">AVERAGE(OFFSET($CX$3,0,0,'Données projet'!$E$13+1,1))-AVERAGE(OFFSET($H$3,0,0,'Données projet'!$E$13+1,1))</f>
        <v>491.87038198656927</v>
      </c>
      <c r="CZ193" s="62">
        <f t="shared" si="150"/>
        <v>406.49261644949559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0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-1.1368683772161603E-13</v>
      </c>
      <c r="DP193" s="18">
        <f>DO193*VLOOKUP('Données projet'!$B$14,Paramètres!$A$1:$I$89,3,0)*VLOOKUP('Données projet'!$B$14,Paramètres!$A$1:$I$89,5,0)</f>
        <v>-1.0995790944434703E-13</v>
      </c>
      <c r="DQ193" s="14" t="e">
        <f t="shared" si="176"/>
        <v>#NUM!</v>
      </c>
      <c r="DR193" s="22" t="e">
        <f t="shared" si="177"/>
        <v>#NUM!</v>
      </c>
      <c r="DS193" s="62" t="e">
        <f t="shared" si="125"/>
        <v>#NUM!</v>
      </c>
      <c r="DT193" s="62">
        <f ca="1">AVERAGE(OFFSET($DS$3,0,0,'Données projet'!$E$14+1,1))-AVERAGE(OFFSET($H$3,0,0,'Données projet'!$E$14+1,1))</f>
        <v>603.52431522262032</v>
      </c>
      <c r="DU193" s="62">
        <f t="shared" si="152"/>
        <v>313.56299786481338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projet'!$B$14,Paramètres!$A$1:$I$89,3,0)*0.475*44/12</f>
        <v>0</v>
      </c>
      <c r="EB193" s="23">
        <f>EXP(-LN(2)/25)*EB192+(1-EXP(-LN(2)/25))/(LN(2)/25)*Calculateur!DW193*Calculateur!DY193*VLOOKUP('Données projet'!$B$14,Paramètres!$A$1:$I$89,3,0)*0.475*44/12</f>
        <v>0</v>
      </c>
      <c r="EC193" s="23">
        <f>EXP(-LN(2)/2)*EC192+(1-EXP(-LN(2)/2))/(LN(2)/2)*DW193*DZ193*VLOOKUP('Données projet'!$B$14,Paramètres!$A$1:$I$89,3,0)*0.475*44/12</f>
        <v>0</v>
      </c>
      <c r="ED193" s="24">
        <f t="shared" si="178"/>
        <v>0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-1.1368683772161603E-13</v>
      </c>
      <c r="EK193" s="18">
        <f>EJ193*VLOOKUP('Données projet'!$B$15,Paramètres!$A$1:$I$89,3,0)*VLOOKUP('Données projet'!$B$15,Paramètres!$A$1:$I$89,5,0)</f>
        <v>-9.2222762759774927E-14</v>
      </c>
      <c r="EL193" s="14" t="e">
        <f t="shared" si="179"/>
        <v>#NUM!</v>
      </c>
      <c r="EM193" s="22" t="e">
        <f t="shared" si="180"/>
        <v>#NUM!</v>
      </c>
      <c r="EN193" s="62" t="e">
        <f t="shared" si="128"/>
        <v>#NUM!</v>
      </c>
      <c r="EO193" s="62">
        <f ca="1">AVERAGE(OFFSET($EN$3,0,0,'Données projet'!$E$15+1,1))-AVERAGE(OFFSET($H$3,0,0,'Données projet'!$E$15+1,1))</f>
        <v>272.69564942740931</v>
      </c>
      <c r="EP193" s="62">
        <f t="shared" si="154"/>
        <v>316.57989180609252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>
        <f>EXP(-LN(2)/35)*EV192+(1-EXP(-LN(2)/35))/(LN(2)/35)*ER193*ES193*VLOOKUP('Données projet'!$B$15,Paramètres!$A$1:$I$89,3,0)*0.475*44/12</f>
        <v>0</v>
      </c>
      <c r="EW193" s="23">
        <f>EXP(-LN(2)/25)*EW192+(1-EXP(-LN(2)/25))/(LN(2)/25)*Calculateur!ER193*Calculateur!ET193*VLOOKUP('Données projet'!$B$15,Paramètres!$A$1:$I$89,3,0)*0.475*44/12</f>
        <v>0</v>
      </c>
      <c r="EX193" s="23">
        <f>EXP(-LN(2)/2)*EX192+(1-EXP(-LN(2)/2))/(LN(2)/2)*ER193*EU193*VLOOKUP('Données projet'!$B$15,Paramètres!$A$1:$I$89,3,0)*0.475*44/12</f>
        <v>0</v>
      </c>
      <c r="EY193" s="24">
        <f t="shared" si="181"/>
        <v>0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-3.4106051316484809E-13</v>
      </c>
      <c r="FF193" s="18">
        <f>FE193*VLOOKUP('Données projet'!$B$16,Paramètres!$A$1:$I$89,3,0)*VLOOKUP('Données projet'!$B$16,Paramètres!$A$1:$I$89,5,0)</f>
        <v>-2.2878339223098009E-13</v>
      </c>
      <c r="FG193" s="14" t="e">
        <f t="shared" si="182"/>
        <v>#NUM!</v>
      </c>
      <c r="FH193" s="22" t="e">
        <f t="shared" si="183"/>
        <v>#NUM!</v>
      </c>
      <c r="FI193" s="62" t="e">
        <f t="shared" si="131"/>
        <v>#NUM!</v>
      </c>
      <c r="FJ193" s="62">
        <f ca="1">AVERAGE(OFFSET($FI$3,0,0,'Données projet'!$E$16+1,1))-AVERAGE(OFFSET($H$3,0,0,'Données projet'!$E$16+1,1))</f>
        <v>440.90856392064205</v>
      </c>
      <c r="FK193" s="62">
        <f t="shared" si="156"/>
        <v>373.33139300970629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>
        <f>EXP(-LN(2)/35)*FQ192+(1-EXP(-LN(2)/35))/(LN(2)/35)*FM193*FN193*VLOOKUP('Données projet'!$B$16,Paramètres!$A$1:$I$89,3,0)*0.475*44/12</f>
        <v>0</v>
      </c>
      <c r="FR193" s="23">
        <f>EXP(-LN(2)/25)*FR192+(1-EXP(-LN(2)/25))/(LN(2)/25)*Calculateur!FM193*Calculateur!FO193*VLOOKUP('Données projet'!$B$16,Paramètres!$A$1:$I$89,3,0)*0.475*44/12</f>
        <v>0</v>
      </c>
      <c r="FS193" s="23">
        <f>EXP(-LN(2)/2)*FS192+(1-EXP(-LN(2)/2))/(LN(2)/2)*FM193*FP193*VLOOKUP('Données projet'!$B$16,Paramètres!$A$1:$I$89,3,0)*0.475*44/12</f>
        <v>0</v>
      </c>
      <c r="FT193" s="24">
        <f t="shared" si="184"/>
        <v>0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70">
        <f t="shared" si="110"/>
        <v>183.33333333333334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-1.1368683772161603E-13</v>
      </c>
      <c r="O194" s="14">
        <f>N194*VLOOKUP('Données projet'!$B$9,Paramètres!$A$1:$I$89,3,0)*VLOOKUP('Données projet'!$B$9,Paramètres!$A$1:$I$89,5,0)</f>
        <v>-1.0286385077051818E-13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570.08763950759544</v>
      </c>
      <c r="T194" s="62">
        <f t="shared" si="142"/>
        <v>297.32483725004136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-2.2737367544323206E-13</v>
      </c>
      <c r="AJ194" s="14">
        <f>AI194*VLOOKUP('Données projet'!$B$10,Paramètres!$A$1:$I$89,3,0)*VLOOKUP('Données projet'!$B$10,Paramètres!$A$1:$I$89,5,0)</f>
        <v>-1.8089849618263545E-13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394.70330963327166</v>
      </c>
      <c r="AO194" s="62">
        <f t="shared" si="144"/>
        <v>424.06445894109982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-2.2737367544323206E-13</v>
      </c>
      <c r="BE194" s="14">
        <f>BD194*VLOOKUP('Données projet'!$B$11,Paramètres!$A$1:$I$89,3,0)*VLOOKUP('Données projet'!$B$11,Paramètres!$A$1:$I$89,5,0)</f>
        <v>-1.6671037883497774E-13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368.54671978064204</v>
      </c>
      <c r="BJ194" s="62">
        <f t="shared" si="146"/>
        <v>395.83504504492237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5.6843418860808015E-14</v>
      </c>
      <c r="BZ194" s="14">
        <f>BY194*VLOOKUP('Données projet'!$B$12,Paramètres!$A$1:$I$89,3,0)*VLOOKUP('Données projet'!$B$12,Paramètres!$A$1:$I$89,5,0)</f>
        <v>4.4337866711430253E-14</v>
      </c>
      <c r="CA194" s="14">
        <f t="shared" si="170"/>
        <v>7.3222115536967035E-13</v>
      </c>
      <c r="CB194" s="22">
        <f t="shared" si="171"/>
        <v>1.3525069634579169E-12</v>
      </c>
      <c r="CC194" s="62">
        <f t="shared" si="119"/>
        <v>290.09305636890821</v>
      </c>
      <c r="CD194" s="62">
        <f ca="1">AVERAGE(OFFSET($CC$3,0,0,'Données projet'!$E$12+1,1))-AVERAGE(OFFSET($H$3,0,0,'Données projet'!$E$12+1,1))</f>
        <v>309.21625451786218</v>
      </c>
      <c r="CE194" s="62">
        <f t="shared" si="148"/>
        <v>302.59481222418219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-2.8421709430404007E-13</v>
      </c>
      <c r="CU194" s="18">
        <f>CT194*VLOOKUP('Données projet'!$B$13,Paramètres!$A$1:$I$89,3,0)*VLOOKUP('Données projet'!$B$13,Paramètres!$A$1:$I$89,5,0)</f>
        <v>-2.7046098693972454E-13</v>
      </c>
      <c r="CV194" s="14" t="e">
        <f t="shared" si="173"/>
        <v>#NUM!</v>
      </c>
      <c r="CW194" s="22" t="e">
        <f t="shared" si="174"/>
        <v>#NUM!</v>
      </c>
      <c r="CX194" s="62" t="e">
        <f t="shared" si="122"/>
        <v>#NUM!</v>
      </c>
      <c r="CY194" s="62">
        <f ca="1">AVERAGE(OFFSET($CX$3,0,0,'Données projet'!$E$13+1,1))-AVERAGE(OFFSET($H$3,0,0,'Données projet'!$E$13+1,1))</f>
        <v>491.87038198656927</v>
      </c>
      <c r="CZ194" s="62">
        <f t="shared" si="150"/>
        <v>406.49261644949559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0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-1.1368683772161603E-13</v>
      </c>
      <c r="DP194" s="18">
        <f>DO194*VLOOKUP('Données projet'!$B$14,Paramètres!$A$1:$I$89,3,0)*VLOOKUP('Données projet'!$B$14,Paramètres!$A$1:$I$89,5,0)</f>
        <v>-1.0995790944434703E-13</v>
      </c>
      <c r="DQ194" s="14" t="e">
        <f t="shared" si="176"/>
        <v>#NUM!</v>
      </c>
      <c r="DR194" s="22" t="e">
        <f t="shared" si="177"/>
        <v>#NUM!</v>
      </c>
      <c r="DS194" s="62" t="e">
        <f t="shared" si="125"/>
        <v>#NUM!</v>
      </c>
      <c r="DT194" s="62">
        <f ca="1">AVERAGE(OFFSET($DS$3,0,0,'Données projet'!$E$14+1,1))-AVERAGE(OFFSET($H$3,0,0,'Données projet'!$E$14+1,1))</f>
        <v>603.52431522262032</v>
      </c>
      <c r="DU194" s="62">
        <f t="shared" si="152"/>
        <v>313.56299786481338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projet'!$B$14,Paramètres!$A$1:$I$89,3,0)*0.475*44/12</f>
        <v>0</v>
      </c>
      <c r="EB194" s="23">
        <f>EXP(-LN(2)/25)*EB193+(1-EXP(-LN(2)/25))/(LN(2)/25)*Calculateur!DW194*Calculateur!DY194*VLOOKUP('Données projet'!$B$14,Paramètres!$A$1:$I$89,3,0)*0.475*44/12</f>
        <v>0</v>
      </c>
      <c r="EC194" s="23">
        <f>EXP(-LN(2)/2)*EC193+(1-EXP(-LN(2)/2))/(LN(2)/2)*DW194*DZ194*VLOOKUP('Données projet'!$B$14,Paramètres!$A$1:$I$89,3,0)*0.475*44/12</f>
        <v>0</v>
      </c>
      <c r="ED194" s="24">
        <f t="shared" si="178"/>
        <v>0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-1.1368683772161603E-13</v>
      </c>
      <c r="EK194" s="18">
        <f>EJ194*VLOOKUP('Données projet'!$B$15,Paramètres!$A$1:$I$89,3,0)*VLOOKUP('Données projet'!$B$15,Paramètres!$A$1:$I$89,5,0)</f>
        <v>-9.2222762759774927E-14</v>
      </c>
      <c r="EL194" s="14" t="e">
        <f t="shared" si="179"/>
        <v>#NUM!</v>
      </c>
      <c r="EM194" s="22" t="e">
        <f t="shared" si="180"/>
        <v>#NUM!</v>
      </c>
      <c r="EN194" s="62" t="e">
        <f t="shared" si="128"/>
        <v>#NUM!</v>
      </c>
      <c r="EO194" s="62">
        <f ca="1">AVERAGE(OFFSET($EN$3,0,0,'Données projet'!$E$15+1,1))-AVERAGE(OFFSET($H$3,0,0,'Données projet'!$E$15+1,1))</f>
        <v>272.69564942740931</v>
      </c>
      <c r="EP194" s="62">
        <f t="shared" si="154"/>
        <v>316.57989180609252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>
        <f>EXP(-LN(2)/35)*EV193+(1-EXP(-LN(2)/35))/(LN(2)/35)*ER194*ES194*VLOOKUP('Données projet'!$B$15,Paramètres!$A$1:$I$89,3,0)*0.475*44/12</f>
        <v>0</v>
      </c>
      <c r="EW194" s="23">
        <f>EXP(-LN(2)/25)*EW193+(1-EXP(-LN(2)/25))/(LN(2)/25)*Calculateur!ER194*Calculateur!ET194*VLOOKUP('Données projet'!$B$15,Paramètres!$A$1:$I$89,3,0)*0.475*44/12</f>
        <v>0</v>
      </c>
      <c r="EX194" s="23">
        <f>EXP(-LN(2)/2)*EX193+(1-EXP(-LN(2)/2))/(LN(2)/2)*ER194*EU194*VLOOKUP('Données projet'!$B$15,Paramètres!$A$1:$I$89,3,0)*0.475*44/12</f>
        <v>0</v>
      </c>
      <c r="EY194" s="24">
        <f t="shared" si="181"/>
        <v>0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-3.4106051316484809E-13</v>
      </c>
      <c r="FF194" s="18">
        <f>FE194*VLOOKUP('Données projet'!$B$16,Paramètres!$A$1:$I$89,3,0)*VLOOKUP('Données projet'!$B$16,Paramètres!$A$1:$I$89,5,0)</f>
        <v>-2.2878339223098009E-13</v>
      </c>
      <c r="FG194" s="14" t="e">
        <f t="shared" si="182"/>
        <v>#NUM!</v>
      </c>
      <c r="FH194" s="22" t="e">
        <f t="shared" si="183"/>
        <v>#NUM!</v>
      </c>
      <c r="FI194" s="62" t="e">
        <f t="shared" si="131"/>
        <v>#NUM!</v>
      </c>
      <c r="FJ194" s="62">
        <f ca="1">AVERAGE(OFFSET($FI$3,0,0,'Données projet'!$E$16+1,1))-AVERAGE(OFFSET($H$3,0,0,'Données projet'!$E$16+1,1))</f>
        <v>440.90856392064205</v>
      </c>
      <c r="FK194" s="62">
        <f t="shared" si="156"/>
        <v>373.33139300970629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>
        <f>EXP(-LN(2)/35)*FQ193+(1-EXP(-LN(2)/35))/(LN(2)/35)*FM194*FN194*VLOOKUP('Données projet'!$B$16,Paramètres!$A$1:$I$89,3,0)*0.475*44/12</f>
        <v>0</v>
      </c>
      <c r="FR194" s="23">
        <f>EXP(-LN(2)/25)*FR193+(1-EXP(-LN(2)/25))/(LN(2)/25)*Calculateur!FM194*Calculateur!FO194*VLOOKUP('Données projet'!$B$16,Paramètres!$A$1:$I$89,3,0)*0.475*44/12</f>
        <v>0</v>
      </c>
      <c r="FS194" s="23">
        <f>EXP(-LN(2)/2)*FS193+(1-EXP(-LN(2)/2))/(LN(2)/2)*FM194*FP194*VLOOKUP('Données projet'!$B$16,Paramètres!$A$1:$I$89,3,0)*0.475*44/12</f>
        <v>0</v>
      </c>
      <c r="FT194" s="24">
        <f t="shared" si="184"/>
        <v>0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70">
        <f t="shared" si="110"/>
        <v>183.33333333333334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-1.1368683772161603E-13</v>
      </c>
      <c r="O195" s="14">
        <f>N195*VLOOKUP('Données projet'!$B$9,Paramètres!$A$1:$I$89,3,0)*VLOOKUP('Données projet'!$B$9,Paramètres!$A$1:$I$89,5,0)</f>
        <v>-1.0286385077051818E-13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570.08763950759544</v>
      </c>
      <c r="T195" s="62">
        <f t="shared" si="142"/>
        <v>297.32483725004136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-2.2737367544323206E-13</v>
      </c>
      <c r="AJ195" s="14">
        <f>AI195*VLOOKUP('Données projet'!$B$10,Paramètres!$A$1:$I$89,3,0)*VLOOKUP('Données projet'!$B$10,Paramètres!$A$1:$I$89,5,0)</f>
        <v>-1.8089849618263545E-13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394.70330963327166</v>
      </c>
      <c r="AO195" s="62">
        <f t="shared" si="144"/>
        <v>424.06445894109982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-2.2737367544323206E-13</v>
      </c>
      <c r="BE195" s="14">
        <f>BD195*VLOOKUP('Données projet'!$B$11,Paramètres!$A$1:$I$89,3,0)*VLOOKUP('Données projet'!$B$11,Paramètres!$A$1:$I$89,5,0)</f>
        <v>-1.6671037883497774E-13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368.54671978064204</v>
      </c>
      <c r="BJ195" s="62">
        <f t="shared" si="146"/>
        <v>395.83504504492237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5.6843418860808015E-14</v>
      </c>
      <c r="BZ195" s="14">
        <f>BY195*VLOOKUP('Données projet'!$B$12,Paramètres!$A$1:$I$89,3,0)*VLOOKUP('Données projet'!$B$12,Paramètres!$A$1:$I$89,5,0)</f>
        <v>4.4337866711430253E-14</v>
      </c>
      <c r="CA195" s="14">
        <f t="shared" si="170"/>
        <v>7.3222115536967035E-13</v>
      </c>
      <c r="CB195" s="22">
        <f t="shared" si="171"/>
        <v>1.3525069634579169E-12</v>
      </c>
      <c r="CC195" s="62">
        <f t="shared" si="119"/>
        <v>290.14926793006703</v>
      </c>
      <c r="CD195" s="62">
        <f ca="1">AVERAGE(OFFSET($CC$3,0,0,'Données projet'!$E$12+1,1))-AVERAGE(OFFSET($H$3,0,0,'Données projet'!$E$12+1,1))</f>
        <v>309.21625451786218</v>
      </c>
      <c r="CE195" s="62">
        <f t="shared" si="148"/>
        <v>302.59481222418219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-2.8421709430404007E-13</v>
      </c>
      <c r="CU195" s="18">
        <f>CT195*VLOOKUP('Données projet'!$B$13,Paramètres!$A$1:$I$89,3,0)*VLOOKUP('Données projet'!$B$13,Paramètres!$A$1:$I$89,5,0)</f>
        <v>-2.7046098693972454E-13</v>
      </c>
      <c r="CV195" s="14" t="e">
        <f t="shared" si="173"/>
        <v>#NUM!</v>
      </c>
      <c r="CW195" s="22" t="e">
        <f t="shared" si="174"/>
        <v>#NUM!</v>
      </c>
      <c r="CX195" s="62" t="e">
        <f t="shared" si="122"/>
        <v>#NUM!</v>
      </c>
      <c r="CY195" s="62">
        <f ca="1">AVERAGE(OFFSET($CX$3,0,0,'Données projet'!$E$13+1,1))-AVERAGE(OFFSET($H$3,0,0,'Données projet'!$E$13+1,1))</f>
        <v>491.87038198656927</v>
      </c>
      <c r="CZ195" s="62">
        <f t="shared" si="150"/>
        <v>406.49261644949559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0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-1.1368683772161603E-13</v>
      </c>
      <c r="DP195" s="18">
        <f>DO195*VLOOKUP('Données projet'!$B$14,Paramètres!$A$1:$I$89,3,0)*VLOOKUP('Données projet'!$B$14,Paramètres!$A$1:$I$89,5,0)</f>
        <v>-1.0995790944434703E-13</v>
      </c>
      <c r="DQ195" s="14" t="e">
        <f t="shared" si="176"/>
        <v>#NUM!</v>
      </c>
      <c r="DR195" s="22" t="e">
        <f t="shared" si="177"/>
        <v>#NUM!</v>
      </c>
      <c r="DS195" s="62" t="e">
        <f t="shared" si="125"/>
        <v>#NUM!</v>
      </c>
      <c r="DT195" s="62">
        <f ca="1">AVERAGE(OFFSET($DS$3,0,0,'Données projet'!$E$14+1,1))-AVERAGE(OFFSET($H$3,0,0,'Données projet'!$E$14+1,1))</f>
        <v>603.52431522262032</v>
      </c>
      <c r="DU195" s="62">
        <f t="shared" si="152"/>
        <v>313.56299786481338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projet'!$B$14,Paramètres!$A$1:$I$89,3,0)*0.475*44/12</f>
        <v>0</v>
      </c>
      <c r="EB195" s="23">
        <f>EXP(-LN(2)/25)*EB194+(1-EXP(-LN(2)/25))/(LN(2)/25)*Calculateur!DW195*Calculateur!DY195*VLOOKUP('Données projet'!$B$14,Paramètres!$A$1:$I$89,3,0)*0.475*44/12</f>
        <v>0</v>
      </c>
      <c r="EC195" s="23">
        <f>EXP(-LN(2)/2)*EC194+(1-EXP(-LN(2)/2))/(LN(2)/2)*DW195*DZ195*VLOOKUP('Données projet'!$B$14,Paramètres!$A$1:$I$89,3,0)*0.475*44/12</f>
        <v>0</v>
      </c>
      <c r="ED195" s="24">
        <f t="shared" si="178"/>
        <v>0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-1.1368683772161603E-13</v>
      </c>
      <c r="EK195" s="18">
        <f>EJ195*VLOOKUP('Données projet'!$B$15,Paramètres!$A$1:$I$89,3,0)*VLOOKUP('Données projet'!$B$15,Paramètres!$A$1:$I$89,5,0)</f>
        <v>-9.2222762759774927E-14</v>
      </c>
      <c r="EL195" s="14" t="e">
        <f t="shared" si="179"/>
        <v>#NUM!</v>
      </c>
      <c r="EM195" s="22" t="e">
        <f t="shared" si="180"/>
        <v>#NUM!</v>
      </c>
      <c r="EN195" s="62" t="e">
        <f t="shared" si="128"/>
        <v>#NUM!</v>
      </c>
      <c r="EO195" s="62">
        <f ca="1">AVERAGE(OFFSET($EN$3,0,0,'Données projet'!$E$15+1,1))-AVERAGE(OFFSET($H$3,0,0,'Données projet'!$E$15+1,1))</f>
        <v>272.69564942740931</v>
      </c>
      <c r="EP195" s="62">
        <f t="shared" si="154"/>
        <v>316.57989180609252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>
        <f>EXP(-LN(2)/35)*EV194+(1-EXP(-LN(2)/35))/(LN(2)/35)*ER195*ES195*VLOOKUP('Données projet'!$B$15,Paramètres!$A$1:$I$89,3,0)*0.475*44/12</f>
        <v>0</v>
      </c>
      <c r="EW195" s="23">
        <f>EXP(-LN(2)/25)*EW194+(1-EXP(-LN(2)/25))/(LN(2)/25)*Calculateur!ER195*Calculateur!ET195*VLOOKUP('Données projet'!$B$15,Paramètres!$A$1:$I$89,3,0)*0.475*44/12</f>
        <v>0</v>
      </c>
      <c r="EX195" s="23">
        <f>EXP(-LN(2)/2)*EX194+(1-EXP(-LN(2)/2))/(LN(2)/2)*ER195*EU195*VLOOKUP('Données projet'!$B$15,Paramètres!$A$1:$I$89,3,0)*0.475*44/12</f>
        <v>0</v>
      </c>
      <c r="EY195" s="24">
        <f t="shared" si="181"/>
        <v>0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-3.4106051316484809E-13</v>
      </c>
      <c r="FF195" s="18">
        <f>FE195*VLOOKUP('Données projet'!$B$16,Paramètres!$A$1:$I$89,3,0)*VLOOKUP('Données projet'!$B$16,Paramètres!$A$1:$I$89,5,0)</f>
        <v>-2.2878339223098009E-13</v>
      </c>
      <c r="FG195" s="14" t="e">
        <f t="shared" si="182"/>
        <v>#NUM!</v>
      </c>
      <c r="FH195" s="22" t="e">
        <f t="shared" si="183"/>
        <v>#NUM!</v>
      </c>
      <c r="FI195" s="62" t="e">
        <f t="shared" si="131"/>
        <v>#NUM!</v>
      </c>
      <c r="FJ195" s="62">
        <f ca="1">AVERAGE(OFFSET($FI$3,0,0,'Données projet'!$E$16+1,1))-AVERAGE(OFFSET($H$3,0,0,'Données projet'!$E$16+1,1))</f>
        <v>440.90856392064205</v>
      </c>
      <c r="FK195" s="62">
        <f t="shared" si="156"/>
        <v>373.33139300970629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>
        <f>EXP(-LN(2)/35)*FQ194+(1-EXP(-LN(2)/35))/(LN(2)/35)*FM195*FN195*VLOOKUP('Données projet'!$B$16,Paramètres!$A$1:$I$89,3,0)*0.475*44/12</f>
        <v>0</v>
      </c>
      <c r="FR195" s="23">
        <f>EXP(-LN(2)/25)*FR194+(1-EXP(-LN(2)/25))/(LN(2)/25)*Calculateur!FM195*Calculateur!FO195*VLOOKUP('Données projet'!$B$16,Paramètres!$A$1:$I$89,3,0)*0.475*44/12</f>
        <v>0</v>
      </c>
      <c r="FS195" s="23">
        <f>EXP(-LN(2)/2)*FS194+(1-EXP(-LN(2)/2))/(LN(2)/2)*FM195*FP195*VLOOKUP('Données projet'!$B$16,Paramètres!$A$1:$I$89,3,0)*0.475*44/12</f>
        <v>0</v>
      </c>
      <c r="FT195" s="24">
        <f t="shared" si="184"/>
        <v>0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70">
        <f t="shared" ref="H196:H203" si="192">(B196+E196+F196)*44/12+(C196+D196)*0.475*44/12</f>
        <v>183.33333333333334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-1.1368683772161603E-13</v>
      </c>
      <c r="O196" s="14">
        <f>N196*VLOOKUP('Données projet'!$B$9,Paramètres!$A$1:$I$89,3,0)*VLOOKUP('Données projet'!$B$9,Paramètres!$A$1:$I$89,5,0)</f>
        <v>-1.0286385077051818E-13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570.08763950759544</v>
      </c>
      <c r="T196" s="62">
        <f t="shared" si="142"/>
        <v>297.32483725004136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-2.2737367544323206E-13</v>
      </c>
      <c r="AJ196" s="14">
        <f>AI196*VLOOKUP('Données projet'!$B$10,Paramètres!$A$1:$I$89,3,0)*VLOOKUP('Données projet'!$B$10,Paramètres!$A$1:$I$89,5,0)</f>
        <v>-1.8089849618263545E-13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394.70330963327166</v>
      </c>
      <c r="AO196" s="62">
        <f t="shared" si="144"/>
        <v>424.06445894109982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-2.2737367544323206E-13</v>
      </c>
      <c r="BE196" s="14">
        <f>BD196*VLOOKUP('Données projet'!$B$11,Paramètres!$A$1:$I$89,3,0)*VLOOKUP('Données projet'!$B$11,Paramètres!$A$1:$I$89,5,0)</f>
        <v>-1.6671037883497774E-13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368.54671978064204</v>
      </c>
      <c r="BJ196" s="62">
        <f t="shared" si="146"/>
        <v>395.83504504492237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5.6843418860808015E-14</v>
      </c>
      <c r="BZ196" s="14">
        <f>BY196*VLOOKUP('Données projet'!$B$12,Paramètres!$A$1:$I$89,3,0)*VLOOKUP('Données projet'!$B$12,Paramètres!$A$1:$I$89,5,0)</f>
        <v>4.4337866711430253E-14</v>
      </c>
      <c r="CA196" s="14">
        <f t="shared" si="170"/>
        <v>7.3222115536967035E-13</v>
      </c>
      <c r="CB196" s="22">
        <f t="shared" si="171"/>
        <v>1.3525069634579169E-12</v>
      </c>
      <c r="CC196" s="62">
        <f t="shared" ref="CC196:CC203" si="195">CB196+(BT196+BU196)*44/12</f>
        <v>290.20450434630988</v>
      </c>
      <c r="CD196" s="62">
        <f ca="1">AVERAGE(OFFSET($CC$3,0,0,'Données projet'!$E$12+1,1))-AVERAGE(OFFSET($H$3,0,0,'Données projet'!$E$12+1,1))</f>
        <v>309.21625451786218</v>
      </c>
      <c r="CE196" s="62">
        <f t="shared" si="148"/>
        <v>302.59481222418219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-2.8421709430404007E-13</v>
      </c>
      <c r="CU196" s="18">
        <f>CT196*VLOOKUP('Données projet'!$B$13,Paramètres!$A$1:$I$89,3,0)*VLOOKUP('Données projet'!$B$13,Paramètres!$A$1:$I$89,5,0)</f>
        <v>-2.7046098693972454E-13</v>
      </c>
      <c r="CV196" s="14" t="e">
        <f t="shared" si="173"/>
        <v>#NUM!</v>
      </c>
      <c r="CW196" s="22" t="e">
        <f t="shared" si="174"/>
        <v>#NUM!</v>
      </c>
      <c r="CX196" s="62" t="e">
        <f t="shared" ref="CX196:CX203" si="196">CW196+(CO196+CP196)*44/12</f>
        <v>#NUM!</v>
      </c>
      <c r="CY196" s="62">
        <f ca="1">AVERAGE(OFFSET($CX$3,0,0,'Données projet'!$E$13+1,1))-AVERAGE(OFFSET($H$3,0,0,'Données projet'!$E$13+1,1))</f>
        <v>491.87038198656927</v>
      </c>
      <c r="CZ196" s="62">
        <f t="shared" si="150"/>
        <v>406.49261644949559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0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-1.1368683772161603E-13</v>
      </c>
      <c r="DP196" s="18">
        <f>DO196*VLOOKUP('Données projet'!$B$14,Paramètres!$A$1:$I$89,3,0)*VLOOKUP('Données projet'!$B$14,Paramètres!$A$1:$I$89,5,0)</f>
        <v>-1.0995790944434703E-13</v>
      </c>
      <c r="DQ196" s="14" t="e">
        <f t="shared" si="176"/>
        <v>#NUM!</v>
      </c>
      <c r="DR196" s="22" t="e">
        <f t="shared" si="177"/>
        <v>#NUM!</v>
      </c>
      <c r="DS196" s="62" t="e">
        <f t="shared" ref="DS196:DS203" si="197">DR196+(DJ196+DK196)*44/12</f>
        <v>#NUM!</v>
      </c>
      <c r="DT196" s="62">
        <f ca="1">AVERAGE(OFFSET($DS$3,0,0,'Données projet'!$E$14+1,1))-AVERAGE(OFFSET($H$3,0,0,'Données projet'!$E$14+1,1))</f>
        <v>603.52431522262032</v>
      </c>
      <c r="DU196" s="62">
        <f t="shared" si="152"/>
        <v>313.56299786481338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projet'!$B$14,Paramètres!$A$1:$I$89,3,0)*0.475*44/12</f>
        <v>0</v>
      </c>
      <c r="EB196" s="23">
        <f>EXP(-LN(2)/25)*EB195+(1-EXP(-LN(2)/25))/(LN(2)/25)*Calculateur!DW196*Calculateur!DY196*VLOOKUP('Données projet'!$B$14,Paramètres!$A$1:$I$89,3,0)*0.475*44/12</f>
        <v>0</v>
      </c>
      <c r="EC196" s="23">
        <f>EXP(-LN(2)/2)*EC195+(1-EXP(-LN(2)/2))/(LN(2)/2)*DW196*DZ196*VLOOKUP('Données projet'!$B$14,Paramètres!$A$1:$I$89,3,0)*0.475*44/12</f>
        <v>0</v>
      </c>
      <c r="ED196" s="24">
        <f t="shared" si="178"/>
        <v>0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-1.1368683772161603E-13</v>
      </c>
      <c r="EK196" s="18">
        <f>EJ196*VLOOKUP('Données projet'!$B$15,Paramètres!$A$1:$I$89,3,0)*VLOOKUP('Données projet'!$B$15,Paramètres!$A$1:$I$89,5,0)</f>
        <v>-9.2222762759774927E-14</v>
      </c>
      <c r="EL196" s="14" t="e">
        <f t="shared" si="179"/>
        <v>#NUM!</v>
      </c>
      <c r="EM196" s="22" t="e">
        <f t="shared" si="180"/>
        <v>#NUM!</v>
      </c>
      <c r="EN196" s="62" t="e">
        <f t="shared" ref="EN196:EN203" si="198">EM196+(EE196+EF196)*44/12</f>
        <v>#NUM!</v>
      </c>
      <c r="EO196" s="62">
        <f ca="1">AVERAGE(OFFSET($EN$3,0,0,'Données projet'!$E$15+1,1))-AVERAGE(OFFSET($H$3,0,0,'Données projet'!$E$15+1,1))</f>
        <v>272.69564942740931</v>
      </c>
      <c r="EP196" s="62">
        <f t="shared" si="154"/>
        <v>316.57989180609252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>
        <f>EXP(-LN(2)/35)*EV195+(1-EXP(-LN(2)/35))/(LN(2)/35)*ER196*ES196*VLOOKUP('Données projet'!$B$15,Paramètres!$A$1:$I$89,3,0)*0.475*44/12</f>
        <v>0</v>
      </c>
      <c r="EW196" s="23">
        <f>EXP(-LN(2)/25)*EW195+(1-EXP(-LN(2)/25))/(LN(2)/25)*Calculateur!ER196*Calculateur!ET196*VLOOKUP('Données projet'!$B$15,Paramètres!$A$1:$I$89,3,0)*0.475*44/12</f>
        <v>0</v>
      </c>
      <c r="EX196" s="23">
        <f>EXP(-LN(2)/2)*EX195+(1-EXP(-LN(2)/2))/(LN(2)/2)*ER196*EU196*VLOOKUP('Données projet'!$B$15,Paramètres!$A$1:$I$89,3,0)*0.475*44/12</f>
        <v>0</v>
      </c>
      <c r="EY196" s="24">
        <f t="shared" si="181"/>
        <v>0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-3.4106051316484809E-13</v>
      </c>
      <c r="FF196" s="18">
        <f>FE196*VLOOKUP('Données projet'!$B$16,Paramètres!$A$1:$I$89,3,0)*VLOOKUP('Données projet'!$B$16,Paramètres!$A$1:$I$89,5,0)</f>
        <v>-2.2878339223098009E-13</v>
      </c>
      <c r="FG196" s="14" t="e">
        <f t="shared" si="182"/>
        <v>#NUM!</v>
      </c>
      <c r="FH196" s="22" t="e">
        <f t="shared" si="183"/>
        <v>#NUM!</v>
      </c>
      <c r="FI196" s="62" t="e">
        <f t="shared" ref="FI196:FI203" si="199">FH196+(EZ196+FA196)*44/12</f>
        <v>#NUM!</v>
      </c>
      <c r="FJ196" s="62">
        <f ca="1">AVERAGE(OFFSET($FI$3,0,0,'Données projet'!$E$16+1,1))-AVERAGE(OFFSET($H$3,0,0,'Données projet'!$E$16+1,1))</f>
        <v>440.90856392064205</v>
      </c>
      <c r="FK196" s="62">
        <f t="shared" si="156"/>
        <v>373.33139300970629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>
        <f>EXP(-LN(2)/35)*FQ195+(1-EXP(-LN(2)/35))/(LN(2)/35)*FM196*FN196*VLOOKUP('Données projet'!$B$16,Paramètres!$A$1:$I$89,3,0)*0.475*44/12</f>
        <v>0</v>
      </c>
      <c r="FR196" s="23">
        <f>EXP(-LN(2)/25)*FR195+(1-EXP(-LN(2)/25))/(LN(2)/25)*Calculateur!FM196*Calculateur!FO196*VLOOKUP('Données projet'!$B$16,Paramètres!$A$1:$I$89,3,0)*0.475*44/12</f>
        <v>0</v>
      </c>
      <c r="FS196" s="23">
        <f>EXP(-LN(2)/2)*FS195+(1-EXP(-LN(2)/2))/(LN(2)/2)*FM196*FP196*VLOOKUP('Données projet'!$B$16,Paramètres!$A$1:$I$89,3,0)*0.475*44/12</f>
        <v>0</v>
      </c>
      <c r="FT196" s="24">
        <f t="shared" si="184"/>
        <v>0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70">
        <f t="shared" si="192"/>
        <v>183.33333333333334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-1.1368683772161603E-13</v>
      </c>
      <c r="O197" s="14">
        <f>N197*VLOOKUP('Données projet'!$B$9,Paramètres!$A$1:$I$89,3,0)*VLOOKUP('Données projet'!$B$9,Paramètres!$A$1:$I$89,5,0)</f>
        <v>-1.0286385077051818E-13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570.08763950759544</v>
      </c>
      <c r="T197" s="62">
        <f t="shared" ref="T197:T203" si="204">$T$3</f>
        <v>297.32483725004136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-2.2737367544323206E-13</v>
      </c>
      <c r="AJ197" s="14">
        <f>AI197*VLOOKUP('Données projet'!$B$10,Paramètres!$A$1:$I$89,3,0)*VLOOKUP('Données projet'!$B$10,Paramètres!$A$1:$I$89,5,0)</f>
        <v>-1.8089849618263545E-13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394.70330963327166</v>
      </c>
      <c r="AO197" s="62">
        <f t="shared" ref="AO197:AO203" si="205">$AO$3</f>
        <v>424.06445894109982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-2.2737367544323206E-13</v>
      </c>
      <c r="BE197" s="14">
        <f>BD197*VLOOKUP('Données projet'!$B$11,Paramètres!$A$1:$I$89,3,0)*VLOOKUP('Données projet'!$B$11,Paramètres!$A$1:$I$89,5,0)</f>
        <v>-1.6671037883497774E-13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368.54671978064204</v>
      </c>
      <c r="BJ197" s="62">
        <f t="shared" ref="BJ197:BJ203" si="206">$BJ$3</f>
        <v>395.83504504492237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5.6843418860808015E-14</v>
      </c>
      <c r="BZ197" s="14">
        <f>BY197*VLOOKUP('Données projet'!$B$12,Paramètres!$A$1:$I$89,3,0)*VLOOKUP('Données projet'!$B$12,Paramètres!$A$1:$I$89,5,0)</f>
        <v>4.4337866711430253E-14</v>
      </c>
      <c r="CA197" s="14">
        <f t="shared" si="170"/>
        <v>7.3222115536967035E-13</v>
      </c>
      <c r="CB197" s="22">
        <f t="shared" si="171"/>
        <v>1.3525069634579169E-12</v>
      </c>
      <c r="CC197" s="62">
        <f t="shared" si="195"/>
        <v>290.2587825342211</v>
      </c>
      <c r="CD197" s="62">
        <f ca="1">AVERAGE(OFFSET($CC$3,0,0,'Données projet'!$E$12+1,1))-AVERAGE(OFFSET($H$3,0,0,'Données projet'!$E$12+1,1))</f>
        <v>309.21625451786218</v>
      </c>
      <c r="CE197" s="62">
        <f t="shared" ref="CE197:CE203" si="207">$CE$3</f>
        <v>302.59481222418219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-2.8421709430404007E-13</v>
      </c>
      <c r="CU197" s="18">
        <f>CT197*VLOOKUP('Données projet'!$B$13,Paramètres!$A$1:$I$89,3,0)*VLOOKUP('Données projet'!$B$13,Paramètres!$A$1:$I$89,5,0)</f>
        <v>-2.7046098693972454E-13</v>
      </c>
      <c r="CV197" s="14" t="e">
        <f t="shared" si="173"/>
        <v>#NUM!</v>
      </c>
      <c r="CW197" s="22" t="e">
        <f t="shared" si="174"/>
        <v>#NUM!</v>
      </c>
      <c r="CX197" s="62" t="e">
        <f t="shared" si="196"/>
        <v>#NUM!</v>
      </c>
      <c r="CY197" s="62">
        <f ca="1">AVERAGE(OFFSET($CX$3,0,0,'Données projet'!$E$13+1,1))-AVERAGE(OFFSET($H$3,0,0,'Données projet'!$E$13+1,1))</f>
        <v>491.87038198656927</v>
      </c>
      <c r="CZ197" s="62">
        <f t="shared" ref="CZ197:CZ203" si="208">$CZ$3</f>
        <v>406.49261644949559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0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-1.1368683772161603E-13</v>
      </c>
      <c r="DP197" s="18">
        <f>DO197*VLOOKUP('Données projet'!$B$14,Paramètres!$A$1:$I$89,3,0)*VLOOKUP('Données projet'!$B$14,Paramètres!$A$1:$I$89,5,0)</f>
        <v>-1.0995790944434703E-13</v>
      </c>
      <c r="DQ197" s="14" t="e">
        <f t="shared" si="176"/>
        <v>#NUM!</v>
      </c>
      <c r="DR197" s="22" t="e">
        <f t="shared" si="177"/>
        <v>#NUM!</v>
      </c>
      <c r="DS197" s="62" t="e">
        <f t="shared" si="197"/>
        <v>#NUM!</v>
      </c>
      <c r="DT197" s="62">
        <f ca="1">AVERAGE(OFFSET($DS$3,0,0,'Données projet'!$E$14+1,1))-AVERAGE(OFFSET($H$3,0,0,'Données projet'!$E$14+1,1))</f>
        <v>603.52431522262032</v>
      </c>
      <c r="DU197" s="62">
        <f t="shared" ref="DU197:DU203" si="209">$DU$3</f>
        <v>313.56299786481338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projet'!$B$14,Paramètres!$A$1:$I$89,3,0)*0.475*44/12</f>
        <v>0</v>
      </c>
      <c r="EB197" s="23">
        <f>EXP(-LN(2)/25)*EB196+(1-EXP(-LN(2)/25))/(LN(2)/25)*Calculateur!DW197*Calculateur!DY197*VLOOKUP('Données projet'!$B$14,Paramètres!$A$1:$I$89,3,0)*0.475*44/12</f>
        <v>0</v>
      </c>
      <c r="EC197" s="23">
        <f>EXP(-LN(2)/2)*EC196+(1-EXP(-LN(2)/2))/(LN(2)/2)*DW197*DZ197*VLOOKUP('Données projet'!$B$14,Paramètres!$A$1:$I$89,3,0)*0.475*44/12</f>
        <v>0</v>
      </c>
      <c r="ED197" s="24">
        <f t="shared" si="178"/>
        <v>0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-1.1368683772161603E-13</v>
      </c>
      <c r="EK197" s="18">
        <f>EJ197*VLOOKUP('Données projet'!$B$15,Paramètres!$A$1:$I$89,3,0)*VLOOKUP('Données projet'!$B$15,Paramètres!$A$1:$I$89,5,0)</f>
        <v>-9.2222762759774927E-14</v>
      </c>
      <c r="EL197" s="14" t="e">
        <f t="shared" si="179"/>
        <v>#NUM!</v>
      </c>
      <c r="EM197" s="22" t="e">
        <f t="shared" si="180"/>
        <v>#NUM!</v>
      </c>
      <c r="EN197" s="62" t="e">
        <f t="shared" si="198"/>
        <v>#NUM!</v>
      </c>
      <c r="EO197" s="62">
        <f ca="1">AVERAGE(OFFSET($EN$3,0,0,'Données projet'!$E$15+1,1))-AVERAGE(OFFSET($H$3,0,0,'Données projet'!$E$15+1,1))</f>
        <v>272.69564942740931</v>
      </c>
      <c r="EP197" s="62">
        <f t="shared" ref="EP197:EP203" si="210">$EP$3</f>
        <v>316.57989180609252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>
        <f>EXP(-LN(2)/35)*EV196+(1-EXP(-LN(2)/35))/(LN(2)/35)*ER197*ES197*VLOOKUP('Données projet'!$B$15,Paramètres!$A$1:$I$89,3,0)*0.475*44/12</f>
        <v>0</v>
      </c>
      <c r="EW197" s="23">
        <f>EXP(-LN(2)/25)*EW196+(1-EXP(-LN(2)/25))/(LN(2)/25)*Calculateur!ER197*Calculateur!ET197*VLOOKUP('Données projet'!$B$15,Paramètres!$A$1:$I$89,3,0)*0.475*44/12</f>
        <v>0</v>
      </c>
      <c r="EX197" s="23">
        <f>EXP(-LN(2)/2)*EX196+(1-EXP(-LN(2)/2))/(LN(2)/2)*ER197*EU197*VLOOKUP('Données projet'!$B$15,Paramètres!$A$1:$I$89,3,0)*0.475*44/12</f>
        <v>0</v>
      </c>
      <c r="EY197" s="24">
        <f t="shared" si="181"/>
        <v>0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-3.4106051316484809E-13</v>
      </c>
      <c r="FF197" s="18">
        <f>FE197*VLOOKUP('Données projet'!$B$16,Paramètres!$A$1:$I$89,3,0)*VLOOKUP('Données projet'!$B$16,Paramètres!$A$1:$I$89,5,0)</f>
        <v>-2.2878339223098009E-13</v>
      </c>
      <c r="FG197" s="14" t="e">
        <f t="shared" si="182"/>
        <v>#NUM!</v>
      </c>
      <c r="FH197" s="22" t="e">
        <f t="shared" si="183"/>
        <v>#NUM!</v>
      </c>
      <c r="FI197" s="62" t="e">
        <f t="shared" si="199"/>
        <v>#NUM!</v>
      </c>
      <c r="FJ197" s="62">
        <f ca="1">AVERAGE(OFFSET($FI$3,0,0,'Données projet'!$E$16+1,1))-AVERAGE(OFFSET($H$3,0,0,'Données projet'!$E$16+1,1))</f>
        <v>440.90856392064205</v>
      </c>
      <c r="FK197" s="62">
        <f t="shared" ref="FK197:FK203" si="211">$FK$3</f>
        <v>373.33139300970629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>
        <f>EXP(-LN(2)/35)*FQ196+(1-EXP(-LN(2)/35))/(LN(2)/35)*FM197*FN197*VLOOKUP('Données projet'!$B$16,Paramètres!$A$1:$I$89,3,0)*0.475*44/12</f>
        <v>0</v>
      </c>
      <c r="FR197" s="23">
        <f>EXP(-LN(2)/25)*FR196+(1-EXP(-LN(2)/25))/(LN(2)/25)*Calculateur!FM197*Calculateur!FO197*VLOOKUP('Données projet'!$B$16,Paramètres!$A$1:$I$89,3,0)*0.475*44/12</f>
        <v>0</v>
      </c>
      <c r="FS197" s="23">
        <f>EXP(-LN(2)/2)*FS196+(1-EXP(-LN(2)/2))/(LN(2)/2)*FM197*FP197*VLOOKUP('Données projet'!$B$16,Paramètres!$A$1:$I$89,3,0)*0.475*44/12</f>
        <v>0</v>
      </c>
      <c r="FT197" s="24">
        <f t="shared" si="184"/>
        <v>0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70">
        <f t="shared" si="192"/>
        <v>183.33333333333334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-1.1368683772161603E-13</v>
      </c>
      <c r="O198" s="14">
        <f>N198*VLOOKUP('Données projet'!$B$9,Paramètres!$A$1:$I$89,3,0)*VLOOKUP('Données projet'!$B$9,Paramètres!$A$1:$I$89,5,0)</f>
        <v>-1.0286385077051818E-13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570.08763950759544</v>
      </c>
      <c r="T198" s="62">
        <f t="shared" si="204"/>
        <v>297.32483725004136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-2.2737367544323206E-13</v>
      </c>
      <c r="AJ198" s="14">
        <f>AI198*VLOOKUP('Données projet'!$B$10,Paramètres!$A$1:$I$89,3,0)*VLOOKUP('Données projet'!$B$10,Paramètres!$A$1:$I$89,5,0)</f>
        <v>-1.8089849618263545E-13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394.70330963327166</v>
      </c>
      <c r="AO198" s="62">
        <f t="shared" si="205"/>
        <v>424.06445894109982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-2.2737367544323206E-13</v>
      </c>
      <c r="BE198" s="14">
        <f>BD198*VLOOKUP('Données projet'!$B$11,Paramètres!$A$1:$I$89,3,0)*VLOOKUP('Données projet'!$B$11,Paramètres!$A$1:$I$89,5,0)</f>
        <v>-1.6671037883497774E-13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368.54671978064204</v>
      </c>
      <c r="BJ198" s="62">
        <f t="shared" si="206"/>
        <v>395.83504504492237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5.6843418860808015E-14</v>
      </c>
      <c r="BZ198" s="14">
        <f>BY198*VLOOKUP('Données projet'!$B$12,Paramètres!$A$1:$I$89,3,0)*VLOOKUP('Données projet'!$B$12,Paramètres!$A$1:$I$89,5,0)</f>
        <v>4.4337866711430253E-14</v>
      </c>
      <c r="CA198" s="14">
        <f t="shared" si="170"/>
        <v>7.3222115536967035E-13</v>
      </c>
      <c r="CB198" s="22">
        <f t="shared" si="171"/>
        <v>1.3525069634579169E-12</v>
      </c>
      <c r="CC198" s="62">
        <f t="shared" si="195"/>
        <v>290.31211911691986</v>
      </c>
      <c r="CD198" s="62">
        <f ca="1">AVERAGE(OFFSET($CC$3,0,0,'Données projet'!$E$12+1,1))-AVERAGE(OFFSET($H$3,0,0,'Données projet'!$E$12+1,1))</f>
        <v>309.21625451786218</v>
      </c>
      <c r="CE198" s="62">
        <f t="shared" si="207"/>
        <v>302.59481222418219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-2.8421709430404007E-13</v>
      </c>
      <c r="CU198" s="18">
        <f>CT198*VLOOKUP('Données projet'!$B$13,Paramètres!$A$1:$I$89,3,0)*VLOOKUP('Données projet'!$B$13,Paramètres!$A$1:$I$89,5,0)</f>
        <v>-2.7046098693972454E-13</v>
      </c>
      <c r="CV198" s="14" t="e">
        <f t="shared" si="173"/>
        <v>#NUM!</v>
      </c>
      <c r="CW198" s="22" t="e">
        <f t="shared" si="174"/>
        <v>#NUM!</v>
      </c>
      <c r="CX198" s="62" t="e">
        <f t="shared" si="196"/>
        <v>#NUM!</v>
      </c>
      <c r="CY198" s="62">
        <f ca="1">AVERAGE(OFFSET($CX$3,0,0,'Données projet'!$E$13+1,1))-AVERAGE(OFFSET($H$3,0,0,'Données projet'!$E$13+1,1))</f>
        <v>491.87038198656927</v>
      </c>
      <c r="CZ198" s="62">
        <f t="shared" si="208"/>
        <v>406.49261644949559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0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-1.1368683772161603E-13</v>
      </c>
      <c r="DP198" s="18">
        <f>DO198*VLOOKUP('Données projet'!$B$14,Paramètres!$A$1:$I$89,3,0)*VLOOKUP('Données projet'!$B$14,Paramètres!$A$1:$I$89,5,0)</f>
        <v>-1.0995790944434703E-13</v>
      </c>
      <c r="DQ198" s="14" t="e">
        <f t="shared" si="176"/>
        <v>#NUM!</v>
      </c>
      <c r="DR198" s="22" t="e">
        <f t="shared" si="177"/>
        <v>#NUM!</v>
      </c>
      <c r="DS198" s="62" t="e">
        <f t="shared" si="197"/>
        <v>#NUM!</v>
      </c>
      <c r="DT198" s="62">
        <f ca="1">AVERAGE(OFFSET($DS$3,0,0,'Données projet'!$E$14+1,1))-AVERAGE(OFFSET($H$3,0,0,'Données projet'!$E$14+1,1))</f>
        <v>603.52431522262032</v>
      </c>
      <c r="DU198" s="62">
        <f t="shared" si="209"/>
        <v>313.56299786481338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projet'!$B$14,Paramètres!$A$1:$I$89,3,0)*0.475*44/12</f>
        <v>0</v>
      </c>
      <c r="EB198" s="23">
        <f>EXP(-LN(2)/25)*EB197+(1-EXP(-LN(2)/25))/(LN(2)/25)*Calculateur!DW198*Calculateur!DY198*VLOOKUP('Données projet'!$B$14,Paramètres!$A$1:$I$89,3,0)*0.475*44/12</f>
        <v>0</v>
      </c>
      <c r="EC198" s="23">
        <f>EXP(-LN(2)/2)*EC197+(1-EXP(-LN(2)/2))/(LN(2)/2)*DW198*DZ198*VLOOKUP('Données projet'!$B$14,Paramètres!$A$1:$I$89,3,0)*0.475*44/12</f>
        <v>0</v>
      </c>
      <c r="ED198" s="24">
        <f t="shared" si="178"/>
        <v>0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-1.1368683772161603E-13</v>
      </c>
      <c r="EK198" s="18">
        <f>EJ198*VLOOKUP('Données projet'!$B$15,Paramètres!$A$1:$I$89,3,0)*VLOOKUP('Données projet'!$B$15,Paramètres!$A$1:$I$89,5,0)</f>
        <v>-9.2222762759774927E-14</v>
      </c>
      <c r="EL198" s="14" t="e">
        <f t="shared" si="179"/>
        <v>#NUM!</v>
      </c>
      <c r="EM198" s="22" t="e">
        <f t="shared" si="180"/>
        <v>#NUM!</v>
      </c>
      <c r="EN198" s="62" t="e">
        <f t="shared" si="198"/>
        <v>#NUM!</v>
      </c>
      <c r="EO198" s="62">
        <f ca="1">AVERAGE(OFFSET($EN$3,0,0,'Données projet'!$E$15+1,1))-AVERAGE(OFFSET($H$3,0,0,'Données projet'!$E$15+1,1))</f>
        <v>272.69564942740931</v>
      </c>
      <c r="EP198" s="62">
        <f t="shared" si="210"/>
        <v>316.57989180609252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>
        <f>EXP(-LN(2)/35)*EV197+(1-EXP(-LN(2)/35))/(LN(2)/35)*ER198*ES198*VLOOKUP('Données projet'!$B$15,Paramètres!$A$1:$I$89,3,0)*0.475*44/12</f>
        <v>0</v>
      </c>
      <c r="EW198" s="23">
        <f>EXP(-LN(2)/25)*EW197+(1-EXP(-LN(2)/25))/(LN(2)/25)*Calculateur!ER198*Calculateur!ET198*VLOOKUP('Données projet'!$B$15,Paramètres!$A$1:$I$89,3,0)*0.475*44/12</f>
        <v>0</v>
      </c>
      <c r="EX198" s="23">
        <f>EXP(-LN(2)/2)*EX197+(1-EXP(-LN(2)/2))/(LN(2)/2)*ER198*EU198*VLOOKUP('Données projet'!$B$15,Paramètres!$A$1:$I$89,3,0)*0.475*44/12</f>
        <v>0</v>
      </c>
      <c r="EY198" s="24">
        <f t="shared" si="181"/>
        <v>0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-3.4106051316484809E-13</v>
      </c>
      <c r="FF198" s="18">
        <f>FE198*VLOOKUP('Données projet'!$B$16,Paramètres!$A$1:$I$89,3,0)*VLOOKUP('Données projet'!$B$16,Paramètres!$A$1:$I$89,5,0)</f>
        <v>-2.2878339223098009E-13</v>
      </c>
      <c r="FG198" s="14" t="e">
        <f t="shared" si="182"/>
        <v>#NUM!</v>
      </c>
      <c r="FH198" s="22" t="e">
        <f t="shared" si="183"/>
        <v>#NUM!</v>
      </c>
      <c r="FI198" s="62" t="e">
        <f t="shared" si="199"/>
        <v>#NUM!</v>
      </c>
      <c r="FJ198" s="62">
        <f ca="1">AVERAGE(OFFSET($FI$3,0,0,'Données projet'!$E$16+1,1))-AVERAGE(OFFSET($H$3,0,0,'Données projet'!$E$16+1,1))</f>
        <v>440.90856392064205</v>
      </c>
      <c r="FK198" s="62">
        <f t="shared" si="211"/>
        <v>373.33139300970629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>
        <f>EXP(-LN(2)/35)*FQ197+(1-EXP(-LN(2)/35))/(LN(2)/35)*FM198*FN198*VLOOKUP('Données projet'!$B$16,Paramètres!$A$1:$I$89,3,0)*0.475*44/12</f>
        <v>0</v>
      </c>
      <c r="FR198" s="23">
        <f>EXP(-LN(2)/25)*FR197+(1-EXP(-LN(2)/25))/(LN(2)/25)*Calculateur!FM198*Calculateur!FO198*VLOOKUP('Données projet'!$B$16,Paramètres!$A$1:$I$89,3,0)*0.475*44/12</f>
        <v>0</v>
      </c>
      <c r="FS198" s="23">
        <f>EXP(-LN(2)/2)*FS197+(1-EXP(-LN(2)/2))/(LN(2)/2)*FM198*FP198*VLOOKUP('Données projet'!$B$16,Paramètres!$A$1:$I$89,3,0)*0.475*44/12</f>
        <v>0</v>
      </c>
      <c r="FT198" s="24">
        <f t="shared" si="184"/>
        <v>0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70">
        <f t="shared" si="192"/>
        <v>183.33333333333334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-1.1368683772161603E-13</v>
      </c>
      <c r="O199" s="14">
        <f>N199*VLOOKUP('Données projet'!$B$9,Paramètres!$A$1:$I$89,3,0)*VLOOKUP('Données projet'!$B$9,Paramètres!$A$1:$I$89,5,0)</f>
        <v>-1.0286385077051818E-13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570.08763950759544</v>
      </c>
      <c r="T199" s="62">
        <f t="shared" si="204"/>
        <v>297.32483725004136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-2.2737367544323206E-13</v>
      </c>
      <c r="AJ199" s="14">
        <f>AI199*VLOOKUP('Données projet'!$B$10,Paramètres!$A$1:$I$89,3,0)*VLOOKUP('Données projet'!$B$10,Paramètres!$A$1:$I$89,5,0)</f>
        <v>-1.8089849618263545E-13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394.70330963327166</v>
      </c>
      <c r="AO199" s="62">
        <f t="shared" si="205"/>
        <v>424.06445894109982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-2.2737367544323206E-13</v>
      </c>
      <c r="BE199" s="14">
        <f>BD199*VLOOKUP('Données projet'!$B$11,Paramètres!$A$1:$I$89,3,0)*VLOOKUP('Données projet'!$B$11,Paramètres!$A$1:$I$89,5,0)</f>
        <v>-1.6671037883497774E-13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368.54671978064204</v>
      </c>
      <c r="BJ199" s="62">
        <f t="shared" si="206"/>
        <v>395.83504504492237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5.6843418860808015E-14</v>
      </c>
      <c r="BZ199" s="14">
        <f>BY199*VLOOKUP('Données projet'!$B$12,Paramètres!$A$1:$I$89,3,0)*VLOOKUP('Données projet'!$B$12,Paramètres!$A$1:$I$89,5,0)</f>
        <v>4.4337866711430253E-14</v>
      </c>
      <c r="CA199" s="14">
        <f t="shared" si="170"/>
        <v>7.3222115536967035E-13</v>
      </c>
      <c r="CB199" s="22">
        <f t="shared" si="171"/>
        <v>1.3525069634579169E-12</v>
      </c>
      <c r="CC199" s="62">
        <f t="shared" si="195"/>
        <v>290.36453042915156</v>
      </c>
      <c r="CD199" s="62">
        <f ca="1">AVERAGE(OFFSET($CC$3,0,0,'Données projet'!$E$12+1,1))-AVERAGE(OFFSET($H$3,0,0,'Données projet'!$E$12+1,1))</f>
        <v>309.21625451786218</v>
      </c>
      <c r="CE199" s="62">
        <f t="shared" si="207"/>
        <v>302.59481222418219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-2.8421709430404007E-13</v>
      </c>
      <c r="CU199" s="18">
        <f>CT199*VLOOKUP('Données projet'!$B$13,Paramètres!$A$1:$I$89,3,0)*VLOOKUP('Données projet'!$B$13,Paramètres!$A$1:$I$89,5,0)</f>
        <v>-2.7046098693972454E-13</v>
      </c>
      <c r="CV199" s="14" t="e">
        <f t="shared" si="173"/>
        <v>#NUM!</v>
      </c>
      <c r="CW199" s="22" t="e">
        <f t="shared" si="174"/>
        <v>#NUM!</v>
      </c>
      <c r="CX199" s="62" t="e">
        <f t="shared" si="196"/>
        <v>#NUM!</v>
      </c>
      <c r="CY199" s="62">
        <f ca="1">AVERAGE(OFFSET($CX$3,0,0,'Données projet'!$E$13+1,1))-AVERAGE(OFFSET($H$3,0,0,'Données projet'!$E$13+1,1))</f>
        <v>491.87038198656927</v>
      </c>
      <c r="CZ199" s="62">
        <f t="shared" si="208"/>
        <v>406.49261644949559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0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-1.1368683772161603E-13</v>
      </c>
      <c r="DP199" s="18">
        <f>DO199*VLOOKUP('Données projet'!$B$14,Paramètres!$A$1:$I$89,3,0)*VLOOKUP('Données projet'!$B$14,Paramètres!$A$1:$I$89,5,0)</f>
        <v>-1.0995790944434703E-13</v>
      </c>
      <c r="DQ199" s="14" t="e">
        <f t="shared" si="176"/>
        <v>#NUM!</v>
      </c>
      <c r="DR199" s="22" t="e">
        <f t="shared" si="177"/>
        <v>#NUM!</v>
      </c>
      <c r="DS199" s="62" t="e">
        <f t="shared" si="197"/>
        <v>#NUM!</v>
      </c>
      <c r="DT199" s="62">
        <f ca="1">AVERAGE(OFFSET($DS$3,0,0,'Données projet'!$E$14+1,1))-AVERAGE(OFFSET($H$3,0,0,'Données projet'!$E$14+1,1))</f>
        <v>603.52431522262032</v>
      </c>
      <c r="DU199" s="62">
        <f t="shared" si="209"/>
        <v>313.56299786481338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projet'!$B$14,Paramètres!$A$1:$I$89,3,0)*0.475*44/12</f>
        <v>0</v>
      </c>
      <c r="EB199" s="23">
        <f>EXP(-LN(2)/25)*EB198+(1-EXP(-LN(2)/25))/(LN(2)/25)*Calculateur!DW199*Calculateur!DY199*VLOOKUP('Données projet'!$B$14,Paramètres!$A$1:$I$89,3,0)*0.475*44/12</f>
        <v>0</v>
      </c>
      <c r="EC199" s="23">
        <f>EXP(-LN(2)/2)*EC198+(1-EXP(-LN(2)/2))/(LN(2)/2)*DW199*DZ199*VLOOKUP('Données projet'!$B$14,Paramètres!$A$1:$I$89,3,0)*0.475*44/12</f>
        <v>0</v>
      </c>
      <c r="ED199" s="24">
        <f t="shared" si="178"/>
        <v>0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-1.1368683772161603E-13</v>
      </c>
      <c r="EK199" s="18">
        <f>EJ199*VLOOKUP('Données projet'!$B$15,Paramètres!$A$1:$I$89,3,0)*VLOOKUP('Données projet'!$B$15,Paramètres!$A$1:$I$89,5,0)</f>
        <v>-9.2222762759774927E-14</v>
      </c>
      <c r="EL199" s="14" t="e">
        <f t="shared" si="179"/>
        <v>#NUM!</v>
      </c>
      <c r="EM199" s="22" t="e">
        <f t="shared" si="180"/>
        <v>#NUM!</v>
      </c>
      <c r="EN199" s="62" t="e">
        <f t="shared" si="198"/>
        <v>#NUM!</v>
      </c>
      <c r="EO199" s="62">
        <f ca="1">AVERAGE(OFFSET($EN$3,0,0,'Données projet'!$E$15+1,1))-AVERAGE(OFFSET($H$3,0,0,'Données projet'!$E$15+1,1))</f>
        <v>272.69564942740931</v>
      </c>
      <c r="EP199" s="62">
        <f t="shared" si="210"/>
        <v>316.57989180609252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>
        <f>EXP(-LN(2)/35)*EV198+(1-EXP(-LN(2)/35))/(LN(2)/35)*ER199*ES199*VLOOKUP('Données projet'!$B$15,Paramètres!$A$1:$I$89,3,0)*0.475*44/12</f>
        <v>0</v>
      </c>
      <c r="EW199" s="23">
        <f>EXP(-LN(2)/25)*EW198+(1-EXP(-LN(2)/25))/(LN(2)/25)*Calculateur!ER199*Calculateur!ET199*VLOOKUP('Données projet'!$B$15,Paramètres!$A$1:$I$89,3,0)*0.475*44/12</f>
        <v>0</v>
      </c>
      <c r="EX199" s="23">
        <f>EXP(-LN(2)/2)*EX198+(1-EXP(-LN(2)/2))/(LN(2)/2)*ER199*EU199*VLOOKUP('Données projet'!$B$15,Paramètres!$A$1:$I$89,3,0)*0.475*44/12</f>
        <v>0</v>
      </c>
      <c r="EY199" s="24">
        <f t="shared" si="181"/>
        <v>0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-3.4106051316484809E-13</v>
      </c>
      <c r="FF199" s="18">
        <f>FE199*VLOOKUP('Données projet'!$B$16,Paramètres!$A$1:$I$89,3,0)*VLOOKUP('Données projet'!$B$16,Paramètres!$A$1:$I$89,5,0)</f>
        <v>-2.2878339223098009E-13</v>
      </c>
      <c r="FG199" s="14" t="e">
        <f t="shared" si="182"/>
        <v>#NUM!</v>
      </c>
      <c r="FH199" s="22" t="e">
        <f t="shared" si="183"/>
        <v>#NUM!</v>
      </c>
      <c r="FI199" s="62" t="e">
        <f t="shared" si="199"/>
        <v>#NUM!</v>
      </c>
      <c r="FJ199" s="62">
        <f ca="1">AVERAGE(OFFSET($FI$3,0,0,'Données projet'!$E$16+1,1))-AVERAGE(OFFSET($H$3,0,0,'Données projet'!$E$16+1,1))</f>
        <v>440.90856392064205</v>
      </c>
      <c r="FK199" s="62">
        <f t="shared" si="211"/>
        <v>373.33139300970629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>
        <f>EXP(-LN(2)/35)*FQ198+(1-EXP(-LN(2)/35))/(LN(2)/35)*FM199*FN199*VLOOKUP('Données projet'!$B$16,Paramètres!$A$1:$I$89,3,0)*0.475*44/12</f>
        <v>0</v>
      </c>
      <c r="FR199" s="23">
        <f>EXP(-LN(2)/25)*FR198+(1-EXP(-LN(2)/25))/(LN(2)/25)*Calculateur!FM199*Calculateur!FO199*VLOOKUP('Données projet'!$B$16,Paramètres!$A$1:$I$89,3,0)*0.475*44/12</f>
        <v>0</v>
      </c>
      <c r="FS199" s="23">
        <f>EXP(-LN(2)/2)*FS198+(1-EXP(-LN(2)/2))/(LN(2)/2)*FM199*FP199*VLOOKUP('Données projet'!$B$16,Paramètres!$A$1:$I$89,3,0)*0.475*44/12</f>
        <v>0</v>
      </c>
      <c r="FT199" s="24">
        <f t="shared" si="184"/>
        <v>0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70">
        <f t="shared" si="192"/>
        <v>183.33333333333334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-1.1368683772161603E-13</v>
      </c>
      <c r="O200" s="14">
        <f>N200*VLOOKUP('Données projet'!$B$9,Paramètres!$A$1:$I$89,3,0)*VLOOKUP('Données projet'!$B$9,Paramètres!$A$1:$I$89,5,0)</f>
        <v>-1.0286385077051818E-13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570.08763950759544</v>
      </c>
      <c r="T200" s="62">
        <f t="shared" si="204"/>
        <v>297.32483725004136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-2.2737367544323206E-13</v>
      </c>
      <c r="AJ200" s="14">
        <f>AI200*VLOOKUP('Données projet'!$B$10,Paramètres!$A$1:$I$89,3,0)*VLOOKUP('Données projet'!$B$10,Paramètres!$A$1:$I$89,5,0)</f>
        <v>-1.8089849618263545E-13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394.70330963327166</v>
      </c>
      <c r="AO200" s="62">
        <f t="shared" si="205"/>
        <v>424.06445894109982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-2.2737367544323206E-13</v>
      </c>
      <c r="BE200" s="14">
        <f>BD200*VLOOKUP('Données projet'!$B$11,Paramètres!$A$1:$I$89,3,0)*VLOOKUP('Données projet'!$B$11,Paramètres!$A$1:$I$89,5,0)</f>
        <v>-1.6671037883497774E-13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368.54671978064204</v>
      </c>
      <c r="BJ200" s="62">
        <f t="shared" si="206"/>
        <v>395.83504504492237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5.6843418860808015E-14</v>
      </c>
      <c r="BZ200" s="14">
        <f>BY200*VLOOKUP('Données projet'!$B$12,Paramètres!$A$1:$I$89,3,0)*VLOOKUP('Données projet'!$B$12,Paramètres!$A$1:$I$89,5,0)</f>
        <v>4.4337866711430253E-14</v>
      </c>
      <c r="CA200" s="14">
        <f t="shared" si="170"/>
        <v>7.3222115536967035E-13</v>
      </c>
      <c r="CB200" s="22">
        <f t="shared" si="171"/>
        <v>1.3525069634579169E-12</v>
      </c>
      <c r="CC200" s="62">
        <f t="shared" si="195"/>
        <v>290.41603252229015</v>
      </c>
      <c r="CD200" s="62">
        <f ca="1">AVERAGE(OFFSET($CC$3,0,0,'Données projet'!$E$12+1,1))-AVERAGE(OFFSET($H$3,0,0,'Données projet'!$E$12+1,1))</f>
        <v>309.21625451786218</v>
      </c>
      <c r="CE200" s="62">
        <f t="shared" si="207"/>
        <v>302.59481222418219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-2.8421709430404007E-13</v>
      </c>
      <c r="CU200" s="18">
        <f>CT200*VLOOKUP('Données projet'!$B$13,Paramètres!$A$1:$I$89,3,0)*VLOOKUP('Données projet'!$B$13,Paramètres!$A$1:$I$89,5,0)</f>
        <v>-2.7046098693972454E-13</v>
      </c>
      <c r="CV200" s="14" t="e">
        <f t="shared" si="173"/>
        <v>#NUM!</v>
      </c>
      <c r="CW200" s="22" t="e">
        <f t="shared" si="174"/>
        <v>#NUM!</v>
      </c>
      <c r="CX200" s="62" t="e">
        <f t="shared" si="196"/>
        <v>#NUM!</v>
      </c>
      <c r="CY200" s="62">
        <f ca="1">AVERAGE(OFFSET($CX$3,0,0,'Données projet'!$E$13+1,1))-AVERAGE(OFFSET($H$3,0,0,'Données projet'!$E$13+1,1))</f>
        <v>491.87038198656927</v>
      </c>
      <c r="CZ200" s="62">
        <f t="shared" si="208"/>
        <v>406.49261644949559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0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-1.1368683772161603E-13</v>
      </c>
      <c r="DP200" s="18">
        <f>DO200*VLOOKUP('Données projet'!$B$14,Paramètres!$A$1:$I$89,3,0)*VLOOKUP('Données projet'!$B$14,Paramètres!$A$1:$I$89,5,0)</f>
        <v>-1.0995790944434703E-13</v>
      </c>
      <c r="DQ200" s="14" t="e">
        <f t="shared" si="176"/>
        <v>#NUM!</v>
      </c>
      <c r="DR200" s="22" t="e">
        <f t="shared" si="177"/>
        <v>#NUM!</v>
      </c>
      <c r="DS200" s="62" t="e">
        <f t="shared" si="197"/>
        <v>#NUM!</v>
      </c>
      <c r="DT200" s="62">
        <f ca="1">AVERAGE(OFFSET($DS$3,0,0,'Données projet'!$E$14+1,1))-AVERAGE(OFFSET($H$3,0,0,'Données projet'!$E$14+1,1))</f>
        <v>603.52431522262032</v>
      </c>
      <c r="DU200" s="62">
        <f t="shared" si="209"/>
        <v>313.56299786481338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projet'!$B$14,Paramètres!$A$1:$I$89,3,0)*0.475*44/12</f>
        <v>0</v>
      </c>
      <c r="EB200" s="23">
        <f>EXP(-LN(2)/25)*EB199+(1-EXP(-LN(2)/25))/(LN(2)/25)*Calculateur!DW200*Calculateur!DY200*VLOOKUP('Données projet'!$B$14,Paramètres!$A$1:$I$89,3,0)*0.475*44/12</f>
        <v>0</v>
      </c>
      <c r="EC200" s="23">
        <f>EXP(-LN(2)/2)*EC199+(1-EXP(-LN(2)/2))/(LN(2)/2)*DW200*DZ200*VLOOKUP('Données projet'!$B$14,Paramètres!$A$1:$I$89,3,0)*0.475*44/12</f>
        <v>0</v>
      </c>
      <c r="ED200" s="24">
        <f t="shared" si="178"/>
        <v>0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-1.1368683772161603E-13</v>
      </c>
      <c r="EK200" s="18">
        <f>EJ200*VLOOKUP('Données projet'!$B$15,Paramètres!$A$1:$I$89,3,0)*VLOOKUP('Données projet'!$B$15,Paramètres!$A$1:$I$89,5,0)</f>
        <v>-9.2222762759774927E-14</v>
      </c>
      <c r="EL200" s="14" t="e">
        <f t="shared" si="179"/>
        <v>#NUM!</v>
      </c>
      <c r="EM200" s="22" t="e">
        <f t="shared" si="180"/>
        <v>#NUM!</v>
      </c>
      <c r="EN200" s="62" t="e">
        <f t="shared" si="198"/>
        <v>#NUM!</v>
      </c>
      <c r="EO200" s="62">
        <f ca="1">AVERAGE(OFFSET($EN$3,0,0,'Données projet'!$E$15+1,1))-AVERAGE(OFFSET($H$3,0,0,'Données projet'!$E$15+1,1))</f>
        <v>272.69564942740931</v>
      </c>
      <c r="EP200" s="62">
        <f t="shared" si="210"/>
        <v>316.57989180609252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>
        <f>EXP(-LN(2)/35)*EV199+(1-EXP(-LN(2)/35))/(LN(2)/35)*ER200*ES200*VLOOKUP('Données projet'!$B$15,Paramètres!$A$1:$I$89,3,0)*0.475*44/12</f>
        <v>0</v>
      </c>
      <c r="EW200" s="23">
        <f>EXP(-LN(2)/25)*EW199+(1-EXP(-LN(2)/25))/(LN(2)/25)*Calculateur!ER200*Calculateur!ET200*VLOOKUP('Données projet'!$B$15,Paramètres!$A$1:$I$89,3,0)*0.475*44/12</f>
        <v>0</v>
      </c>
      <c r="EX200" s="23">
        <f>EXP(-LN(2)/2)*EX199+(1-EXP(-LN(2)/2))/(LN(2)/2)*ER200*EU200*VLOOKUP('Données projet'!$B$15,Paramètres!$A$1:$I$89,3,0)*0.475*44/12</f>
        <v>0</v>
      </c>
      <c r="EY200" s="24">
        <f t="shared" si="181"/>
        <v>0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-3.4106051316484809E-13</v>
      </c>
      <c r="FF200" s="18">
        <f>FE200*VLOOKUP('Données projet'!$B$16,Paramètres!$A$1:$I$89,3,0)*VLOOKUP('Données projet'!$B$16,Paramètres!$A$1:$I$89,5,0)</f>
        <v>-2.2878339223098009E-13</v>
      </c>
      <c r="FG200" s="14" t="e">
        <f t="shared" si="182"/>
        <v>#NUM!</v>
      </c>
      <c r="FH200" s="22" t="e">
        <f t="shared" si="183"/>
        <v>#NUM!</v>
      </c>
      <c r="FI200" s="62" t="e">
        <f t="shared" si="199"/>
        <v>#NUM!</v>
      </c>
      <c r="FJ200" s="62">
        <f ca="1">AVERAGE(OFFSET($FI$3,0,0,'Données projet'!$E$16+1,1))-AVERAGE(OFFSET($H$3,0,0,'Données projet'!$E$16+1,1))</f>
        <v>440.90856392064205</v>
      </c>
      <c r="FK200" s="62">
        <f t="shared" si="211"/>
        <v>373.33139300970629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>
        <f>EXP(-LN(2)/35)*FQ199+(1-EXP(-LN(2)/35))/(LN(2)/35)*FM200*FN200*VLOOKUP('Données projet'!$B$16,Paramètres!$A$1:$I$89,3,0)*0.475*44/12</f>
        <v>0</v>
      </c>
      <c r="FR200" s="23">
        <f>EXP(-LN(2)/25)*FR199+(1-EXP(-LN(2)/25))/(LN(2)/25)*Calculateur!FM200*Calculateur!FO200*VLOOKUP('Données projet'!$B$16,Paramètres!$A$1:$I$89,3,0)*0.475*44/12</f>
        <v>0</v>
      </c>
      <c r="FS200" s="23">
        <f>EXP(-LN(2)/2)*FS199+(1-EXP(-LN(2)/2))/(LN(2)/2)*FM200*FP200*VLOOKUP('Données projet'!$B$16,Paramètres!$A$1:$I$89,3,0)*0.475*44/12</f>
        <v>0</v>
      </c>
      <c r="FT200" s="24">
        <f t="shared" si="184"/>
        <v>0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70">
        <f t="shared" si="192"/>
        <v>183.33333333333334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-1.1368683772161603E-13</v>
      </c>
      <c r="O201" s="14">
        <f>N201*VLOOKUP('Données projet'!$B$9,Paramètres!$A$1:$I$89,3,0)*VLOOKUP('Données projet'!$B$9,Paramètres!$A$1:$I$89,5,0)</f>
        <v>-1.0286385077051818E-13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570.08763950759544</v>
      </c>
      <c r="T201" s="62">
        <f t="shared" si="204"/>
        <v>297.32483725004136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-2.2737367544323206E-13</v>
      </c>
      <c r="AJ201" s="14">
        <f>AI201*VLOOKUP('Données projet'!$B$10,Paramètres!$A$1:$I$89,3,0)*VLOOKUP('Données projet'!$B$10,Paramètres!$A$1:$I$89,5,0)</f>
        <v>-1.8089849618263545E-13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394.70330963327166</v>
      </c>
      <c r="AO201" s="62">
        <f t="shared" si="205"/>
        <v>424.06445894109982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-2.2737367544323206E-13</v>
      </c>
      <c r="BE201" s="14">
        <f>BD201*VLOOKUP('Données projet'!$B$11,Paramètres!$A$1:$I$89,3,0)*VLOOKUP('Données projet'!$B$11,Paramètres!$A$1:$I$89,5,0)</f>
        <v>-1.6671037883497774E-13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368.54671978064204</v>
      </c>
      <c r="BJ201" s="62">
        <f t="shared" si="206"/>
        <v>395.83504504492237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5.6843418860808015E-14</v>
      </c>
      <c r="BZ201" s="14">
        <f>BY201*VLOOKUP('Données projet'!$B$12,Paramètres!$A$1:$I$89,3,0)*VLOOKUP('Données projet'!$B$12,Paramètres!$A$1:$I$89,5,0)</f>
        <v>4.4337866711430253E-14</v>
      </c>
      <c r="CA201" s="14">
        <f t="shared" si="170"/>
        <v>7.3222115536967035E-13</v>
      </c>
      <c r="CB201" s="22">
        <f t="shared" si="171"/>
        <v>1.3525069634579169E-12</v>
      </c>
      <c r="CC201" s="62">
        <f t="shared" si="195"/>
        <v>290.46664116925427</v>
      </c>
      <c r="CD201" s="62">
        <f ca="1">AVERAGE(OFFSET($CC$3,0,0,'Données projet'!$E$12+1,1))-AVERAGE(OFFSET($H$3,0,0,'Données projet'!$E$12+1,1))</f>
        <v>309.21625451786218</v>
      </c>
      <c r="CE201" s="62">
        <f t="shared" si="207"/>
        <v>302.59481222418219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-2.8421709430404007E-13</v>
      </c>
      <c r="CU201" s="18">
        <f>CT201*VLOOKUP('Données projet'!$B$13,Paramètres!$A$1:$I$89,3,0)*VLOOKUP('Données projet'!$B$13,Paramètres!$A$1:$I$89,5,0)</f>
        <v>-2.7046098693972454E-13</v>
      </c>
      <c r="CV201" s="14" t="e">
        <f t="shared" si="173"/>
        <v>#NUM!</v>
      </c>
      <c r="CW201" s="22" t="e">
        <f t="shared" si="174"/>
        <v>#NUM!</v>
      </c>
      <c r="CX201" s="62" t="e">
        <f t="shared" si="196"/>
        <v>#NUM!</v>
      </c>
      <c r="CY201" s="62">
        <f ca="1">AVERAGE(OFFSET($CX$3,0,0,'Données projet'!$E$13+1,1))-AVERAGE(OFFSET($H$3,0,0,'Données projet'!$E$13+1,1))</f>
        <v>491.87038198656927</v>
      </c>
      <c r="CZ201" s="62">
        <f t="shared" si="208"/>
        <v>406.49261644949559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0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-1.1368683772161603E-13</v>
      </c>
      <c r="DP201" s="18">
        <f>DO201*VLOOKUP('Données projet'!$B$14,Paramètres!$A$1:$I$89,3,0)*VLOOKUP('Données projet'!$B$14,Paramètres!$A$1:$I$89,5,0)</f>
        <v>-1.0995790944434703E-13</v>
      </c>
      <c r="DQ201" s="14" t="e">
        <f t="shared" si="176"/>
        <v>#NUM!</v>
      </c>
      <c r="DR201" s="22" t="e">
        <f t="shared" si="177"/>
        <v>#NUM!</v>
      </c>
      <c r="DS201" s="62" t="e">
        <f t="shared" si="197"/>
        <v>#NUM!</v>
      </c>
      <c r="DT201" s="62">
        <f ca="1">AVERAGE(OFFSET($DS$3,0,0,'Données projet'!$E$14+1,1))-AVERAGE(OFFSET($H$3,0,0,'Données projet'!$E$14+1,1))</f>
        <v>603.52431522262032</v>
      </c>
      <c r="DU201" s="62">
        <f t="shared" si="209"/>
        <v>313.56299786481338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projet'!$B$14,Paramètres!$A$1:$I$89,3,0)*0.475*44/12</f>
        <v>0</v>
      </c>
      <c r="EB201" s="23">
        <f>EXP(-LN(2)/25)*EB200+(1-EXP(-LN(2)/25))/(LN(2)/25)*Calculateur!DW201*Calculateur!DY201*VLOOKUP('Données projet'!$B$14,Paramètres!$A$1:$I$89,3,0)*0.475*44/12</f>
        <v>0</v>
      </c>
      <c r="EC201" s="23">
        <f>EXP(-LN(2)/2)*EC200+(1-EXP(-LN(2)/2))/(LN(2)/2)*DW201*DZ201*VLOOKUP('Données projet'!$B$14,Paramètres!$A$1:$I$89,3,0)*0.475*44/12</f>
        <v>0</v>
      </c>
      <c r="ED201" s="24">
        <f t="shared" si="178"/>
        <v>0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-1.1368683772161603E-13</v>
      </c>
      <c r="EK201" s="18">
        <f>EJ201*VLOOKUP('Données projet'!$B$15,Paramètres!$A$1:$I$89,3,0)*VLOOKUP('Données projet'!$B$15,Paramètres!$A$1:$I$89,5,0)</f>
        <v>-9.2222762759774927E-14</v>
      </c>
      <c r="EL201" s="14" t="e">
        <f t="shared" si="179"/>
        <v>#NUM!</v>
      </c>
      <c r="EM201" s="22" t="e">
        <f t="shared" si="180"/>
        <v>#NUM!</v>
      </c>
      <c r="EN201" s="62" t="e">
        <f t="shared" si="198"/>
        <v>#NUM!</v>
      </c>
      <c r="EO201" s="62">
        <f ca="1">AVERAGE(OFFSET($EN$3,0,0,'Données projet'!$E$15+1,1))-AVERAGE(OFFSET($H$3,0,0,'Données projet'!$E$15+1,1))</f>
        <v>272.69564942740931</v>
      </c>
      <c r="EP201" s="62">
        <f t="shared" si="210"/>
        <v>316.57989180609252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>
        <f>EXP(-LN(2)/35)*EV200+(1-EXP(-LN(2)/35))/(LN(2)/35)*ER201*ES201*VLOOKUP('Données projet'!$B$15,Paramètres!$A$1:$I$89,3,0)*0.475*44/12</f>
        <v>0</v>
      </c>
      <c r="EW201" s="23">
        <f>EXP(-LN(2)/25)*EW200+(1-EXP(-LN(2)/25))/(LN(2)/25)*Calculateur!ER201*Calculateur!ET201*VLOOKUP('Données projet'!$B$15,Paramètres!$A$1:$I$89,3,0)*0.475*44/12</f>
        <v>0</v>
      </c>
      <c r="EX201" s="23">
        <f>EXP(-LN(2)/2)*EX200+(1-EXP(-LN(2)/2))/(LN(2)/2)*ER201*EU201*VLOOKUP('Données projet'!$B$15,Paramètres!$A$1:$I$89,3,0)*0.475*44/12</f>
        <v>0</v>
      </c>
      <c r="EY201" s="24">
        <f t="shared" si="181"/>
        <v>0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-3.4106051316484809E-13</v>
      </c>
      <c r="FF201" s="18">
        <f>FE201*VLOOKUP('Données projet'!$B$16,Paramètres!$A$1:$I$89,3,0)*VLOOKUP('Données projet'!$B$16,Paramètres!$A$1:$I$89,5,0)</f>
        <v>-2.2878339223098009E-13</v>
      </c>
      <c r="FG201" s="14" t="e">
        <f t="shared" si="182"/>
        <v>#NUM!</v>
      </c>
      <c r="FH201" s="22" t="e">
        <f t="shared" si="183"/>
        <v>#NUM!</v>
      </c>
      <c r="FI201" s="62" t="e">
        <f t="shared" si="199"/>
        <v>#NUM!</v>
      </c>
      <c r="FJ201" s="62">
        <f ca="1">AVERAGE(OFFSET($FI$3,0,0,'Données projet'!$E$16+1,1))-AVERAGE(OFFSET($H$3,0,0,'Données projet'!$E$16+1,1))</f>
        <v>440.90856392064205</v>
      </c>
      <c r="FK201" s="62">
        <f t="shared" si="211"/>
        <v>373.33139300970629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>
        <f>EXP(-LN(2)/35)*FQ200+(1-EXP(-LN(2)/35))/(LN(2)/35)*FM201*FN201*VLOOKUP('Données projet'!$B$16,Paramètres!$A$1:$I$89,3,0)*0.475*44/12</f>
        <v>0</v>
      </c>
      <c r="FR201" s="23">
        <f>EXP(-LN(2)/25)*FR200+(1-EXP(-LN(2)/25))/(LN(2)/25)*Calculateur!FM201*Calculateur!FO201*VLOOKUP('Données projet'!$B$16,Paramètres!$A$1:$I$89,3,0)*0.475*44/12</f>
        <v>0</v>
      </c>
      <c r="FS201" s="23">
        <f>EXP(-LN(2)/2)*FS200+(1-EXP(-LN(2)/2))/(LN(2)/2)*FM201*FP201*VLOOKUP('Données projet'!$B$16,Paramètres!$A$1:$I$89,3,0)*0.475*44/12</f>
        <v>0</v>
      </c>
      <c r="FT201" s="24">
        <f t="shared" si="184"/>
        <v>0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70">
        <f t="shared" si="192"/>
        <v>183.33333333333334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-1.1368683772161603E-13</v>
      </c>
      <c r="O202" s="14">
        <f>N202*VLOOKUP('Données projet'!$B$9,Paramètres!$A$1:$I$89,3,0)*VLOOKUP('Données projet'!$B$9,Paramètres!$A$1:$I$89,5,0)</f>
        <v>-1.0286385077051818E-13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570.08763950759544</v>
      </c>
      <c r="T202" s="62">
        <f t="shared" si="204"/>
        <v>297.32483725004136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-2.2737367544323206E-13</v>
      </c>
      <c r="AJ202" s="14">
        <f>AI202*VLOOKUP('Données projet'!$B$10,Paramètres!$A$1:$I$89,3,0)*VLOOKUP('Données projet'!$B$10,Paramètres!$A$1:$I$89,5,0)</f>
        <v>-1.8089849618263545E-13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394.70330963327166</v>
      </c>
      <c r="AO202" s="62">
        <f t="shared" si="205"/>
        <v>424.06445894109982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-2.2737367544323206E-13</v>
      </c>
      <c r="BE202" s="14">
        <f>BD202*VLOOKUP('Données projet'!$B$11,Paramètres!$A$1:$I$89,3,0)*VLOOKUP('Données projet'!$B$11,Paramètres!$A$1:$I$89,5,0)</f>
        <v>-1.6671037883497774E-13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368.54671978064204</v>
      </c>
      <c r="BJ202" s="62">
        <f t="shared" si="206"/>
        <v>395.83504504492237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5.6843418860808015E-14</v>
      </c>
      <c r="BZ202" s="14">
        <f>BY202*VLOOKUP('Données projet'!$B$12,Paramètres!$A$1:$I$89,3,0)*VLOOKUP('Données projet'!$B$12,Paramètres!$A$1:$I$89,5,0)</f>
        <v>4.4337866711430253E-14</v>
      </c>
      <c r="CA202" s="14">
        <f t="shared" si="170"/>
        <v>7.3222115536967035E-13</v>
      </c>
      <c r="CB202" s="22">
        <f t="shared" si="171"/>
        <v>1.3525069634579169E-12</v>
      </c>
      <c r="CC202" s="62">
        <f t="shared" si="195"/>
        <v>290.51637186933749</v>
      </c>
      <c r="CD202" s="62">
        <f ca="1">AVERAGE(OFFSET($CC$3,0,0,'Données projet'!$E$12+1,1))-AVERAGE(OFFSET($H$3,0,0,'Données projet'!$E$12+1,1))</f>
        <v>309.21625451786218</v>
      </c>
      <c r="CE202" s="62">
        <f t="shared" si="207"/>
        <v>302.59481222418219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-2.8421709430404007E-13</v>
      </c>
      <c r="CU202" s="18">
        <f>CT202*VLOOKUP('Données projet'!$B$13,Paramètres!$A$1:$I$89,3,0)*VLOOKUP('Données projet'!$B$13,Paramètres!$A$1:$I$89,5,0)</f>
        <v>-2.7046098693972454E-13</v>
      </c>
      <c r="CV202" s="14" t="e">
        <f t="shared" si="173"/>
        <v>#NUM!</v>
      </c>
      <c r="CW202" s="22" t="e">
        <f t="shared" si="174"/>
        <v>#NUM!</v>
      </c>
      <c r="CX202" s="62" t="e">
        <f t="shared" si="196"/>
        <v>#NUM!</v>
      </c>
      <c r="CY202" s="62">
        <f ca="1">AVERAGE(OFFSET($CX$3,0,0,'Données projet'!$E$13+1,1))-AVERAGE(OFFSET($H$3,0,0,'Données projet'!$E$13+1,1))</f>
        <v>491.87038198656927</v>
      </c>
      <c r="CZ202" s="62">
        <f t="shared" si="208"/>
        <v>406.49261644949559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0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-1.1368683772161603E-13</v>
      </c>
      <c r="DP202" s="18">
        <f>DO202*VLOOKUP('Données projet'!$B$14,Paramètres!$A$1:$I$89,3,0)*VLOOKUP('Données projet'!$B$14,Paramètres!$A$1:$I$89,5,0)</f>
        <v>-1.0995790944434703E-13</v>
      </c>
      <c r="DQ202" s="14" t="e">
        <f t="shared" si="176"/>
        <v>#NUM!</v>
      </c>
      <c r="DR202" s="22" t="e">
        <f t="shared" si="177"/>
        <v>#NUM!</v>
      </c>
      <c r="DS202" s="62" t="e">
        <f t="shared" si="197"/>
        <v>#NUM!</v>
      </c>
      <c r="DT202" s="62">
        <f ca="1">AVERAGE(OFFSET($DS$3,0,0,'Données projet'!$E$14+1,1))-AVERAGE(OFFSET($H$3,0,0,'Données projet'!$E$14+1,1))</f>
        <v>603.52431522262032</v>
      </c>
      <c r="DU202" s="62">
        <f t="shared" si="209"/>
        <v>313.56299786481338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projet'!$B$14,Paramètres!$A$1:$I$89,3,0)*0.475*44/12</f>
        <v>0</v>
      </c>
      <c r="EB202" s="23">
        <f>EXP(-LN(2)/25)*EB201+(1-EXP(-LN(2)/25))/(LN(2)/25)*Calculateur!DW202*Calculateur!DY202*VLOOKUP('Données projet'!$B$14,Paramètres!$A$1:$I$89,3,0)*0.475*44/12</f>
        <v>0</v>
      </c>
      <c r="EC202" s="23">
        <f>EXP(-LN(2)/2)*EC201+(1-EXP(-LN(2)/2))/(LN(2)/2)*DW202*DZ202*VLOOKUP('Données projet'!$B$14,Paramètres!$A$1:$I$89,3,0)*0.475*44/12</f>
        <v>0</v>
      </c>
      <c r="ED202" s="24">
        <f t="shared" si="178"/>
        <v>0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-1.1368683772161603E-13</v>
      </c>
      <c r="EK202" s="18">
        <f>EJ202*VLOOKUP('Données projet'!$B$15,Paramètres!$A$1:$I$89,3,0)*VLOOKUP('Données projet'!$B$15,Paramètres!$A$1:$I$89,5,0)</f>
        <v>-9.2222762759774927E-14</v>
      </c>
      <c r="EL202" s="14" t="e">
        <f t="shared" si="179"/>
        <v>#NUM!</v>
      </c>
      <c r="EM202" s="22" t="e">
        <f t="shared" si="180"/>
        <v>#NUM!</v>
      </c>
      <c r="EN202" s="62" t="e">
        <f t="shared" si="198"/>
        <v>#NUM!</v>
      </c>
      <c r="EO202" s="62">
        <f ca="1">AVERAGE(OFFSET($EN$3,0,0,'Données projet'!$E$15+1,1))-AVERAGE(OFFSET($H$3,0,0,'Données projet'!$E$15+1,1))</f>
        <v>272.69564942740931</v>
      </c>
      <c r="EP202" s="62">
        <f t="shared" si="210"/>
        <v>316.57989180609252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>
        <f>EXP(-LN(2)/35)*EV201+(1-EXP(-LN(2)/35))/(LN(2)/35)*ER202*ES202*VLOOKUP('Données projet'!$B$15,Paramètres!$A$1:$I$89,3,0)*0.475*44/12</f>
        <v>0</v>
      </c>
      <c r="EW202" s="23">
        <f>EXP(-LN(2)/25)*EW201+(1-EXP(-LN(2)/25))/(LN(2)/25)*Calculateur!ER202*Calculateur!ET202*VLOOKUP('Données projet'!$B$15,Paramètres!$A$1:$I$89,3,0)*0.475*44/12</f>
        <v>0</v>
      </c>
      <c r="EX202" s="23">
        <f>EXP(-LN(2)/2)*EX201+(1-EXP(-LN(2)/2))/(LN(2)/2)*ER202*EU202*VLOOKUP('Données projet'!$B$15,Paramètres!$A$1:$I$89,3,0)*0.475*44/12</f>
        <v>0</v>
      </c>
      <c r="EY202" s="24">
        <f t="shared" si="181"/>
        <v>0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-3.4106051316484809E-13</v>
      </c>
      <c r="FF202" s="18">
        <f>FE202*VLOOKUP('Données projet'!$B$16,Paramètres!$A$1:$I$89,3,0)*VLOOKUP('Données projet'!$B$16,Paramètres!$A$1:$I$89,5,0)</f>
        <v>-2.2878339223098009E-13</v>
      </c>
      <c r="FG202" s="14" t="e">
        <f t="shared" si="182"/>
        <v>#NUM!</v>
      </c>
      <c r="FH202" s="22" t="e">
        <f t="shared" si="183"/>
        <v>#NUM!</v>
      </c>
      <c r="FI202" s="62" t="e">
        <f t="shared" si="199"/>
        <v>#NUM!</v>
      </c>
      <c r="FJ202" s="62">
        <f ca="1">AVERAGE(OFFSET($FI$3,0,0,'Données projet'!$E$16+1,1))-AVERAGE(OFFSET($H$3,0,0,'Données projet'!$E$16+1,1))</f>
        <v>440.90856392064205</v>
      </c>
      <c r="FK202" s="62">
        <f t="shared" si="211"/>
        <v>373.33139300970629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>
        <f>EXP(-LN(2)/35)*FQ201+(1-EXP(-LN(2)/35))/(LN(2)/35)*FM202*FN202*VLOOKUP('Données projet'!$B$16,Paramètres!$A$1:$I$89,3,0)*0.475*44/12</f>
        <v>0</v>
      </c>
      <c r="FR202" s="23">
        <f>EXP(-LN(2)/25)*FR201+(1-EXP(-LN(2)/25))/(LN(2)/25)*Calculateur!FM202*Calculateur!FO202*VLOOKUP('Données projet'!$B$16,Paramètres!$A$1:$I$89,3,0)*0.475*44/12</f>
        <v>0</v>
      </c>
      <c r="FS202" s="23">
        <f>EXP(-LN(2)/2)*FS201+(1-EXP(-LN(2)/2))/(LN(2)/2)*FM202*FP202*VLOOKUP('Données projet'!$B$16,Paramètres!$A$1:$I$89,3,0)*0.475*44/12</f>
        <v>0</v>
      </c>
      <c r="FT202" s="24">
        <f t="shared" si="184"/>
        <v>0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70">
        <f t="shared" si="192"/>
        <v>183.33333333333334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-1.1368683772161603E-13</v>
      </c>
      <c r="O203" s="14">
        <f>N203*VLOOKUP('Données projet'!$B$9,Paramètres!$A$1:$I$89,3,0)*VLOOKUP('Données projet'!$B$9,Paramètres!$A$1:$I$89,5,0)</f>
        <v>-1.0286385077051818E-13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570.08763950759544</v>
      </c>
      <c r="T203" s="62">
        <f t="shared" si="204"/>
        <v>297.32483725004136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-2.2737367544323206E-13</v>
      </c>
      <c r="AJ203" s="14">
        <f>AI203*VLOOKUP('Données projet'!$B$10,Paramètres!$A$1:$I$89,3,0)*VLOOKUP('Données projet'!$B$10,Paramètres!$A$1:$I$89,5,0)</f>
        <v>-1.8089849618263545E-13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394.70330963327166</v>
      </c>
      <c r="AO203" s="62">
        <f t="shared" si="205"/>
        <v>424.06445894109982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-2.2737367544323206E-13</v>
      </c>
      <c r="BE203" s="14">
        <f>BD203*VLOOKUP('Données projet'!$B$11,Paramètres!$A$1:$I$89,3,0)*VLOOKUP('Données projet'!$B$11,Paramètres!$A$1:$I$89,5,0)</f>
        <v>-1.6671037883497774E-13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368.54671978064204</v>
      </c>
      <c r="BJ203" s="62">
        <f t="shared" si="206"/>
        <v>395.83504504492237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5.6843418860808015E-14</v>
      </c>
      <c r="BZ203" s="14">
        <f>BY203*VLOOKUP('Données projet'!$B$12,Paramètres!$A$1:$I$89,3,0)*VLOOKUP('Données projet'!$B$12,Paramètres!$A$1:$I$89,5,0)</f>
        <v>4.4337866711430253E-14</v>
      </c>
      <c r="CA203" s="14">
        <f t="shared" si="170"/>
        <v>7.3222115536967035E-13</v>
      </c>
      <c r="CB203" s="22">
        <f t="shared" si="171"/>
        <v>1.3525069634579169E-12</v>
      </c>
      <c r="CC203" s="62">
        <f t="shared" si="195"/>
        <v>290.56523985295547</v>
      </c>
      <c r="CD203" s="62">
        <f ca="1">AVERAGE(OFFSET($CC$3,0,0,'Données projet'!$E$12+1,1))-AVERAGE(OFFSET($H$3,0,0,'Données projet'!$E$12+1,1))</f>
        <v>309.21625451786218</v>
      </c>
      <c r="CE203" s="62">
        <f t="shared" si="207"/>
        <v>302.59481222418219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-2.8421709430404007E-13</v>
      </c>
      <c r="CU203" s="18">
        <f>CT203*VLOOKUP('Données projet'!$B$13,Paramètres!$A$1:$I$89,3,0)*VLOOKUP('Données projet'!$B$13,Paramètres!$A$1:$I$89,5,0)</f>
        <v>-2.7046098693972454E-13</v>
      </c>
      <c r="CV203" s="14" t="e">
        <f t="shared" si="173"/>
        <v>#NUM!</v>
      </c>
      <c r="CW203" s="22" t="e">
        <f t="shared" si="174"/>
        <v>#NUM!</v>
      </c>
      <c r="CX203" s="62" t="e">
        <f t="shared" si="196"/>
        <v>#NUM!</v>
      </c>
      <c r="CY203" s="62">
        <f ca="1">AVERAGE(OFFSET($CX$3,0,0,'Données projet'!$E$13+1,1))-AVERAGE(OFFSET($H$3,0,0,'Données projet'!$E$13+1,1))</f>
        <v>491.87038198656927</v>
      </c>
      <c r="CZ203" s="62">
        <f t="shared" si="208"/>
        <v>406.49261644949559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0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-1.1368683772161603E-13</v>
      </c>
      <c r="DP203" s="18">
        <f>DO203*VLOOKUP('Données projet'!$B$14,Paramètres!$A$1:$I$89,3,0)*VLOOKUP('Données projet'!$B$14,Paramètres!$A$1:$I$89,5,0)</f>
        <v>-1.0995790944434703E-13</v>
      </c>
      <c r="DQ203" s="14" t="e">
        <f t="shared" si="176"/>
        <v>#NUM!</v>
      </c>
      <c r="DR203" s="22" t="e">
        <f t="shared" si="177"/>
        <v>#NUM!</v>
      </c>
      <c r="DS203" s="62" t="e">
        <f t="shared" si="197"/>
        <v>#NUM!</v>
      </c>
      <c r="DT203" s="62">
        <f ca="1">AVERAGE(OFFSET($DS$3,0,0,'Données projet'!$E$14+1,1))-AVERAGE(OFFSET($H$3,0,0,'Données projet'!$E$14+1,1))</f>
        <v>603.52431522262032</v>
      </c>
      <c r="DU203" s="62">
        <f t="shared" si="209"/>
        <v>313.56299786481338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projet'!$B$14,Paramètres!$A$1:$I$89,3,0)*0.475*44/12</f>
        <v>0</v>
      </c>
      <c r="EB203" s="23">
        <f>EXP(-LN(2)/25)*EB202+(1-EXP(-LN(2)/25))/(LN(2)/25)*Calculateur!DW203*Calculateur!DY203*VLOOKUP('Données projet'!$B$14,Paramètres!$A$1:$I$89,3,0)*0.475*44/12</f>
        <v>0</v>
      </c>
      <c r="EC203" s="23">
        <f>EXP(-LN(2)/2)*EC202+(1-EXP(-LN(2)/2))/(LN(2)/2)*DW203*DZ203*VLOOKUP('Données projet'!$B$14,Paramètres!$A$1:$I$89,3,0)*0.475*44/12</f>
        <v>0</v>
      </c>
      <c r="ED203" s="24">
        <f t="shared" si="178"/>
        <v>0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-1.1368683772161603E-13</v>
      </c>
      <c r="EK203" s="18">
        <f>EJ203*VLOOKUP('Données projet'!$B$15,Paramètres!$A$1:$I$89,3,0)*VLOOKUP('Données projet'!$B$15,Paramètres!$A$1:$I$89,5,0)</f>
        <v>-9.2222762759774927E-14</v>
      </c>
      <c r="EL203" s="14" t="e">
        <f t="shared" si="179"/>
        <v>#NUM!</v>
      </c>
      <c r="EM203" s="22" t="e">
        <f t="shared" si="180"/>
        <v>#NUM!</v>
      </c>
      <c r="EN203" s="62" t="e">
        <f t="shared" si="198"/>
        <v>#NUM!</v>
      </c>
      <c r="EO203" s="62">
        <f ca="1">AVERAGE(OFFSET($EN$3,0,0,'Données projet'!$E$15+1,1))-AVERAGE(OFFSET($H$3,0,0,'Données projet'!$E$15+1,1))</f>
        <v>272.69564942740931</v>
      </c>
      <c r="EP203" s="62">
        <f t="shared" si="210"/>
        <v>316.57989180609252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>
        <f>EXP(-LN(2)/35)*EV202+(1-EXP(-LN(2)/35))/(LN(2)/35)*ER203*ES203*VLOOKUP('Données projet'!$B$15,Paramètres!$A$1:$I$89,3,0)*0.475*44/12</f>
        <v>0</v>
      </c>
      <c r="EW203" s="23">
        <f>EXP(-LN(2)/25)*EW202+(1-EXP(-LN(2)/25))/(LN(2)/25)*Calculateur!ER203*Calculateur!ET203*VLOOKUP('Données projet'!$B$15,Paramètres!$A$1:$I$89,3,0)*0.475*44/12</f>
        <v>0</v>
      </c>
      <c r="EX203" s="23">
        <f>EXP(-LN(2)/2)*EX202+(1-EXP(-LN(2)/2))/(LN(2)/2)*ER203*EU203*VLOOKUP('Données projet'!$B$15,Paramètres!$A$1:$I$89,3,0)*0.475*44/12</f>
        <v>0</v>
      </c>
      <c r="EY203" s="24">
        <f t="shared" si="181"/>
        <v>0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-3.4106051316484809E-13</v>
      </c>
      <c r="FF203" s="18">
        <f>FE203*VLOOKUP('Données projet'!$B$16,Paramètres!$A$1:$I$89,3,0)*VLOOKUP('Données projet'!$B$16,Paramètres!$A$1:$I$89,5,0)</f>
        <v>-2.2878339223098009E-13</v>
      </c>
      <c r="FG203" s="14" t="e">
        <f t="shared" si="182"/>
        <v>#NUM!</v>
      </c>
      <c r="FH203" s="22" t="e">
        <f t="shared" si="183"/>
        <v>#NUM!</v>
      </c>
      <c r="FI203" s="62" t="e">
        <f t="shared" si="199"/>
        <v>#NUM!</v>
      </c>
      <c r="FJ203" s="62">
        <f ca="1">AVERAGE(OFFSET($FI$3,0,0,'Données projet'!$E$16+1,1))-AVERAGE(OFFSET($H$3,0,0,'Données projet'!$E$16+1,1))</f>
        <v>440.90856392064205</v>
      </c>
      <c r="FK203" s="62">
        <f t="shared" si="211"/>
        <v>373.33139300970629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>
        <f>EXP(-LN(2)/35)*FQ202+(1-EXP(-LN(2)/35))/(LN(2)/35)*FM203*FN203*VLOOKUP('Données projet'!$B$16,Paramètres!$A$1:$I$89,3,0)*0.475*44/12</f>
        <v>0</v>
      </c>
      <c r="FR203" s="23">
        <f>EXP(-LN(2)/25)*FR202+(1-EXP(-LN(2)/25))/(LN(2)/25)*Calculateur!FM203*Calculateur!FO203*VLOOKUP('Données projet'!$B$16,Paramètres!$A$1:$I$89,3,0)*0.475*44/12</f>
        <v>0</v>
      </c>
      <c r="FS203" s="23">
        <f>EXP(-LN(2)/2)*FS202+(1-EXP(-LN(2)/2))/(LN(2)/2)*FM203*FP203*VLOOKUP('Données projet'!$B$16,Paramètres!$A$1:$I$89,3,0)*0.475*44/12</f>
        <v>0</v>
      </c>
      <c r="FT203" s="24">
        <f t="shared" si="184"/>
        <v>0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1.2392705892426346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1.3208724756526424</v>
      </c>
      <c r="BA205" s="88">
        <f>EXP(LN('Données projet'!B88)/'Données projet'!A88)</f>
        <v>1.3208724756526424</v>
      </c>
      <c r="BV205" s="88">
        <f>EXP(LN('Données projet'!B114)/'Données projet'!A114)</f>
        <v>1.2788040393997409</v>
      </c>
      <c r="CQ205" s="88">
        <f>EXP(LN('Données projet'!B140)/'Données projet'!A140)</f>
        <v>1.3264369473759152</v>
      </c>
      <c r="DL205" s="88">
        <f>EXP(LN('Données projet'!B166)/'Données projet'!A166)</f>
        <v>1.2392705892426346</v>
      </c>
      <c r="EG205" s="88">
        <f>EXP(LN('Données projet'!B192)/'Données projet'!A192)</f>
        <v>1.2457309396155174</v>
      </c>
      <c r="FB205" s="88">
        <f>EXP(LN('Données projet'!B218)/'Données projet'!A218)</f>
        <v>1.4669685047497352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zoomScale="90" zoomScaleNormal="90" workbookViewId="0">
      <selection activeCell="N5" sqref="N5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Chêne sessile</v>
      </c>
      <c r="B6" s="155">
        <f>'Données projet'!D9</f>
        <v>0.879</v>
      </c>
      <c r="C6" s="156">
        <f ca="1">IF(OR('Données projet'!B9="",'Données projet'!C9="",'Données projet'!C9=0%),0,Calculateur!S3)</f>
        <v>570.08763950759544</v>
      </c>
      <c r="D6" s="156">
        <f>IF(OR('Données projet'!B9="",'Données projet'!C9="",'Données projet'!C9=0%),0,Calculateur!T3)</f>
        <v>297.32483725004136</v>
      </c>
      <c r="E6" s="156">
        <f ca="1">MIN(C6,D6)</f>
        <v>297.32483725004136</v>
      </c>
      <c r="F6" s="156">
        <f ca="1">E6*B6</f>
        <v>261.34853194278634</v>
      </c>
      <c r="G6" s="156">
        <f ca="1">F6*(100%-'Données projet'!$C$24)*(100%-'Données projet'!$C$25)*(100%-'Données projet'!$C$26)*(100%-'Données projet'!$C$27)</f>
        <v>235.2136787485077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7.4714999999999998</v>
      </c>
      <c r="K6" s="160">
        <f>J6*(100%-'Données projet'!$C$24)*(100%-'Données projet'!$C$25)*(100%-'Données projet'!$C$26)*(100%-'Données projet'!$C$27)</f>
        <v>6.7243500000000003</v>
      </c>
      <c r="L6" s="161">
        <f ca="1">G6+I6+K6</f>
        <v>241.93802874850769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Erable sycomore</v>
      </c>
      <c r="B7" s="163">
        <f>'Données projet'!D10</f>
        <v>0.58600000000000008</v>
      </c>
      <c r="C7" s="156">
        <f ca="1">IF(OR('Données projet'!B10="",'Données projet'!C10="",'Données projet'!C10=0%),0,Calculateur!AN3)</f>
        <v>394.70330963327166</v>
      </c>
      <c r="D7" s="156">
        <f>IF(OR('Données projet'!B10="",'Données projet'!C10="",'Données projet'!C10=0%),0,Calculateur!AO3)</f>
        <v>424.06445894109982</v>
      </c>
      <c r="E7" s="156">
        <f t="shared" ref="E7:E15" ca="1" si="0">MIN(C7,D7)</f>
        <v>394.70330963327166</v>
      </c>
      <c r="F7" s="156">
        <f t="shared" ref="F7:F15" ca="1" si="1">E7*B7</f>
        <v>231.29613944509723</v>
      </c>
      <c r="G7" s="156">
        <f ca="1">F7*(100%-'Données projet'!$C$24)*(100%-'Données projet'!$C$25)*(100%-'Données projet'!$C$26)*(100%-'Données projet'!$C$27)</f>
        <v>208.16652550058751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20.070500000000003</v>
      </c>
      <c r="K7" s="160">
        <f>J7*(100%-'Données projet'!$C$24)*(100%-'Données projet'!$C$25)*(100%-'Données projet'!$C$26)*(100%-'Données projet'!$C$27)</f>
        <v>18.063450000000003</v>
      </c>
      <c r="L7" s="161">
        <f t="shared" ref="L7:L15" ca="1" si="2">G7+I7+K7</f>
        <v>226.2299755005875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Châtaignier</v>
      </c>
      <c r="B8" s="163">
        <f>'Données projet'!D11</f>
        <v>0.4395</v>
      </c>
      <c r="C8" s="156">
        <f ca="1">IF(OR('Données projet'!B11="",'Données projet'!C11="",'Données projet'!C11=0%),0,Calculateur!BI3)</f>
        <v>368.54671978064204</v>
      </c>
      <c r="D8" s="156">
        <f>IF(OR('Données projet'!B11="",'Données projet'!C11="",'Données projet'!C11=0%),0,Calculateur!BJ3)</f>
        <v>395.83504504492237</v>
      </c>
      <c r="E8" s="156">
        <f t="shared" ca="1" si="0"/>
        <v>368.54671978064204</v>
      </c>
      <c r="F8" s="156">
        <f t="shared" ca="1" si="1"/>
        <v>161.97628334359217</v>
      </c>
      <c r="G8" s="156">
        <f ca="1">F8*(100%-'Données projet'!$C$24)*(100%-'Données projet'!$C$25)*(100%-'Données projet'!$C$26)*(100%-'Données projet'!$C$27)</f>
        <v>145.77865500923295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15.052875</v>
      </c>
      <c r="K8" s="160">
        <f>J8*(100%-'Données projet'!$C$24)*(100%-'Données projet'!$C$25)*(100%-'Données projet'!$C$26)*(100%-'Données projet'!$C$27)</f>
        <v>13.547587500000001</v>
      </c>
      <c r="L8" s="161">
        <f t="shared" ca="1" si="2"/>
        <v>159.32624250923294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>Merisier</v>
      </c>
      <c r="B9" s="163">
        <f>'Données projet'!D12</f>
        <v>0.29300000000000004</v>
      </c>
      <c r="C9" s="156">
        <f ca="1">IF(OR('Données projet'!B12="",'Données projet'!C12="",'Données projet'!C12=0%),0,Calculateur!CD3)</f>
        <v>309.21625451786218</v>
      </c>
      <c r="D9" s="156">
        <f>IF(OR('Données projet'!B12="",'Données projet'!C12="",'Données projet'!C12=0%),0,Calculateur!CE3)</f>
        <v>302.59481222418219</v>
      </c>
      <c r="E9" s="156">
        <f t="shared" ca="1" si="0"/>
        <v>302.59481222418219</v>
      </c>
      <c r="F9" s="156">
        <f t="shared" ca="1" si="1"/>
        <v>88.660279981685392</v>
      </c>
      <c r="G9" s="156">
        <f ca="1">F9*(100%-'Données projet'!$C$24)*(100%-'Données projet'!$C$25)*(100%-'Données projet'!$C$26)*(100%-'Données projet'!$C$27)</f>
        <v>79.794251983516858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4.0287500000000005</v>
      </c>
      <c r="K9" s="160">
        <f>J9*(100%-'Données projet'!$C$24)*(100%-'Données projet'!$C$25)*(100%-'Données projet'!$C$26)*(100%-'Données projet'!$C$27)</f>
        <v>3.6258750000000006</v>
      </c>
      <c r="L9" s="161">
        <f t="shared" ca="1" si="2"/>
        <v>83.420126983516866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>Charme</v>
      </c>
      <c r="B10" s="163">
        <f>'Données projet'!D13</f>
        <v>0.29300000000000004</v>
      </c>
      <c r="C10" s="156">
        <f ca="1">IF(OR('Données projet'!B13="",'Données projet'!C13="",'Données projet'!C13=0%),0,Calculateur!CY3)</f>
        <v>491.87038198656927</v>
      </c>
      <c r="D10" s="156">
        <f>IF(OR('Données projet'!B13="",'Données projet'!C13="",'Données projet'!C13=0%),0,Calculateur!CZ3)</f>
        <v>406.49261644949559</v>
      </c>
      <c r="E10" s="156">
        <f t="shared" ca="1" si="0"/>
        <v>406.49261644949559</v>
      </c>
      <c r="F10" s="156">
        <f t="shared" ca="1" si="1"/>
        <v>119.10233661970223</v>
      </c>
      <c r="G10" s="156">
        <f ca="1">F10*(100%-'Données projet'!$C$24)*(100%-'Données projet'!$C$25)*(100%-'Données projet'!$C$26)*(100%-'Données projet'!$C$27)</f>
        <v>107.192102957732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5.3528846153846157</v>
      </c>
      <c r="K10" s="160">
        <f>J10*(100%-'Données projet'!$C$24)*(100%-'Données projet'!$C$25)*(100%-'Données projet'!$C$26)*(100%-'Données projet'!$C$27)</f>
        <v>4.8175961538461545</v>
      </c>
      <c r="L10" s="161">
        <f t="shared" ca="1" si="2"/>
        <v>112.00969911157816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>Alisier torminal</v>
      </c>
      <c r="B11" s="163">
        <f>'Données projet'!D14</f>
        <v>0.20510000000000003</v>
      </c>
      <c r="C11" s="156">
        <f ca="1">IF(OR('Données projet'!B14="",'Données projet'!C14="",'Données projet'!C14=0%),0,Calculateur!DT3)</f>
        <v>603.52431522262032</v>
      </c>
      <c r="D11" s="156">
        <f>IF(OR('Données projet'!B14="",'Données projet'!C14="",'Données projet'!C14=0%),0,Calculateur!DU3)</f>
        <v>313.56299786481338</v>
      </c>
      <c r="E11" s="156">
        <f t="shared" ca="1" si="0"/>
        <v>313.56299786481338</v>
      </c>
      <c r="F11" s="156">
        <f t="shared" ca="1" si="1"/>
        <v>64.311770862073232</v>
      </c>
      <c r="G11" s="156">
        <f ca="1">F11*(100%-'Données projet'!$C$24)*(100%-'Données projet'!$C$25)*(100%-'Données projet'!$C$26)*(100%-'Données projet'!$C$27)</f>
        <v>57.880593775865911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1.7433500000000002</v>
      </c>
      <c r="K11" s="160">
        <f>J11*(100%-'Données projet'!$C$24)*(100%-'Données projet'!$C$25)*(100%-'Données projet'!$C$26)*(100%-'Données projet'!$C$27)</f>
        <v>1.5690150000000003</v>
      </c>
      <c r="L11" s="161">
        <f t="shared" ca="1" si="2"/>
        <v>59.449608775865912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>Bouleau verruqueux</v>
      </c>
      <c r="B12" s="163">
        <f>'Données projet'!D15</f>
        <v>0.11720000000000001</v>
      </c>
      <c r="C12" s="156">
        <f ca="1">IF(OR('Données projet'!B15="",'Données projet'!C15="",'Données projet'!C15=0%),0,Calculateur!EO3)</f>
        <v>272.69564942740931</v>
      </c>
      <c r="D12" s="156">
        <f>IF(OR('Données projet'!B15="",'Données projet'!C15="",'Données projet'!C15=0%),0,Calculateur!EP3)</f>
        <v>316.57989180609252</v>
      </c>
      <c r="E12" s="156">
        <f t="shared" ca="1" si="0"/>
        <v>272.69564942740931</v>
      </c>
      <c r="F12" s="156">
        <f t="shared" ca="1" si="1"/>
        <v>31.959930112892373</v>
      </c>
      <c r="G12" s="156">
        <f ca="1">F12*(100%-'Données projet'!$C$24)*(100%-'Données projet'!$C$25)*(100%-'Données projet'!$C$26)*(100%-'Données projet'!$C$27)</f>
        <v>28.763937101603137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1.1720000000000002</v>
      </c>
      <c r="K12" s="160">
        <f>J12*(100%-'Données projet'!$C$24)*(100%-'Données projet'!$C$25)*(100%-'Données projet'!$C$26)*(100%-'Données projet'!$C$27)</f>
        <v>1.0548000000000002</v>
      </c>
      <c r="L12" s="161">
        <f t="shared" ca="1" si="2"/>
        <v>29.818737101603137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>Tilleul</v>
      </c>
      <c r="B13" s="163">
        <f>'Données projet'!D16</f>
        <v>0.11720000000000001</v>
      </c>
      <c r="C13" s="156">
        <f ca="1">IF(OR('Données projet'!B16="",'Données projet'!C16="",'Données projet'!C16=0%),0,Calculateur!FJ3)</f>
        <v>440.90856392064205</v>
      </c>
      <c r="D13" s="156">
        <f>IF(OR('Données projet'!B16="",'Données projet'!C16="",'Données projet'!C16=0%),0,Calculateur!FK3)</f>
        <v>373.33139300970629</v>
      </c>
      <c r="E13" s="156">
        <f t="shared" ca="1" si="0"/>
        <v>373.33139300970629</v>
      </c>
      <c r="F13" s="156">
        <f t="shared" ca="1" si="1"/>
        <v>43.754439260737584</v>
      </c>
      <c r="G13" s="156">
        <f ca="1">F13*(100%-'Données projet'!$C$24)*(100%-'Données projet'!$C$25)*(100%-'Données projet'!$C$26)*(100%-'Données projet'!$C$27)</f>
        <v>39.378995334663827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2.7421794871794876</v>
      </c>
      <c r="K13" s="160">
        <f>J13*(100%-'Données projet'!$C$24)*(100%-'Données projet'!$C$25)*(100%-'Données projet'!$C$26)*(100%-'Données projet'!$C$27)</f>
        <v>2.4679615384615388</v>
      </c>
      <c r="L13" s="161">
        <f t="shared" ca="1" si="2"/>
        <v>41.846956873125364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1002.4097115685666</v>
      </c>
      <c r="G16" s="175">
        <f t="shared" ca="1" si="3"/>
        <v>902.16874041170979</v>
      </c>
      <c r="H16" s="176">
        <f t="shared" si="3"/>
        <v>0</v>
      </c>
      <c r="I16" s="176">
        <f t="shared" si="3"/>
        <v>0</v>
      </c>
      <c r="J16" s="177">
        <f t="shared" si="3"/>
        <v>57.634039102564103</v>
      </c>
      <c r="K16" s="177">
        <f t="shared" si="3"/>
        <v>51.870635192307695</v>
      </c>
      <c r="L16" s="178">
        <f t="shared" ca="1" si="3"/>
        <v>954.03937560401755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Chêne sessile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Erable sycomore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Châtaignier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>Merisier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>Charme</v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>Alisier torminal</v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>Bouleau verruqueux</v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>Tilleul</v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abSelected="1" zoomScale="80" zoomScaleNormal="80" workbookViewId="0">
      <selection activeCell="J26" sqref="J26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Chêne sessile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858.81620207483456</v>
      </c>
      <c r="U10" s="190">
        <f>'Données projet'!D9</f>
        <v>0.879</v>
      </c>
      <c r="V10" s="189">
        <f>U10*T10</f>
        <v>754.89944162377958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Erable sycomore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1820.0230682207318</v>
      </c>
      <c r="U11" s="190">
        <f>'Données projet'!D10</f>
        <v>0.58600000000000008</v>
      </c>
      <c r="V11" s="189">
        <f>U11*T11</f>
        <v>1066.533517977349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Châtaignier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2097.8337842094033</v>
      </c>
      <c r="U12" s="190">
        <f>'Données projet'!D11</f>
        <v>0.4395</v>
      </c>
      <c r="V12" s="189">
        <f t="shared" ref="V12:V19" si="0">U12*T12</f>
        <v>921.99794816003282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Merisier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2414.8094615668047</v>
      </c>
      <c r="U13" s="190">
        <f>'Données projet'!D12</f>
        <v>0.29300000000000004</v>
      </c>
      <c r="V13" s="189">
        <f t="shared" si="0"/>
        <v>707.53917223907388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Chêne sessile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>Charme</v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695.15643357000693</v>
      </c>
      <c r="U14" s="190">
        <f>'Données projet'!D13</f>
        <v>0.29300000000000004</v>
      </c>
      <c r="V14" s="189">
        <f t="shared" si="0"/>
        <v>203.68083503601204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>
        <v>0</v>
      </c>
      <c r="I15" s="204">
        <v>0</v>
      </c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>Alisier torminal</v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858.81620207483456</v>
      </c>
      <c r="U15" s="190">
        <f>'Données projet'!D14</f>
        <v>0.20510000000000003</v>
      </c>
      <c r="V15" s="189">
        <f t="shared" si="0"/>
        <v>176.1432030455486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>Bouleau verruqueux</v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1058.1242928653537</v>
      </c>
      <c r="U16" s="190">
        <f>'Données projet'!D15</f>
        <v>0.11720000000000001</v>
      </c>
      <c r="V16" s="189">
        <f t="shared" si="0"/>
        <v>124.01216712381947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>Tilleul</v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822.92323080455697</v>
      </c>
      <c r="U17" s="190">
        <f>'Données projet'!D16</f>
        <v>0.11720000000000001</v>
      </c>
      <c r="V17" s="189">
        <f t="shared" si="0"/>
        <v>96.446602650294082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0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0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>
        <v>0</v>
      </c>
      <c r="I20" s="204">
        <v>8340.7000000000007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20</v>
      </c>
      <c r="B23" s="193">
        <f>'Données projet'!D36</f>
        <v>0</v>
      </c>
      <c r="C23" s="206"/>
      <c r="D23" s="194">
        <f>B23*C23</f>
        <v>0</v>
      </c>
      <c r="E23" s="206"/>
      <c r="F23" s="261"/>
      <c r="H23" s="203"/>
      <c r="I23" s="204"/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-20386.998112144094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25</v>
      </c>
      <c r="B24" s="193">
        <f>'Données projet'!D37</f>
        <v>34</v>
      </c>
      <c r="C24" s="206">
        <v>10</v>
      </c>
      <c r="D24" s="194">
        <f t="shared" ref="D24:D42" si="1">B24*C24</f>
        <v>340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30</v>
      </c>
      <c r="B25" s="193">
        <f>'Données projet'!D38</f>
        <v>0</v>
      </c>
      <c r="C25" s="206"/>
      <c r="D25" s="194">
        <f t="shared" si="1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41">
        <f ca="1">T23-T24</f>
        <v>-20386.998112144094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35</v>
      </c>
      <c r="B26" s="193">
        <f>'Données projet'!D39</f>
        <v>56</v>
      </c>
      <c r="C26" s="206">
        <v>10</v>
      </c>
      <c r="D26" s="194">
        <f t="shared" si="1"/>
        <v>560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est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40</v>
      </c>
      <c r="B27" s="193">
        <f>'Données projet'!D40</f>
        <v>0</v>
      </c>
      <c r="C27" s="206"/>
      <c r="D27" s="194">
        <f t="shared" si="1"/>
        <v>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45</v>
      </c>
      <c r="B28" s="193">
        <f>'Données projet'!D41</f>
        <v>56</v>
      </c>
      <c r="C28" s="206">
        <v>10</v>
      </c>
      <c r="D28" s="194">
        <f t="shared" si="1"/>
        <v>560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50</v>
      </c>
      <c r="B29" s="193">
        <f>'Données projet'!D42</f>
        <v>0</v>
      </c>
      <c r="C29" s="206"/>
      <c r="D29" s="194">
        <f t="shared" si="1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55</v>
      </c>
      <c r="B30" s="193">
        <f>'Données projet'!D43</f>
        <v>56</v>
      </c>
      <c r="C30" s="206">
        <v>20</v>
      </c>
      <c r="D30" s="194">
        <f t="shared" si="1"/>
        <v>1120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60</v>
      </c>
      <c r="B31" s="193">
        <f>'Données projet'!D44</f>
        <v>0</v>
      </c>
      <c r="C31" s="206"/>
      <c r="D31" s="194">
        <f t="shared" si="1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65</v>
      </c>
      <c r="B32" s="193">
        <f>'Données projet'!D45</f>
        <v>56</v>
      </c>
      <c r="C32" s="206">
        <v>30</v>
      </c>
      <c r="D32" s="194">
        <f t="shared" si="1"/>
        <v>1680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70</v>
      </c>
      <c r="B33" s="193">
        <f>'Données projet'!D46</f>
        <v>0</v>
      </c>
      <c r="C33" s="206"/>
      <c r="D33" s="194">
        <f t="shared" si="1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2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75</v>
      </c>
      <c r="B34" s="193">
        <f>'Données projet'!D47</f>
        <v>56</v>
      </c>
      <c r="C34" s="206">
        <v>40</v>
      </c>
      <c r="D34" s="194">
        <f t="shared" si="1"/>
        <v>2240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2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80</v>
      </c>
      <c r="B35" s="193">
        <f>'Données projet'!D48</f>
        <v>0</v>
      </c>
      <c r="C35" s="206"/>
      <c r="D35" s="194">
        <f t="shared" si="1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2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90</v>
      </c>
      <c r="B36" s="193">
        <f>'Données projet'!D49</f>
        <v>84</v>
      </c>
      <c r="C36" s="206">
        <v>50</v>
      </c>
      <c r="D36" s="194">
        <f t="shared" si="1"/>
        <v>4200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2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100</v>
      </c>
      <c r="B37" s="193">
        <f>'Données projet'!D50</f>
        <v>0</v>
      </c>
      <c r="C37" s="206"/>
      <c r="D37" s="194">
        <f t="shared" si="1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2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110</v>
      </c>
      <c r="B38" s="193">
        <f>'Données projet'!D51</f>
        <v>106</v>
      </c>
      <c r="C38" s="206">
        <v>70</v>
      </c>
      <c r="D38" s="194">
        <f t="shared" si="1"/>
        <v>7420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2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120</v>
      </c>
      <c r="B39" s="193">
        <f>'Données projet'!D52</f>
        <v>0</v>
      </c>
      <c r="C39" s="206"/>
      <c r="D39" s="194">
        <f t="shared" si="1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2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130</v>
      </c>
      <c r="B40" s="193">
        <f>'Données projet'!D53</f>
        <v>91</v>
      </c>
      <c r="C40" s="206">
        <v>100</v>
      </c>
      <c r="D40" s="194">
        <f t="shared" si="1"/>
        <v>9100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2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140</v>
      </c>
      <c r="B41" s="193">
        <f>'Données projet'!D54</f>
        <v>0</v>
      </c>
      <c r="C41" s="206"/>
      <c r="D41" s="194">
        <f t="shared" si="1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2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150</v>
      </c>
      <c r="B42" s="193">
        <f>'Données projet'!D55</f>
        <v>376</v>
      </c>
      <c r="C42" s="206">
        <v>200</v>
      </c>
      <c r="D42" s="194">
        <f t="shared" si="1"/>
        <v>75200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2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2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2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Erable sycomore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2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2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2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2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2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2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2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2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2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15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2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20</v>
      </c>
      <c r="B55" s="193">
        <f>'Données projet'!D63</f>
        <v>67</v>
      </c>
      <c r="C55" s="204">
        <v>10</v>
      </c>
      <c r="D55" s="191">
        <f t="shared" ref="D55:D73" si="3">B55*C55</f>
        <v>670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2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25</v>
      </c>
      <c r="B56" s="193">
        <f>'Données projet'!D64</f>
        <v>0</v>
      </c>
      <c r="C56" s="204"/>
      <c r="D56" s="191">
        <f t="shared" si="3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2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30</v>
      </c>
      <c r="B57" s="193">
        <f>'Données projet'!D65</f>
        <v>70</v>
      </c>
      <c r="C57" s="204">
        <v>15</v>
      </c>
      <c r="D57" s="191">
        <f t="shared" si="3"/>
        <v>1050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2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35</v>
      </c>
      <c r="B58" s="193">
        <f>'Données projet'!D66</f>
        <v>0</v>
      </c>
      <c r="C58" s="204"/>
      <c r="D58" s="191">
        <f t="shared" si="3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2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40</v>
      </c>
      <c r="B59" s="193">
        <f>'Données projet'!D67</f>
        <v>70</v>
      </c>
      <c r="C59" s="204">
        <v>20</v>
      </c>
      <c r="D59" s="191">
        <f t="shared" si="3"/>
        <v>1400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2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45</v>
      </c>
      <c r="B60" s="193">
        <f>'Données projet'!D68</f>
        <v>0</v>
      </c>
      <c r="C60" s="204"/>
      <c r="D60" s="191">
        <f t="shared" si="3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2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50</v>
      </c>
      <c r="B61" s="193">
        <f>'Données projet'!D69</f>
        <v>43</v>
      </c>
      <c r="C61" s="204">
        <v>30</v>
      </c>
      <c r="D61" s="191">
        <f t="shared" si="3"/>
        <v>1290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2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55</v>
      </c>
      <c r="B62" s="193">
        <f>'Données projet'!D70</f>
        <v>0</v>
      </c>
      <c r="C62" s="204"/>
      <c r="D62" s="191">
        <f t="shared" si="3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2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60</v>
      </c>
      <c r="B63" s="193">
        <f>'Données projet'!D71</f>
        <v>30</v>
      </c>
      <c r="C63" s="204">
        <v>40</v>
      </c>
      <c r="D63" s="191">
        <f t="shared" si="3"/>
        <v>1200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2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65</v>
      </c>
      <c r="B64" s="193">
        <f>'Données projet'!D72</f>
        <v>0</v>
      </c>
      <c r="C64" s="204"/>
      <c r="D64" s="191">
        <f t="shared" si="3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2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70</v>
      </c>
      <c r="B65" s="193">
        <f>'Données projet'!D73</f>
        <v>26</v>
      </c>
      <c r="C65" s="204">
        <v>50</v>
      </c>
      <c r="D65" s="191">
        <f t="shared" si="3"/>
        <v>1300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4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75</v>
      </c>
      <c r="B66" s="193">
        <f>'Données projet'!D74</f>
        <v>0</v>
      </c>
      <c r="C66" s="204"/>
      <c r="D66" s="191">
        <f t="shared" si="3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4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80</v>
      </c>
      <c r="B67" s="193">
        <f>'Données projet'!D75</f>
        <v>342</v>
      </c>
      <c r="C67" s="206">
        <v>100</v>
      </c>
      <c r="D67" s="191">
        <f t="shared" si="3"/>
        <v>34200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4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3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4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3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4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3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4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3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4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3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4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3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4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4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4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Châtaignier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4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4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4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4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4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4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4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4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4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15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4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20</v>
      </c>
      <c r="B86" s="193">
        <f>'Données projet'!D89</f>
        <v>67</v>
      </c>
      <c r="C86" s="206">
        <v>10</v>
      </c>
      <c r="D86" s="191">
        <f t="shared" ref="D86:D104" si="5">B86*C86</f>
        <v>670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4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25</v>
      </c>
      <c r="B87" s="193">
        <f>'Données projet'!D90</f>
        <v>0</v>
      </c>
      <c r="C87" s="206"/>
      <c r="D87" s="191">
        <f t="shared" si="5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4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30</v>
      </c>
      <c r="B88" s="193">
        <f>'Données projet'!D91</f>
        <v>70</v>
      </c>
      <c r="C88" s="206">
        <v>15</v>
      </c>
      <c r="D88" s="191">
        <f t="shared" si="5"/>
        <v>1050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4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35</v>
      </c>
      <c r="B89" s="193">
        <f>'Données projet'!D92</f>
        <v>0</v>
      </c>
      <c r="C89" s="206"/>
      <c r="D89" s="191">
        <f t="shared" si="5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4"/>
        <v>0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40</v>
      </c>
      <c r="B90" s="193">
        <f>'Données projet'!D93</f>
        <v>70</v>
      </c>
      <c r="C90" s="206">
        <v>20</v>
      </c>
      <c r="D90" s="191">
        <f t="shared" si="5"/>
        <v>1400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4"/>
        <v>0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45</v>
      </c>
      <c r="B91" s="193">
        <f>'Données projet'!D94</f>
        <v>0</v>
      </c>
      <c r="C91" s="206"/>
      <c r="D91" s="191">
        <f t="shared" si="5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4"/>
        <v>0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50</v>
      </c>
      <c r="B92" s="193">
        <f>'Données projet'!D95</f>
        <v>43</v>
      </c>
      <c r="C92" s="206">
        <v>30</v>
      </c>
      <c r="D92" s="191">
        <f t="shared" si="5"/>
        <v>1290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4"/>
        <v>0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55</v>
      </c>
      <c r="B93" s="193">
        <f>'Données projet'!D96</f>
        <v>0</v>
      </c>
      <c r="C93" s="206"/>
      <c r="D93" s="191">
        <f t="shared" si="5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4"/>
        <v>0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60</v>
      </c>
      <c r="B94" s="193">
        <f>'Données projet'!D97</f>
        <v>30</v>
      </c>
      <c r="C94" s="206">
        <v>40</v>
      </c>
      <c r="D94" s="191">
        <f t="shared" si="5"/>
        <v>1200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str">
        <f>IF(O93+1&lt;=MIN('Données projet'!$E$9:$E$18),O93+1,"STOP")</f>
        <v>STOP</v>
      </c>
      <c r="P94" s="197" t="e">
        <f t="shared" si="4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65</v>
      </c>
      <c r="B95" s="193">
        <f>'Données projet'!D98</f>
        <v>0</v>
      </c>
      <c r="C95" s="206"/>
      <c r="D95" s="191">
        <f t="shared" si="5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4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70</v>
      </c>
      <c r="B96" s="193">
        <f>'Données projet'!D99</f>
        <v>26</v>
      </c>
      <c r="C96" s="206">
        <v>50</v>
      </c>
      <c r="D96" s="191">
        <f t="shared" si="5"/>
        <v>1300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4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75</v>
      </c>
      <c r="B97" s="193">
        <f>'Données projet'!D100</f>
        <v>0</v>
      </c>
      <c r="C97" s="206"/>
      <c r="D97" s="191">
        <f t="shared" si="5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6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80</v>
      </c>
      <c r="B98" s="193">
        <f>'Données projet'!D101</f>
        <v>342</v>
      </c>
      <c r="C98" s="206">
        <v>100</v>
      </c>
      <c r="D98" s="191">
        <f t="shared" si="5"/>
        <v>34200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6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5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6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5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6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5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6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5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6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5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6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5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6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6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6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>Merisier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6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6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6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6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6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6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6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6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6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15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6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20</v>
      </c>
      <c r="B117" s="193">
        <f>'Données projet'!D115</f>
        <v>28</v>
      </c>
      <c r="C117" s="204">
        <v>10</v>
      </c>
      <c r="D117" s="191">
        <f t="shared" ref="D117:D135" si="7">B117*C117</f>
        <v>280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6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25</v>
      </c>
      <c r="B118" s="193">
        <f>'Données projet'!D116</f>
        <v>27</v>
      </c>
      <c r="C118" s="204">
        <v>10</v>
      </c>
      <c r="D118" s="191">
        <f t="shared" si="7"/>
        <v>270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6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31</v>
      </c>
      <c r="B119" s="193">
        <f>'Données projet'!D117</f>
        <v>36</v>
      </c>
      <c r="C119" s="204">
        <v>10</v>
      </c>
      <c r="D119" s="191">
        <f t="shared" si="7"/>
        <v>360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6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37</v>
      </c>
      <c r="B120" s="193">
        <f>'Données projet'!D118</f>
        <v>36</v>
      </c>
      <c r="C120" s="204">
        <v>15</v>
      </c>
      <c r="D120" s="191">
        <f t="shared" si="7"/>
        <v>540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6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44</v>
      </c>
      <c r="B121" s="193">
        <f>'Données projet'!D119</f>
        <v>43</v>
      </c>
      <c r="C121" s="204">
        <v>20</v>
      </c>
      <c r="D121" s="191">
        <f t="shared" si="7"/>
        <v>860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6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52</v>
      </c>
      <c r="B122" s="193">
        <f>'Données projet'!D120</f>
        <v>48</v>
      </c>
      <c r="C122" s="204">
        <v>30</v>
      </c>
      <c r="D122" s="191">
        <f t="shared" si="7"/>
        <v>1440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6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60</v>
      </c>
      <c r="B123" s="193">
        <f>'Données projet'!D121</f>
        <v>47</v>
      </c>
      <c r="C123" s="204">
        <v>50</v>
      </c>
      <c r="D123" s="191">
        <f t="shared" si="7"/>
        <v>2350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6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69</v>
      </c>
      <c r="B124" s="193">
        <f>'Données projet'!D122</f>
        <v>328</v>
      </c>
      <c r="C124" s="206">
        <v>100</v>
      </c>
      <c r="D124" s="191">
        <f t="shared" si="7"/>
        <v>32800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6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6"/>
      <c r="D125" s="191">
        <f t="shared" si="7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6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6"/>
      <c r="D126" s="191">
        <f t="shared" si="7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6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7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6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7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6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7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7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>$P$25/(1+$M$4)^O130</f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7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>$P$25/(1+$M$4)^O131</f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7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>$P$25/(1+$M$4)^O132</f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7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7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7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>Charme</v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15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20</v>
      </c>
      <c r="B148" s="187">
        <f>'Données projet'!D141</f>
        <v>34.615384615384613</v>
      </c>
      <c r="C148" s="204">
        <v>10</v>
      </c>
      <c r="D148" s="194">
        <f t="shared" ref="D148:D166" si="8">B148*C148</f>
        <v>346.15384615384613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25</v>
      </c>
      <c r="B149" s="187">
        <f>'Données projet'!D142</f>
        <v>0</v>
      </c>
      <c r="C149" s="204"/>
      <c r="D149" s="194">
        <f t="shared" si="8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30</v>
      </c>
      <c r="B150" s="187">
        <f>'Données projet'!D143</f>
        <v>38.46153846153846</v>
      </c>
      <c r="C150" s="204">
        <v>10</v>
      </c>
      <c r="D150" s="194">
        <f t="shared" si="8"/>
        <v>384.61538461538458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35</v>
      </c>
      <c r="B151" s="187">
        <f>'Données projet'!D144</f>
        <v>0</v>
      </c>
      <c r="C151" s="204"/>
      <c r="D151" s="194">
        <f t="shared" si="8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40</v>
      </c>
      <c r="B152" s="187">
        <f>'Données projet'!D145</f>
        <v>41.025641025641022</v>
      </c>
      <c r="C152" s="204">
        <v>15</v>
      </c>
      <c r="D152" s="194">
        <f t="shared" si="8"/>
        <v>615.38461538461536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45</v>
      </c>
      <c r="B153" s="187">
        <f>'Données projet'!D146</f>
        <v>0</v>
      </c>
      <c r="C153" s="204"/>
      <c r="D153" s="194">
        <f t="shared" si="8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50</v>
      </c>
      <c r="B154" s="187">
        <f>'Données projet'!D147</f>
        <v>41.025641025641022</v>
      </c>
      <c r="C154" s="204">
        <v>20</v>
      </c>
      <c r="D154" s="194">
        <f t="shared" si="8"/>
        <v>820.51282051282044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55</v>
      </c>
      <c r="B155" s="187">
        <f>'Données projet'!D148</f>
        <v>0</v>
      </c>
      <c r="C155" s="204"/>
      <c r="D155" s="194">
        <f t="shared" si="8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60</v>
      </c>
      <c r="B156" s="187">
        <f>'Données projet'!D149</f>
        <v>37.820512820512818</v>
      </c>
      <c r="C156" s="204">
        <v>20</v>
      </c>
      <c r="D156" s="194">
        <f t="shared" si="8"/>
        <v>756.41025641025635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65</v>
      </c>
      <c r="B157" s="187">
        <f>'Données projet'!D150</f>
        <v>0</v>
      </c>
      <c r="C157" s="204"/>
      <c r="D157" s="194">
        <f t="shared" si="8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70</v>
      </c>
      <c r="B158" s="187">
        <f>'Données projet'!D151</f>
        <v>36.53846153846154</v>
      </c>
      <c r="C158" s="204">
        <v>25</v>
      </c>
      <c r="D158" s="194">
        <f t="shared" si="8"/>
        <v>913.46153846153845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75</v>
      </c>
      <c r="B159" s="187">
        <f>'Données projet'!D152</f>
        <v>0</v>
      </c>
      <c r="C159" s="204"/>
      <c r="D159" s="194">
        <f t="shared" si="8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80</v>
      </c>
      <c r="B160" s="187">
        <f>'Données projet'!D153</f>
        <v>33.974358974358971</v>
      </c>
      <c r="C160" s="204">
        <v>30</v>
      </c>
      <c r="D160" s="194">
        <f t="shared" si="8"/>
        <v>1019.2307692307692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85</v>
      </c>
      <c r="B161" s="187">
        <f>'Données projet'!D154</f>
        <v>0</v>
      </c>
      <c r="C161" s="206"/>
      <c r="D161" s="194">
        <f t="shared" si="8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90</v>
      </c>
      <c r="B162" s="187">
        <f>'Données projet'!D155</f>
        <v>32.051282051282051</v>
      </c>
      <c r="C162" s="206">
        <v>35</v>
      </c>
      <c r="D162" s="194">
        <f t="shared" si="8"/>
        <v>1121.7948717948718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95</v>
      </c>
      <c r="B163" s="187">
        <f>'Données projet'!D156</f>
        <v>0</v>
      </c>
      <c r="C163" s="206"/>
      <c r="D163" s="194">
        <f t="shared" si="8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100</v>
      </c>
      <c r="B164" s="187">
        <f>'Données projet'!D157</f>
        <v>30.128205128205128</v>
      </c>
      <c r="C164" s="206">
        <v>40</v>
      </c>
      <c r="D164" s="194">
        <f t="shared" si="8"/>
        <v>1205.1282051282051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110</v>
      </c>
      <c r="B165" s="187">
        <f>'Données projet'!D158</f>
        <v>28.205128205128204</v>
      </c>
      <c r="C165" s="206">
        <v>40</v>
      </c>
      <c r="D165" s="194">
        <f t="shared" si="8"/>
        <v>1128.2051282051282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120</v>
      </c>
      <c r="B166" s="187">
        <f>'Données projet'!D159</f>
        <v>319.87179487179486</v>
      </c>
      <c r="C166" s="204">
        <v>50</v>
      </c>
      <c r="D166" s="194">
        <f t="shared" si="8"/>
        <v>15993.589743589742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>Alisier torminal</v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20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25</v>
      </c>
      <c r="B179" s="193">
        <f>'Données projet'!D167</f>
        <v>34</v>
      </c>
      <c r="C179" s="206">
        <v>10</v>
      </c>
      <c r="D179" s="191">
        <f t="shared" ref="D179:D197" si="9">B179*C179</f>
        <v>340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30</v>
      </c>
      <c r="B180" s="193">
        <f>'Données projet'!D168</f>
        <v>0</v>
      </c>
      <c r="C180" s="206"/>
      <c r="D180" s="191">
        <f t="shared" si="9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35</v>
      </c>
      <c r="B181" s="193">
        <f>'Données projet'!D169</f>
        <v>56</v>
      </c>
      <c r="C181" s="206">
        <v>10</v>
      </c>
      <c r="D181" s="191">
        <f t="shared" si="9"/>
        <v>560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40</v>
      </c>
      <c r="B182" s="193">
        <f>'Données projet'!D170</f>
        <v>0</v>
      </c>
      <c r="C182" s="206"/>
      <c r="D182" s="191">
        <f t="shared" si="9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45</v>
      </c>
      <c r="B183" s="193">
        <f>'Données projet'!D171</f>
        <v>56</v>
      </c>
      <c r="C183" s="206">
        <v>10</v>
      </c>
      <c r="D183" s="191">
        <f t="shared" si="9"/>
        <v>560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50</v>
      </c>
      <c r="B184" s="193">
        <f>'Données projet'!D172</f>
        <v>0</v>
      </c>
      <c r="C184" s="206"/>
      <c r="D184" s="191">
        <f t="shared" si="9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55</v>
      </c>
      <c r="B185" s="193">
        <f>'Données projet'!D173</f>
        <v>56</v>
      </c>
      <c r="C185" s="206">
        <v>20</v>
      </c>
      <c r="D185" s="191">
        <f t="shared" si="9"/>
        <v>1120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60</v>
      </c>
      <c r="B186" s="193">
        <f>'Données projet'!D174</f>
        <v>0</v>
      </c>
      <c r="C186" s="206"/>
      <c r="D186" s="191">
        <f t="shared" si="9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65</v>
      </c>
      <c r="B187" s="193">
        <f>'Données projet'!D175</f>
        <v>56</v>
      </c>
      <c r="C187" s="206">
        <v>30</v>
      </c>
      <c r="D187" s="191">
        <f t="shared" si="9"/>
        <v>1680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70</v>
      </c>
      <c r="B188" s="193">
        <f>'Données projet'!D176</f>
        <v>0</v>
      </c>
      <c r="C188" s="206"/>
      <c r="D188" s="191">
        <f t="shared" si="9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75</v>
      </c>
      <c r="B189" s="193">
        <f>'Données projet'!D177</f>
        <v>56</v>
      </c>
      <c r="C189" s="206">
        <v>40</v>
      </c>
      <c r="D189" s="191">
        <f t="shared" si="9"/>
        <v>2240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80</v>
      </c>
      <c r="B190" s="193">
        <f>'Données projet'!D178</f>
        <v>0</v>
      </c>
      <c r="C190" s="206"/>
      <c r="D190" s="191">
        <f t="shared" si="9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90</v>
      </c>
      <c r="B191" s="193">
        <f>'Données projet'!D179</f>
        <v>84</v>
      </c>
      <c r="C191" s="206">
        <v>50</v>
      </c>
      <c r="D191" s="191">
        <f t="shared" si="9"/>
        <v>4200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100</v>
      </c>
      <c r="B192" s="193">
        <f>'Données projet'!D180</f>
        <v>0</v>
      </c>
      <c r="C192" s="206"/>
      <c r="D192" s="191">
        <f t="shared" si="9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110</v>
      </c>
      <c r="B193" s="193">
        <f>'Données projet'!D181</f>
        <v>106</v>
      </c>
      <c r="C193" s="206">
        <v>70</v>
      </c>
      <c r="D193" s="191">
        <f t="shared" si="9"/>
        <v>7420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120</v>
      </c>
      <c r="B194" s="193">
        <f>'Données projet'!D182</f>
        <v>0</v>
      </c>
      <c r="C194" s="206"/>
      <c r="D194" s="191">
        <f t="shared" si="9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130</v>
      </c>
      <c r="B195" s="193">
        <f>'Données projet'!D183</f>
        <v>91</v>
      </c>
      <c r="C195" s="206">
        <v>100</v>
      </c>
      <c r="D195" s="191">
        <f t="shared" si="9"/>
        <v>9100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140</v>
      </c>
      <c r="B196" s="193">
        <f>'Données projet'!D184</f>
        <v>0</v>
      </c>
      <c r="C196" s="206"/>
      <c r="D196" s="191">
        <f t="shared" si="9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150</v>
      </c>
      <c r="B197" s="193">
        <f>'Données projet'!D185</f>
        <v>376</v>
      </c>
      <c r="C197" s="206">
        <v>200</v>
      </c>
      <c r="D197" s="191">
        <f t="shared" si="9"/>
        <v>75200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>Bouleau verruqueux</v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10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15</v>
      </c>
      <c r="B210" s="193">
        <f>'Données projet'!D193</f>
        <v>0</v>
      </c>
      <c r="C210" s="204"/>
      <c r="D210" s="191">
        <f t="shared" ref="D210:D228" si="10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20</v>
      </c>
      <c r="B211" s="193">
        <f>'Données projet'!D194</f>
        <v>40</v>
      </c>
      <c r="C211" s="206">
        <v>10</v>
      </c>
      <c r="D211" s="191">
        <f t="shared" si="10"/>
        <v>400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25</v>
      </c>
      <c r="B212" s="193">
        <f>'Données projet'!D195</f>
        <v>0</v>
      </c>
      <c r="C212" s="206"/>
      <c r="D212" s="191">
        <f t="shared" si="10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30</v>
      </c>
      <c r="B213" s="193">
        <f>'Données projet'!D196</f>
        <v>0</v>
      </c>
      <c r="C213" s="206"/>
      <c r="D213" s="191">
        <f t="shared" si="10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35</v>
      </c>
      <c r="B214" s="193">
        <f>'Données projet'!D197</f>
        <v>76</v>
      </c>
      <c r="C214" s="206">
        <v>15</v>
      </c>
      <c r="D214" s="191">
        <f t="shared" si="10"/>
        <v>1140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40</v>
      </c>
      <c r="B215" s="193">
        <f>'Données projet'!D198</f>
        <v>0</v>
      </c>
      <c r="C215" s="206"/>
      <c r="D215" s="191">
        <f t="shared" si="10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45</v>
      </c>
      <c r="B216" s="193">
        <f>'Données projet'!D199</f>
        <v>0</v>
      </c>
      <c r="C216" s="206"/>
      <c r="D216" s="191">
        <f t="shared" si="10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50</v>
      </c>
      <c r="B217" s="193">
        <f>'Données projet'!D200</f>
        <v>0</v>
      </c>
      <c r="C217" s="206"/>
      <c r="D217" s="191">
        <f t="shared" si="10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55</v>
      </c>
      <c r="B218" s="193">
        <f>'Données projet'!D201</f>
        <v>0</v>
      </c>
      <c r="C218" s="206"/>
      <c r="D218" s="191">
        <f t="shared" si="10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60</v>
      </c>
      <c r="B219" s="193">
        <f>'Données projet'!D202</f>
        <v>303</v>
      </c>
      <c r="C219" s="206">
        <v>30</v>
      </c>
      <c r="D219" s="191">
        <f t="shared" si="10"/>
        <v>9090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4"/>
      <c r="D220" s="191">
        <f t="shared" si="10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4"/>
      <c r="D221" s="191">
        <f t="shared" si="10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0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0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0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0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0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0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0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>Tilleul</v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10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15</v>
      </c>
      <c r="B241" s="193">
        <f>'Données projet'!D219</f>
        <v>0</v>
      </c>
      <c r="C241" s="204"/>
      <c r="D241" s="191">
        <f t="shared" ref="D241:D259" si="11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20</v>
      </c>
      <c r="B242" s="193">
        <f>'Données projet'!D220</f>
        <v>48.717948717948715</v>
      </c>
      <c r="C242" s="204">
        <v>10</v>
      </c>
      <c r="D242" s="191">
        <f t="shared" si="11"/>
        <v>487.17948717948718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25</v>
      </c>
      <c r="B243" s="193">
        <f>'Données projet'!D221</f>
        <v>0</v>
      </c>
      <c r="C243" s="204"/>
      <c r="D243" s="191">
        <f t="shared" si="11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30</v>
      </c>
      <c r="B244" s="193">
        <f>'Données projet'!D222</f>
        <v>44.871794871794869</v>
      </c>
      <c r="C244" s="204">
        <v>10</v>
      </c>
      <c r="D244" s="191">
        <f t="shared" si="11"/>
        <v>448.71794871794867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35</v>
      </c>
      <c r="B245" s="193">
        <f>'Données projet'!D223</f>
        <v>0</v>
      </c>
      <c r="C245" s="204"/>
      <c r="D245" s="191">
        <f t="shared" si="11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40</v>
      </c>
      <c r="B246" s="193">
        <f>'Données projet'!D224</f>
        <v>42.948717948717949</v>
      </c>
      <c r="C246" s="204">
        <v>15</v>
      </c>
      <c r="D246" s="191">
        <f t="shared" si="11"/>
        <v>644.23076923076928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45</v>
      </c>
      <c r="B247" s="193">
        <f>'Données projet'!D225</f>
        <v>0</v>
      </c>
      <c r="C247" s="204"/>
      <c r="D247" s="191">
        <f t="shared" si="11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50</v>
      </c>
      <c r="B248" s="193">
        <f>'Données projet'!D226</f>
        <v>41.666666666666664</v>
      </c>
      <c r="C248" s="204">
        <v>15</v>
      </c>
      <c r="D248" s="191">
        <f t="shared" si="11"/>
        <v>625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55</v>
      </c>
      <c r="B249" s="193">
        <f>'Données projet'!D227</f>
        <v>0</v>
      </c>
      <c r="C249" s="206"/>
      <c r="D249" s="191">
        <f t="shared" si="11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60</v>
      </c>
      <c r="B250" s="193">
        <f>'Données projet'!D228</f>
        <v>37.820512820512818</v>
      </c>
      <c r="C250" s="206">
        <v>20</v>
      </c>
      <c r="D250" s="191">
        <f t="shared" si="11"/>
        <v>756.41025641025635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65</v>
      </c>
      <c r="B251" s="193">
        <f>'Données projet'!D229</f>
        <v>0</v>
      </c>
      <c r="C251" s="206"/>
      <c r="D251" s="191">
        <f t="shared" si="11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70</v>
      </c>
      <c r="B252" s="193">
        <f>'Données projet'!D230</f>
        <v>35.256410256410255</v>
      </c>
      <c r="C252" s="206">
        <v>25</v>
      </c>
      <c r="D252" s="191">
        <f t="shared" si="11"/>
        <v>881.41025641025635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75</v>
      </c>
      <c r="B253" s="193">
        <f>'Données projet'!D231</f>
        <v>0</v>
      </c>
      <c r="C253" s="206"/>
      <c r="D253" s="191">
        <f t="shared" si="11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80</v>
      </c>
      <c r="B254" s="193">
        <f>'Données projet'!D232</f>
        <v>32.051282051282051</v>
      </c>
      <c r="C254" s="206">
        <v>30</v>
      </c>
      <c r="D254" s="191">
        <f t="shared" si="11"/>
        <v>961.53846153846155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85</v>
      </c>
      <c r="B255" s="193">
        <f>'Données projet'!D233</f>
        <v>0</v>
      </c>
      <c r="C255" s="206"/>
      <c r="D255" s="191">
        <f t="shared" si="11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90</v>
      </c>
      <c r="B256" s="193">
        <f>'Données projet'!D234</f>
        <v>30.128205128205128</v>
      </c>
      <c r="C256" s="206">
        <v>40</v>
      </c>
      <c r="D256" s="191">
        <f t="shared" si="11"/>
        <v>1205.1282051282051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95</v>
      </c>
      <c r="B257" s="193">
        <f>'Données projet'!D235</f>
        <v>0</v>
      </c>
      <c r="C257" s="206"/>
      <c r="D257" s="191">
        <f t="shared" si="11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100</v>
      </c>
      <c r="B258" s="193">
        <f>'Données projet'!D236</f>
        <v>27.564102564102562</v>
      </c>
      <c r="C258" s="206">
        <v>40</v>
      </c>
      <c r="D258" s="191">
        <f t="shared" si="11"/>
        <v>1102.5641025641025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110</v>
      </c>
      <c r="B259" s="193">
        <f>'Données projet'!D237</f>
        <v>410.25641025641022</v>
      </c>
      <c r="C259" s="206">
        <v>50</v>
      </c>
      <c r="D259" s="191">
        <f t="shared" si="11"/>
        <v>20512.820512820512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2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2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2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2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2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2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2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2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2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2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2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2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2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2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2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2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2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2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2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3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3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3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3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3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3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3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3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3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3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3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3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3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3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3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3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3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3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3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OCCI_OG</cp:lastModifiedBy>
  <dcterms:created xsi:type="dcterms:W3CDTF">2021-02-01T08:22:39Z</dcterms:created>
  <dcterms:modified xsi:type="dcterms:W3CDTF">2023-06-29T14:35:09Z</dcterms:modified>
</cp:coreProperties>
</file>