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3-2024/BRIANCEAU 13354911 JL/"/>
    </mc:Choice>
  </mc:AlternateContent>
  <xr:revisionPtr revIDLastSave="69" documentId="8_{1DE295F1-0CAB-4716-BFC8-FD25B43C7E4D}" xr6:coauthVersionLast="47" xr6:coauthVersionMax="47" xr10:uidLastSave="{337D745D-DD3D-46A1-B5F7-D36BCE792971}"/>
  <bookViews>
    <workbookView xWindow="-90" yWindow="0" windowWidth="9780" windowHeight="10170" tabRatio="866" firstSheet="1" activeTab="2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VAN" sheetId="6" r:id="rId6"/>
    <sheet name="REE" sheetId="4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C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HI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FS20" i="2"/>
  <c r="HH20" i="2"/>
  <c r="EV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EW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H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FS38" i="2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FS57" i="2"/>
  <c r="EV57" i="2"/>
  <c r="HH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W85" i="2"/>
  <c r="HH85" i="2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EB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C112" i="2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C113" i="2"/>
  <c r="EB113" i="2"/>
  <c r="FS113" i="2"/>
  <c r="HI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V114" i="2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S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HI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HI122" i="2"/>
  <c r="FS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FS124" i="2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HG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HH139" i="2"/>
  <c r="EB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HG141" i="2"/>
  <c r="FS141" i="2"/>
  <c r="EA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EA144" i="2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H145" i="2" l="1"/>
  <c r="HG145" i="2"/>
  <c r="EX145" i="2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HH146" i="2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AB154" i="2"/>
  <c r="HG154" i="2"/>
  <c r="HJ154" i="2" s="1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EX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FS156" i="2" l="1"/>
  <c r="EB156" i="2"/>
  <c r="HI156" i="2"/>
  <c r="AB156" i="2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X157" i="2"/>
  <c r="HG157" i="2"/>
  <c r="HH157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A159" i="2"/>
  <c r="HH159" i="2"/>
  <c r="EC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HI160" i="2"/>
  <c r="ED159" i="2"/>
  <c r="HH160" i="2"/>
  <c r="FS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EX161" i="2"/>
  <c r="EA161" i="2"/>
  <c r="EB161" i="2"/>
  <c r="FS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HG162" i="2"/>
  <c r="EB162" i="2"/>
  <c r="HH162" i="2"/>
  <c r="EC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HH163" i="2"/>
  <c r="EA163" i="2"/>
  <c r="HG163" i="2"/>
  <c r="EV163" i="2"/>
  <c r="EY163" i="2" s="1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A164" i="2" l="1"/>
  <c r="FR164" i="2"/>
  <c r="DI163" i="2"/>
  <c r="HH164" i="2"/>
  <c r="HG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A165" i="2"/>
  <c r="ED165" i="2" s="1"/>
  <c r="HG165" i="2"/>
  <c r="EX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HH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I167" i="2"/>
  <c r="HI168" i="2"/>
  <c r="HH168" i="2"/>
  <c r="DG168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B169" i="2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A172" i="2"/>
  <c r="EB172" i="2"/>
  <c r="HI172" i="2"/>
  <c r="HG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HH173" i="2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EA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EC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FS178" i="2"/>
  <c r="HH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HI179" i="2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I185" i="2" l="1"/>
  <c r="EW185" i="2"/>
  <c r="HH185" i="2"/>
  <c r="HG185" i="2"/>
  <c r="EA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FS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HH189" i="2" l="1"/>
  <c r="EB189" i="2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V190" i="2" l="1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EB194" i="2" l="1"/>
  <c r="FQ194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HG195" i="2" l="1"/>
  <c r="HI195" i="2"/>
  <c r="EA195" i="2"/>
  <c r="EX195" i="2"/>
  <c r="A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HH197" i="2"/>
  <c r="EA197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FS199" i="2"/>
  <c r="HH199" i="2"/>
  <c r="EB199" i="2"/>
  <c r="HG199" i="2"/>
  <c r="HJ199" i="2" s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FS201" i="2" l="1"/>
  <c r="EA201" i="2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HG202" i="2"/>
  <c r="FR202" i="2"/>
  <c r="EX202" i="2"/>
  <c r="HH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FY190" i="2" a="1"/>
  <c r="FY190" i="2" s="1"/>
  <c r="FY104" i="2" a="1"/>
  <c r="FY104" i="2" s="1"/>
  <c r="BC34" i="2" a="1"/>
  <c r="BC34" i="2" s="1"/>
  <c r="BC58" i="2" a="1"/>
  <c r="BC58" i="2" s="1"/>
  <c r="BC68" i="2" a="1"/>
  <c r="BC68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CS116" i="2" a="1"/>
  <c r="CS116" i="2" s="1"/>
  <c r="FY196" i="2" a="1"/>
  <c r="FY196" i="2" s="1"/>
  <c r="FY30" i="2" a="1"/>
  <c r="FY30" i="2" s="1"/>
  <c r="FY142" i="2" a="1"/>
  <c r="FY142" i="2" s="1"/>
  <c r="FD188" i="2" a="1"/>
  <c r="FD188" i="2" s="1"/>
  <c r="FD48" i="2" a="1"/>
  <c r="FD48" i="2" s="1"/>
  <c r="FD189" i="2" a="1"/>
  <c r="FD189" i="2" s="1"/>
  <c r="FD167" i="2" a="1"/>
  <c r="FD167" i="2" s="1"/>
  <c r="FD159" i="2" a="1"/>
  <c r="FD159" i="2" s="1"/>
  <c r="FD160" i="2" a="1"/>
  <c r="FD160" i="2" s="1"/>
  <c r="BC130" i="2" a="1"/>
  <c r="BC130" i="2" s="1"/>
  <c r="BC55" i="2" a="1"/>
  <c r="BC55" i="2" s="1"/>
  <c r="BC192" i="2" a="1"/>
  <c r="BC192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38" i="2" a="1"/>
  <c r="BC38" i="2" s="1"/>
  <c r="BC18" i="2" a="1"/>
  <c r="BC18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CS185" i="2" a="1"/>
  <c r="CS185" i="2" s="1"/>
  <c r="DN167" i="2" a="1"/>
  <c r="DN167" i="2" s="1"/>
  <c r="DN6" i="2" a="1"/>
  <c r="DN6" i="2" s="1"/>
  <c r="DO6" i="2" s="1"/>
  <c r="CS134" i="2" a="1"/>
  <c r="CS134" i="2" s="1"/>
  <c r="BX107" i="2" a="1"/>
  <c r="BX107" i="2" s="1"/>
  <c r="FD82" i="2" a="1"/>
  <c r="FD82" i="2" s="1"/>
  <c r="HJ202" i="2"/>
  <c r="AX200" i="2"/>
  <c r="CS77" i="2" l="1" a="1"/>
  <c r="CS77" i="2" s="1"/>
  <c r="CS72" i="2" a="1"/>
  <c r="CS72" i="2" s="1"/>
  <c r="CS137" i="2" a="1"/>
  <c r="CS137" i="2" s="1"/>
  <c r="CS24" i="2" a="1"/>
  <c r="CS24" i="2" s="1"/>
  <c r="CS129" i="2" a="1"/>
  <c r="CS129" i="2" s="1"/>
  <c r="CS52" i="2" a="1"/>
  <c r="CS52" i="2" s="1"/>
  <c r="CS38" i="2" a="1"/>
  <c r="CS38" i="2" s="1"/>
  <c r="CS66" i="2" a="1"/>
  <c r="CS66" i="2" s="1"/>
  <c r="CS114" i="2" a="1"/>
  <c r="CS114" i="2" s="1"/>
  <c r="CS105" i="2" a="1"/>
  <c r="CS105" i="2" s="1"/>
  <c r="CS56" i="2" a="1"/>
  <c r="CS56" i="2" s="1"/>
  <c r="CS120" i="2" a="1"/>
  <c r="CS120" i="2" s="1"/>
  <c r="CS161" i="2" a="1"/>
  <c r="CS161" i="2" s="1"/>
  <c r="BC83" i="2" a="1"/>
  <c r="BC83" i="2" s="1"/>
  <c r="BC164" i="2" a="1"/>
  <c r="BC164" i="2" s="1"/>
  <c r="BC82" i="2" a="1"/>
  <c r="BC82" i="2" s="1"/>
  <c r="BC47" i="2" a="1"/>
  <c r="BC47" i="2" s="1"/>
  <c r="AH62" i="2" a="1"/>
  <c r="AH62" i="2" s="1"/>
  <c r="AH199" i="2" a="1"/>
  <c r="AH199" i="2" s="1"/>
  <c r="AH19" i="2" a="1"/>
  <c r="AH19" i="2" s="1"/>
  <c r="AH166" i="2" a="1"/>
  <c r="AH166" i="2" s="1"/>
  <c r="AH90" i="2" a="1"/>
  <c r="AH90" i="2" s="1"/>
  <c r="AH151" i="2" a="1"/>
  <c r="AH151" i="2" s="1"/>
  <c r="AH163" i="2" a="1"/>
  <c r="AH163" i="2" s="1"/>
  <c r="DN66" i="2" a="1"/>
  <c r="DN66" i="2" s="1"/>
  <c r="DN188" i="2" a="1"/>
  <c r="DN188" i="2" s="1"/>
  <c r="EI106" i="2" a="1"/>
  <c r="EI106" i="2" s="1"/>
  <c r="EI67" i="2" a="1"/>
  <c r="EI67" i="2" s="1"/>
  <c r="DN50" i="2" a="1"/>
  <c r="DN50" i="2" s="1"/>
  <c r="EI71" i="2" a="1"/>
  <c r="EI71" i="2" s="1"/>
  <c r="DN113" i="2" a="1"/>
  <c r="DN113" i="2" s="1"/>
  <c r="DN103" i="2" a="1"/>
  <c r="DN103" i="2" s="1"/>
  <c r="DN186" i="2" a="1"/>
  <c r="DN186" i="2" s="1"/>
  <c r="DN176" i="2" a="1"/>
  <c r="DN176" i="2" s="1"/>
  <c r="DN31" i="2" a="1"/>
  <c r="DN31" i="2" s="1"/>
  <c r="DN137" i="2" a="1"/>
  <c r="DN137" i="2" s="1"/>
  <c r="EI170" i="2" a="1"/>
  <c r="EI170" i="2" s="1"/>
  <c r="EI166" i="2" a="1"/>
  <c r="EI166" i="2" s="1"/>
  <c r="DN16" i="2" a="1"/>
  <c r="DN16" i="2" s="1"/>
  <c r="DN80" i="2" a="1"/>
  <c r="DN80" i="2" s="1"/>
  <c r="EI16" i="2" a="1"/>
  <c r="EI16" i="2" s="1"/>
  <c r="EI36" i="2" a="1"/>
  <c r="EI36" i="2" s="1"/>
  <c r="DN86" i="2" a="1"/>
  <c r="DN86" i="2" s="1"/>
  <c r="DN25" i="2" a="1"/>
  <c r="DN25" i="2" s="1"/>
  <c r="EI57" i="2" a="1"/>
  <c r="EI57" i="2" s="1"/>
  <c r="DN45" i="2" a="1"/>
  <c r="DN45" i="2" s="1"/>
  <c r="DN133" i="2" a="1"/>
  <c r="DN133" i="2" s="1"/>
  <c r="DN162" i="2" a="1"/>
  <c r="DN162" i="2" s="1"/>
  <c r="EI113" i="2" a="1"/>
  <c r="EI113" i="2" s="1"/>
  <c r="EI87" i="2" a="1"/>
  <c r="EI87" i="2" s="1"/>
  <c r="DN123" i="2" a="1"/>
  <c r="DN123" i="2" s="1"/>
  <c r="DN177" i="2" a="1"/>
  <c r="DN177" i="2" s="1"/>
  <c r="DN184" i="2" a="1"/>
  <c r="DN184" i="2" s="1"/>
  <c r="DN65" i="2" a="1"/>
  <c r="DN65" i="2" s="1"/>
  <c r="DN49" i="2" a="1"/>
  <c r="DN49" i="2" s="1"/>
  <c r="DN168" i="2" a="1"/>
  <c r="DN168" i="2" s="1"/>
  <c r="EI128" i="2" a="1"/>
  <c r="EI128" i="2" s="1"/>
  <c r="EI109" i="2" a="1"/>
  <c r="EI109" i="2" s="1"/>
  <c r="EI195" i="2" a="1"/>
  <c r="EI195" i="2" s="1"/>
  <c r="DN115" i="2" a="1"/>
  <c r="DN115" i="2" s="1"/>
  <c r="DN152" i="2" a="1"/>
  <c r="DN152" i="2" s="1"/>
  <c r="DN124" i="2" a="1"/>
  <c r="DN124" i="2" s="1"/>
  <c r="AH92" i="2" a="1"/>
  <c r="AH92" i="2" s="1"/>
  <c r="DN132" i="2" a="1"/>
  <c r="DN132" i="2" s="1"/>
  <c r="DN70" i="2" a="1"/>
  <c r="DN70" i="2" s="1"/>
  <c r="DN164" i="2" a="1"/>
  <c r="DN164" i="2" s="1"/>
  <c r="EI37" i="2" a="1"/>
  <c r="EI37" i="2" s="1"/>
  <c r="EI20" i="2" a="1"/>
  <c r="EI20" i="2" s="1"/>
  <c r="EI38" i="2" a="1"/>
  <c r="EI38" i="2" s="1"/>
  <c r="DN63" i="2" a="1"/>
  <c r="DN63" i="2" s="1"/>
  <c r="DN153" i="2" a="1"/>
  <c r="DN153" i="2" s="1"/>
  <c r="DN29" i="2" a="1"/>
  <c r="DN29" i="2" s="1"/>
  <c r="DN187" i="2" a="1"/>
  <c r="DN187" i="2" s="1"/>
  <c r="DN55" i="2" a="1"/>
  <c r="DN55" i="2" s="1"/>
  <c r="DN135" i="2" a="1"/>
  <c r="DN135" i="2" s="1"/>
  <c r="EI35" i="2" a="1"/>
  <c r="EI35" i="2" s="1"/>
  <c r="EI34" i="2" a="1"/>
  <c r="EI34" i="2" s="1"/>
  <c r="DN150" i="2" a="1"/>
  <c r="DN150" i="2" s="1"/>
  <c r="DN170" i="2" a="1"/>
  <c r="DN170" i="2" s="1"/>
  <c r="DN41" i="2" a="1"/>
  <c r="DN41" i="2" s="1"/>
  <c r="DN155" i="2" a="1"/>
  <c r="DN155" i="2" s="1"/>
  <c r="DN190" i="2" a="1"/>
  <c r="DN190" i="2" s="1"/>
  <c r="DN30" i="2" a="1"/>
  <c r="DN30" i="2" s="1"/>
  <c r="DN46" i="2" a="1"/>
  <c r="DN46" i="2" s="1"/>
  <c r="DN110" i="2" a="1"/>
  <c r="DN110" i="2" s="1"/>
  <c r="DN38" i="2" a="1"/>
  <c r="DN38" i="2" s="1"/>
  <c r="EI139" i="2" a="1"/>
  <c r="EI139" i="2" s="1"/>
  <c r="EI165" i="2" a="1"/>
  <c r="EI165" i="2" s="1"/>
  <c r="DN114" i="2" a="1"/>
  <c r="DN114" i="2" s="1"/>
  <c r="DN192" i="2" a="1"/>
  <c r="DN192" i="2" s="1"/>
  <c r="DN129" i="2" a="1"/>
  <c r="DN129" i="2" s="1"/>
  <c r="DN43" i="2" a="1"/>
  <c r="DN43" i="2" s="1"/>
  <c r="EI142" i="2" a="1"/>
  <c r="EI142" i="2" s="1"/>
  <c r="DN56" i="2" a="1"/>
  <c r="DN56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8" i="2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CD158" i="2" l="1"/>
  <c r="CD143" i="2"/>
  <c r="CD165" i="2"/>
  <c r="CD122" i="2"/>
  <c r="CD60" i="2"/>
  <c r="CD13" i="2"/>
  <c r="CD35" i="2"/>
  <c r="CD71" i="2"/>
  <c r="CD141" i="2"/>
  <c r="CD82" i="2"/>
  <c r="CD123" i="2"/>
  <c r="CD69" i="2"/>
  <c r="CD134" i="2"/>
  <c r="CD150" i="2"/>
  <c r="CD28" i="2"/>
  <c r="CD10" i="2"/>
  <c r="CD198" i="2"/>
  <c r="CD51" i="2"/>
  <c r="CD31" i="2"/>
  <c r="CD104" i="2"/>
  <c r="CD199" i="2"/>
  <c r="CD58" i="2"/>
  <c r="CD84" i="2"/>
  <c r="CD152" i="2"/>
  <c r="CD113" i="2"/>
  <c r="CD177" i="2"/>
  <c r="CD90" i="2"/>
  <c r="CD162" i="2"/>
  <c r="CD138" i="2"/>
  <c r="CD3" i="2"/>
  <c r="C9" i="4" s="1"/>
  <c r="E9" i="4" s="1"/>
  <c r="F9" i="4" s="1"/>
  <c r="G9" i="4" s="1"/>
  <c r="L9" i="4" s="1"/>
  <c r="CD77" i="2"/>
  <c r="CD61" i="2"/>
  <c r="CD19" i="2"/>
  <c r="CD65" i="2"/>
  <c r="CD164" i="2"/>
  <c r="CD21" i="2"/>
  <c r="CD20" i="2"/>
  <c r="CD189" i="2"/>
  <c r="CD120" i="2"/>
  <c r="CD79" i="2"/>
  <c r="CD33" i="2"/>
  <c r="CD163" i="2"/>
  <c r="CD109" i="2"/>
  <c r="CD72" i="2"/>
  <c r="CD29" i="2"/>
  <c r="CD37" i="2"/>
  <c r="CD67" i="2"/>
  <c r="CD180" i="2"/>
  <c r="CD133" i="2"/>
  <c r="CD136" i="2"/>
  <c r="CD22" i="2"/>
  <c r="CD93" i="2"/>
  <c r="CD95" i="2"/>
  <c r="CD149" i="2"/>
  <c r="CD53" i="2"/>
  <c r="CD9" i="2"/>
  <c r="CD11" i="2"/>
  <c r="CD91" i="2"/>
  <c r="CD106" i="2"/>
  <c r="CD202" i="2"/>
  <c r="CD47" i="2"/>
  <c r="CD167" i="2"/>
  <c r="CD99" i="2"/>
  <c r="CD172" i="2"/>
  <c r="CD80" i="2"/>
  <c r="CD30" i="2"/>
  <c r="CD24" i="2"/>
  <c r="CD192" i="2"/>
  <c r="CD88" i="2"/>
  <c r="CD74" i="2"/>
  <c r="CD116" i="2"/>
  <c r="CD42" i="2"/>
  <c r="CD105" i="2"/>
  <c r="CD151" i="2"/>
  <c r="CD40" i="2"/>
  <c r="CD54" i="2"/>
  <c r="CD160" i="2"/>
  <c r="CD68" i="2"/>
  <c r="CD63" i="2"/>
  <c r="CD100" i="2"/>
  <c r="CD126" i="2"/>
  <c r="CD137" i="2"/>
  <c r="CD187" i="2"/>
  <c r="CD118" i="2"/>
  <c r="CD102" i="2"/>
  <c r="CD156" i="2"/>
  <c r="CD87" i="2"/>
  <c r="CD181" i="2"/>
  <c r="CD62" i="2"/>
  <c r="CD196" i="2"/>
  <c r="CD26" i="2"/>
  <c r="CD157" i="2"/>
  <c r="CD86" i="2"/>
  <c r="CD45" i="2"/>
  <c r="CD18" i="2"/>
  <c r="CD130" i="2"/>
  <c r="CD17" i="2"/>
  <c r="CD43" i="2"/>
  <c r="CD6" i="2"/>
  <c r="CD201" i="2"/>
  <c r="CD48" i="2"/>
  <c r="CD154" i="2"/>
  <c r="CD144" i="2"/>
  <c r="CD173" i="2"/>
  <c r="CD186" i="2"/>
  <c r="CD183" i="2"/>
  <c r="CD89" i="2"/>
  <c r="CD50" i="2"/>
  <c r="CD36" i="2"/>
  <c r="CD78" i="2"/>
  <c r="CD168" i="2"/>
  <c r="CD142" i="2"/>
  <c r="CD153" i="2"/>
  <c r="CD131" i="2"/>
  <c r="CD114" i="2"/>
  <c r="CD98" i="2"/>
  <c r="CD174" i="2"/>
  <c r="CD107" i="2"/>
  <c r="CD176" i="2"/>
  <c r="CD166" i="2"/>
  <c r="CD75" i="2"/>
  <c r="CD203" i="2"/>
  <c r="CD57" i="2"/>
  <c r="CD52" i="2"/>
  <c r="CD101" i="2"/>
  <c r="CD178" i="2"/>
  <c r="CD170" i="2"/>
  <c r="CD103" i="2"/>
  <c r="CD7" i="2"/>
  <c r="CD97" i="2"/>
  <c r="CD70" i="2"/>
  <c r="CD127" i="2"/>
  <c r="CD197" i="2"/>
  <c r="CD25" i="2"/>
  <c r="CD49" i="2"/>
  <c r="CD128" i="2"/>
  <c r="CD185" i="2"/>
  <c r="CD76" i="2"/>
  <c r="CD5" i="2"/>
  <c r="CD94" i="2"/>
  <c r="CD12" i="2"/>
  <c r="CD110" i="2"/>
  <c r="CD38" i="2"/>
  <c r="CD59" i="2"/>
  <c r="CD140" i="2"/>
  <c r="CD147" i="2"/>
  <c r="CD194" i="2"/>
  <c r="CD55" i="2"/>
  <c r="CD73" i="2"/>
  <c r="CD41" i="2"/>
  <c r="CD119" i="2"/>
  <c r="CD139" i="2"/>
  <c r="CD64" i="2"/>
  <c r="CD46" i="2"/>
  <c r="CD193" i="2"/>
  <c r="CD148" i="2"/>
  <c r="CD184" i="2"/>
  <c r="CD124" i="2"/>
  <c r="CD85" i="2"/>
  <c r="CD23" i="2"/>
  <c r="CD121" i="2"/>
  <c r="CD155" i="2"/>
  <c r="CD108" i="2"/>
  <c r="CD117" i="2"/>
  <c r="CD44" i="2"/>
  <c r="CD175" i="2"/>
  <c r="CD159" i="2"/>
  <c r="CD15" i="2"/>
  <c r="CD190" i="2"/>
  <c r="CD56" i="2"/>
  <c r="CD195" i="2"/>
  <c r="CD112" i="2"/>
  <c r="CD32" i="2"/>
  <c r="CD39" i="2"/>
  <c r="CD171" i="2"/>
  <c r="CD146" i="2"/>
  <c r="CD92" i="2"/>
  <c r="CD66" i="2"/>
  <c r="CD27" i="2"/>
  <c r="CD16" i="2"/>
  <c r="CD81" i="2"/>
  <c r="CD115" i="2"/>
  <c r="CD200" i="2"/>
  <c r="CD135" i="2"/>
  <c r="CD188" i="2"/>
  <c r="CD96" i="2"/>
  <c r="CD179" i="2"/>
  <c r="CD145" i="2"/>
  <c r="CD125" i="2"/>
  <c r="CD4" i="2"/>
  <c r="CD169" i="2"/>
  <c r="CD8" i="2"/>
  <c r="CD14" i="2"/>
  <c r="CD182" i="2"/>
  <c r="CD111" i="2"/>
  <c r="CD83" i="2"/>
  <c r="CD129" i="2"/>
  <c r="CD191" i="2"/>
  <c r="CD161" i="2"/>
  <c r="CD34" i="2"/>
  <c r="CD132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I47" i="2" l="1"/>
  <c r="BI108" i="2"/>
  <c r="BI73" i="2"/>
  <c r="BI158" i="2"/>
  <c r="BI174" i="2"/>
  <c r="BI58" i="2"/>
  <c r="BI182" i="2"/>
  <c r="BI110" i="2"/>
  <c r="BI75" i="2"/>
  <c r="BI15" i="2"/>
  <c r="BI32" i="2"/>
  <c r="BI177" i="2"/>
  <c r="BI9" i="2"/>
  <c r="BI71" i="2"/>
  <c r="BI45" i="2"/>
  <c r="BI132" i="2"/>
  <c r="BI67" i="2"/>
  <c r="BI92" i="2"/>
  <c r="BI111" i="2"/>
  <c r="BI199" i="2"/>
  <c r="BI94" i="2"/>
  <c r="BI89" i="2"/>
  <c r="BI117" i="2"/>
  <c r="BI19" i="2"/>
  <c r="BI57" i="2"/>
  <c r="BI23" i="2"/>
  <c r="BI29" i="2"/>
  <c r="BI74" i="2"/>
  <c r="BI191" i="2"/>
  <c r="BI168" i="2"/>
  <c r="BI93" i="2"/>
  <c r="BI121" i="2"/>
  <c r="BI106" i="2"/>
  <c r="BI79" i="2"/>
  <c r="BI196" i="2"/>
  <c r="BI85" i="2"/>
  <c r="BI164" i="2"/>
  <c r="BI149" i="2"/>
  <c r="BI13" i="2"/>
  <c r="BI116" i="2"/>
  <c r="BI76" i="2"/>
  <c r="BI127" i="2"/>
  <c r="BI178" i="2"/>
  <c r="BI6" i="2"/>
  <c r="BI66" i="2"/>
  <c r="BI114" i="2"/>
  <c r="BI5" i="2"/>
  <c r="BI173" i="2"/>
  <c r="BI170" i="2"/>
  <c r="BI189" i="2"/>
  <c r="BI133" i="2"/>
  <c r="BI165" i="2"/>
  <c r="BI44" i="2"/>
  <c r="BI86" i="2"/>
  <c r="BI143" i="2"/>
  <c r="BI33" i="2"/>
  <c r="BI115" i="2"/>
  <c r="BI10" i="2"/>
  <c r="BI11" i="2"/>
  <c r="BI194" i="2"/>
  <c r="BI112" i="2"/>
  <c r="BI53" i="2"/>
  <c r="BI42" i="2"/>
  <c r="BI109" i="2"/>
  <c r="BI39" i="2"/>
  <c r="BI113" i="2"/>
  <c r="BI156" i="2"/>
  <c r="BI34" i="2"/>
  <c r="BI134" i="2"/>
  <c r="BI24" i="2"/>
  <c r="BI97" i="2"/>
  <c r="BI35" i="2"/>
  <c r="BI82" i="2"/>
  <c r="BI197" i="2"/>
  <c r="BI40" i="2"/>
  <c r="BI3" i="2"/>
  <c r="C8" i="4" s="1"/>
  <c r="E8" i="4" s="1"/>
  <c r="F8" i="4" s="1"/>
  <c r="G8" i="4" s="1"/>
  <c r="L8" i="4" s="1"/>
  <c r="BI120" i="2"/>
  <c r="BI185" i="2"/>
  <c r="BI43" i="2"/>
  <c r="BI56" i="2"/>
  <c r="BI54" i="2"/>
  <c r="BI99" i="2"/>
  <c r="BI128" i="2"/>
  <c r="BI181" i="2"/>
  <c r="BI46" i="2"/>
  <c r="BI131" i="2"/>
  <c r="BI21" i="2"/>
  <c r="BI138" i="2"/>
  <c r="BI101" i="2"/>
  <c r="BI7" i="2"/>
  <c r="BI51" i="2"/>
  <c r="BI146" i="2"/>
  <c r="BI186" i="2"/>
  <c r="BI195" i="2"/>
  <c r="BI60" i="2"/>
  <c r="BI49" i="2"/>
  <c r="BI65" i="2"/>
  <c r="BI26" i="2"/>
  <c r="BI142" i="2"/>
  <c r="BI122" i="2"/>
  <c r="BI151" i="2"/>
  <c r="BI20" i="2"/>
  <c r="BI200" i="2"/>
  <c r="BI126" i="2"/>
  <c r="BI36" i="2"/>
  <c r="BI70" i="2"/>
  <c r="BI180" i="2"/>
  <c r="BI124" i="2"/>
  <c r="BI184" i="2"/>
  <c r="BI98" i="2"/>
  <c r="BI84" i="2"/>
  <c r="BI118" i="2"/>
  <c r="BI28" i="2"/>
  <c r="BI37" i="2"/>
  <c r="BI161" i="2"/>
  <c r="BI172" i="2"/>
  <c r="BI157" i="2"/>
  <c r="BI4" i="2"/>
  <c r="BI192" i="2"/>
  <c r="BI163" i="2"/>
  <c r="BI50" i="2"/>
  <c r="BI90" i="2"/>
  <c r="BI155" i="2"/>
  <c r="BI130" i="2"/>
  <c r="BI16" i="2"/>
  <c r="BI179" i="2"/>
  <c r="BI96" i="2"/>
  <c r="BI27" i="2"/>
  <c r="BI103" i="2"/>
  <c r="BI171" i="2"/>
  <c r="BI139" i="2"/>
  <c r="BI137" i="2"/>
  <c r="BI41" i="2"/>
  <c r="BI123" i="2"/>
  <c r="BI63" i="2"/>
  <c r="BI38" i="2"/>
  <c r="BI202" i="2"/>
  <c r="BI125" i="2"/>
  <c r="BI30" i="2"/>
  <c r="BI17" i="2"/>
  <c r="BI159" i="2"/>
  <c r="BI8" i="2"/>
  <c r="BI160" i="2"/>
  <c r="BI62" i="2"/>
  <c r="BI148" i="2"/>
  <c r="BI150" i="2"/>
  <c r="BI78" i="2"/>
  <c r="BI25" i="2"/>
  <c r="BI187" i="2"/>
  <c r="BI166" i="2"/>
  <c r="BI190" i="2"/>
  <c r="BI119" i="2"/>
  <c r="BI162" i="2"/>
  <c r="BI141" i="2"/>
  <c r="BI55" i="2"/>
  <c r="BI140" i="2"/>
  <c r="BI176" i="2"/>
  <c r="BI80" i="2"/>
  <c r="BI193" i="2"/>
  <c r="BI52" i="2"/>
  <c r="BI104" i="2"/>
  <c r="BI31" i="2"/>
  <c r="BI201" i="2"/>
  <c r="BI169" i="2"/>
  <c r="BI154" i="2"/>
  <c r="BI198" i="2"/>
  <c r="BI105" i="2"/>
  <c r="BI135" i="2"/>
  <c r="BI69" i="2"/>
  <c r="BI14" i="2"/>
  <c r="BI147" i="2"/>
  <c r="BI88" i="2"/>
  <c r="BI100" i="2"/>
  <c r="BI153" i="2"/>
  <c r="BI152" i="2"/>
  <c r="BI12" i="2"/>
  <c r="BI48" i="2"/>
  <c r="BI64" i="2"/>
  <c r="BI175" i="2"/>
  <c r="BI107" i="2"/>
  <c r="BI61" i="2"/>
  <c r="BI136" i="2"/>
  <c r="BI22" i="2"/>
  <c r="BI167" i="2"/>
  <c r="BI183" i="2"/>
  <c r="BI102" i="2"/>
  <c r="BI95" i="2"/>
  <c r="BI129" i="2"/>
  <c r="BI83" i="2"/>
  <c r="BI203" i="2"/>
  <c r="BI72" i="2"/>
  <c r="BI59" i="2"/>
  <c r="BI77" i="2"/>
  <c r="BI68" i="2"/>
  <c r="BI188" i="2"/>
  <c r="BI144" i="2"/>
  <c r="BI87" i="2"/>
  <c r="BI81" i="2"/>
  <c r="BI145" i="2"/>
  <c r="BI91" i="2"/>
  <c r="BI18" i="2"/>
  <c r="BF134" i="2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<sst xmlns="http://schemas.openxmlformats.org/spreadsheetml/2006/main" count="1179" uniqueCount="329">
  <si>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</si>
  <si>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</si>
  <si>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</si>
  <si>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</si>
  <si>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</si>
  <si>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</si>
  <si>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</si>
  <si>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</si>
  <si>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</si>
  <si>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</si>
  <si>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</si>
  <si>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</si>
  <si>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</si>
  <si>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</si>
  <si>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</si>
  <si>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</si>
  <si>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Chêne sessile</t>
  </si>
  <si>
    <t>NB : La durée de révolution doit être identique à la dernière année indiquée dans la table de production renseignée en dessous</t>
  </si>
  <si>
    <t>Essence 2</t>
  </si>
  <si>
    <t>Pin maritime</t>
  </si>
  <si>
    <t>Essence 3</t>
  </si>
  <si>
    <t>Chêne pubescent</t>
  </si>
  <si>
    <t>Essence 4</t>
  </si>
  <si>
    <t>Pin laricio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</si>
  <si>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</si>
  <si>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</si>
  <si>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</si>
  <si>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</si>
  <si>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</si>
  <si>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</si>
  <si>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</si>
  <si>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</si>
  <si>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</si>
  <si>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</si>
  <si>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</si>
  <si>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</si>
  <si>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</si>
  <si>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</si>
  <si>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</si>
  <si>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</si>
  <si>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</si>
  <si>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</si>
  <si>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</si>
  <si>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</si>
  <si>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TCD ONF_Loire basin_F1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</si>
  <si>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</si>
  <si>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</si>
  <si>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</si>
  <si>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</si>
  <si>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</si>
  <si>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</si>
  <si>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</si>
  <si>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</si>
  <si>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</si>
  <si>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</si>
  <si>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</si>
  <si>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</si>
  <si>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</si>
  <si>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ONF_Nortwerstern plains_F2</t>
  </si>
  <si>
    <t>CR</t>
  </si>
  <si>
    <t>Cf C. chevelu_Giurgiu_Roumanie_F5</t>
  </si>
  <si>
    <t>TCD ONF_F2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</si>
  <si>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</si>
  <si>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</si>
  <si>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</si>
  <si>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</si>
  <si>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</si>
  <si>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</si>
  <si>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</si>
  <si>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</si>
  <si>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</si>
  <si>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</si>
  <si>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</si>
  <si>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</si>
  <si>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</si>
  <si>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</si>
  <si>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</si>
  <si>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</si>
  <si>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</si>
  <si>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</si>
  <si>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</si>
  <si>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</si>
  <si>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</si>
  <si>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</si>
  <si>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</si>
  <si>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</si>
  <si>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</si>
  <si>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</si>
  <si>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</si>
  <si>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</si>
  <si>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</si>
  <si>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</si>
  <si>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</si>
  <si>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</si>
  <si>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</si>
  <si>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</si>
  <si>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</si>
  <si>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</si>
  <si>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</si>
  <si>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</si>
  <si>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</si>
  <si>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</si>
  <si>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</si>
  <si>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</si>
  <si>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</si>
  <si>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</si>
  <si>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</si>
  <si>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</si>
  <si>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</si>
  <si>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</si>
  <si>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</si>
  <si>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</si>
  <si>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</si>
  <si>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</si>
  <si>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</si>
  <si>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</si>
  <si>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</si>
  <si>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</si>
  <si>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</si>
  <si>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</si>
  <si>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</si>
  <si>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</si>
  <si>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</si>
  <si>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</si>
  <si>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</si>
  <si>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</si>
  <si>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</si>
  <si>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</si>
  <si>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</si>
  <si>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</si>
  <si>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</si>
  <si>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</si>
  <si>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</si>
  <si>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</si>
  <si>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</si>
  <si>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</si>
  <si>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</si>
  <si>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</si>
  <si>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</si>
  <si>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</si>
  <si>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</si>
  <si>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</si>
  <si>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</si>
  <si>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</si>
  <si>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</si>
  <si>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</si>
  <si>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</si>
  <si>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</si>
  <si>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Quercus pubescens</t>
  </si>
  <si>
    <t>Chêne rouge d'Amérique</t>
  </si>
  <si>
    <t>Quercus rubra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</si>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</sst>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2.6737980304323585</c:v>
                </c:pt>
                <c:pt idx="2">
                  <c:v>3.0943090739629628</c:v>
                </c:pt>
                <c:pt idx="3">
                  <c:v>3.5811929339565567</c:v>
                </c:pt>
                <c:pt idx="4">
                  <c:v>4.1449613785168511</c:v>
                </c:pt>
                <c:pt idx="5">
                  <c:v>4.7977962608357618</c:v>
                </c:pt>
                <c:pt idx="6">
                  <c:v>5.5538156415632898</c:v>
                </c:pt>
                <c:pt idx="7">
                  <c:v>6.4293824324905131</c:v>
                </c:pt>
                <c:pt idx="8">
                  <c:v>7.4434623726649827</c:v>
                </c:pt>
                <c:pt idx="9">
                  <c:v>8.6180392415700524</c:v>
                </c:pt>
                <c:pt idx="10">
                  <c:v>9.9785964834391248</c:v>
                </c:pt>
                <c:pt idx="11">
                  <c:v>11.554675890499484</c:v>
                </c:pt>
                <c:pt idx="12">
                  <c:v>13.38052570388389</c:v>
                </c:pt>
                <c:pt idx="13">
                  <c:v>15.495852477366185</c:v>
                </c:pt>
                <c:pt idx="14">
                  <c:v>17.946693355403458</c:v>
                </c:pt>
                <c:pt idx="15">
                  <c:v>20.786428094814809</c:v>
                </c:pt>
                <c:pt idx="16">
                  <c:v>24.076953268748301</c:v>
                </c:pt>
                <c:pt idx="17">
                  <c:v>27.890044702026973</c:v>
                </c:pt>
                <c:pt idx="18">
                  <c:v>32.30893837942314</c:v>
                </c:pt>
                <c:pt idx="19">
                  <c:v>37.430164936871329</c:v>
                </c:pt>
                <c:pt idx="20">
                  <c:v>43.365678499276271</c:v>
                </c:pt>
                <c:pt idx="21">
                  <c:v>50.245327194245732</c:v>
                </c:pt>
                <c:pt idx="22">
                  <c:v>58.219720296145177</c:v>
                </c:pt>
                <c:pt idx="23">
                  <c:v>67.463555810539106</c:v>
                </c:pt>
                <c:pt idx="24">
                  <c:v>78.179482594275399</c:v>
                </c:pt>
                <c:pt idx="25">
                  <c:v>90.60258305230083</c:v>
                </c:pt>
                <c:pt idx="26">
                  <c:v>105.005576327306</c:v>
                </c:pt>
                <c:pt idx="27">
                  <c:v>121.70485801451069</c:v>
                </c:pt>
                <c:pt idx="28">
                  <c:v>141.06751115386842</c:v>
                </c:pt>
                <c:pt idx="29">
                  <c:v>163.51944499698146</c:v>
                </c:pt>
                <c:pt idx="30">
                  <c:v>189.5548433056081</c:v>
                </c:pt>
                <c:pt idx="31">
                  <c:v>219.74713328168124</c:v>
                </c:pt>
                <c:pt idx="32">
                  <c:v>254.76172031629076</c:v>
                </c:pt>
                <c:pt idx="33">
                  <c:v>295.37077334531978</c:v>
                </c:pt>
                <c:pt idx="34">
                  <c:v>342.47039160511548</c:v>
                </c:pt>
                <c:pt idx="35">
                  <c:v>298.49846155904305</c:v>
                </c:pt>
                <c:pt idx="36">
                  <c:v>325.52045225626819</c:v>
                </c:pt>
                <c:pt idx="37">
                  <c:v>352.49289391837186</c:v>
                </c:pt>
                <c:pt idx="38">
                  <c:v>379.42010762458534</c:v>
                </c:pt>
                <c:pt idx="39">
                  <c:v>406.30575129176503</c:v>
                </c:pt>
                <c:pt idx="40">
                  <c:v>433.15295950772139</c:v>
                </c:pt>
                <c:pt idx="41">
                  <c:v>459.9644468634869</c:v>
                </c:pt>
                <c:pt idx="42">
                  <c:v>486.74258592712107</c:v>
                </c:pt>
                <c:pt idx="43">
                  <c:v>402.6863801134038</c:v>
                </c:pt>
                <c:pt idx="44">
                  <c:v>430.29805347853835</c:v>
                </c:pt>
                <c:pt idx="45">
                  <c:v>457.87166664968487</c:v>
                </c:pt>
                <c:pt idx="46">
                  <c:v>485.40983120164657</c:v>
                </c:pt>
                <c:pt idx="47">
                  <c:v>512.91483849860072</c:v>
                </c:pt>
                <c:pt idx="48">
                  <c:v>540.38871436673799</c:v>
                </c:pt>
                <c:pt idx="49">
                  <c:v>567.83326207225002</c:v>
                </c:pt>
                <c:pt idx="50">
                  <c:v>595.25009656142754</c:v>
                </c:pt>
                <c:pt idx="51">
                  <c:v>486.84565545428495</c:v>
                </c:pt>
                <c:pt idx="52">
                  <c:v>513.81747826911885</c:v>
                </c:pt>
                <c:pt idx="53">
                  <c:v>540.7594227694326</c:v>
                </c:pt>
                <c:pt idx="54">
                  <c:v>567.67318501986585</c:v>
                </c:pt>
                <c:pt idx="55">
                  <c:v>594.56028733429628</c:v>
                </c:pt>
                <c:pt idx="56">
                  <c:v>621.42210328406259</c:v>
                </c:pt>
                <c:pt idx="57">
                  <c:v>648.25987816020552</c:v>
                </c:pt>
                <c:pt idx="58">
                  <c:v>675.07474587368461</c:v>
                </c:pt>
                <c:pt idx="59">
                  <c:v>575.30805370400878</c:v>
                </c:pt>
                <c:pt idx="60">
                  <c:v>601.13070346995141</c:v>
                </c:pt>
                <c:pt idx="61">
                  <c:v>626.93030959755595</c:v>
                </c:pt>
                <c:pt idx="62">
                  <c:v>652.70795254564484</c:v>
                </c:pt>
                <c:pt idx="63">
                  <c:v>678.46462058239911</c:v>
                </c:pt>
                <c:pt idx="64">
                  <c:v>704.20122092209192</c:v>
                </c:pt>
                <c:pt idx="65">
                  <c:v>729.91858915073738</c:v>
                </c:pt>
                <c:pt idx="66">
                  <c:v>755.61749725572326</c:v>
                </c:pt>
                <c:pt idx="67">
                  <c:v>634.39698138943356</c:v>
                </c:pt>
                <c:pt idx="68">
                  <c:v>658.78701023794144</c:v>
                </c:pt>
                <c:pt idx="69">
                  <c:v>683.158451920331</c:v>
                </c:pt>
                <c:pt idx="70">
                  <c:v>707.51206197606132</c:v>
                </c:pt>
                <c:pt idx="71">
                  <c:v>731.84853975815815</c:v>
                </c:pt>
                <c:pt idx="72">
                  <c:v>756.16853437807106</c:v>
                </c:pt>
                <c:pt idx="73">
                  <c:v>780.47264984684045</c:v>
                </c:pt>
                <c:pt idx="74">
                  <c:v>804.76144954334825</c:v>
                </c:pt>
                <c:pt idx="75">
                  <c:v>684.6197833537384</c:v>
                </c:pt>
                <c:pt idx="76">
                  <c:v>707.61670982448493</c:v>
                </c:pt>
                <c:pt idx="77">
                  <c:v>730.59836192905857</c:v>
                </c:pt>
                <c:pt idx="78">
                  <c:v>753.56528715170464</c:v>
                </c:pt>
                <c:pt idx="79">
                  <c:v>776.51799692714212</c:v>
                </c:pt>
                <c:pt idx="80">
                  <c:v>799.45697003086968</c:v>
                </c:pt>
                <c:pt idx="81">
                  <c:v>822.38265556060048</c:v>
                </c:pt>
                <c:pt idx="82">
                  <c:v>845.29547556837406</c:v>
                </c:pt>
                <c:pt idx="83">
                  <c:v>757.09482840743919</c:v>
                </c:pt>
                <c:pt idx="84">
                  <c:v>779.25733761234221</c:v>
                </c:pt>
                <c:pt idx="85">
                  <c:v>801.40708912663069</c:v>
                </c:pt>
                <c:pt idx="86">
                  <c:v>823.54448473067441</c:v>
                </c:pt>
                <c:pt idx="87">
                  <c:v>845.66990287278952</c:v>
                </c:pt>
                <c:pt idx="88">
                  <c:v>867.78370061131125</c:v>
                </c:pt>
                <c:pt idx="89">
                  <c:v>889.88621534867627</c:v>
                </c:pt>
                <c:pt idx="90">
                  <c:v>911.9777663845033</c:v>
                </c:pt>
                <c:pt idx="91">
                  <c:v>803.45959274206746</c:v>
                </c:pt>
                <c:pt idx="92">
                  <c:v>824.86845553628189</c:v>
                </c:pt>
                <c:pt idx="93">
                  <c:v>846.26613593714671</c:v>
                </c:pt>
                <c:pt idx="94">
                  <c:v>867.65295612366288</c:v>
                </c:pt>
                <c:pt idx="95">
                  <c:v>889.02922111887312</c:v>
                </c:pt>
                <c:pt idx="96">
                  <c:v>910.39522010217399</c:v>
                </c:pt>
                <c:pt idx="97">
                  <c:v>931.75122759220085</c:v>
                </c:pt>
                <c:pt idx="98">
                  <c:v>953.09750451577702</c:v>
                </c:pt>
                <c:pt idx="99">
                  <c:v>974.43429917626281</c:v>
                </c:pt>
                <c:pt idx="100">
                  <c:v>995.76184813280258</c:v>
                </c:pt>
                <c:pt idx="101">
                  <c:v>840.17828387797579</c:v>
                </c:pt>
                <c:pt idx="102">
                  <c:v>860.72861734504897</c:v>
                </c:pt>
                <c:pt idx="103">
                  <c:v>881.26911871096502</c:v>
                </c:pt>
                <c:pt idx="104">
                  <c:v>901.80004910721084</c:v>
                </c:pt>
                <c:pt idx="105">
                  <c:v>922.32165682199127</c:v>
                </c:pt>
                <c:pt idx="106">
                  <c:v>942.83417820931766</c:v>
                </c:pt>
                <c:pt idx="107">
                  <c:v>963.33783851498117</c:v>
                </c:pt>
                <c:pt idx="108">
                  <c:v>983.83285262865172</c:v>
                </c:pt>
                <c:pt idx="109">
                  <c:v>1004.3194257701401</c:v>
                </c:pt>
                <c:pt idx="110">
                  <c:v>1024.7977541168391</c:v>
                </c:pt>
                <c:pt idx="111">
                  <c:v>906.48026452257966</c:v>
                </c:pt>
                <c:pt idx="112">
                  <c:v>926.78215925861196</c:v>
                </c:pt>
                <c:pt idx="113">
                  <c:v>947.07520827387407</c:v>
                </c:pt>
                <c:pt idx="114">
                  <c:v>967.35962753381591</c:v>
                </c:pt>
                <c:pt idx="115">
                  <c:v>987.63562322140353</c:v>
                </c:pt>
                <c:pt idx="116">
                  <c:v>1007.9033923759724</c:v>
                </c:pt>
                <c:pt idx="117">
                  <c:v>1028.1631234781019</c:v>
                </c:pt>
                <c:pt idx="118">
                  <c:v>1048.4149969860646</c:v>
                </c:pt>
                <c:pt idx="119">
                  <c:v>1068.6591858287338</c:v>
                </c:pt>
                <c:pt idx="120">
                  <c:v>1088.8958558592624</c:v>
                </c:pt>
                <c:pt idx="121">
                  <c:v>984.47170812959484</c:v>
                </c:pt>
                <c:pt idx="122">
                  <c:v>1004.7785351985522</c:v>
                </c:pt>
                <c:pt idx="123">
                  <c:v>1025.0772655736414</c:v>
                </c:pt>
                <c:pt idx="124">
                  <c:v>1045.3680819280014</c:v>
                </c:pt>
                <c:pt idx="125">
                  <c:v>1065.6511592760337</c:v>
                </c:pt>
                <c:pt idx="126">
                  <c:v>1085.9266654370654</c:v>
                </c:pt>
                <c:pt idx="127">
                  <c:v>1106.1947614626372</c:v>
                </c:pt>
                <c:pt idx="128">
                  <c:v>1126.4556020309005</c:v>
                </c:pt>
                <c:pt idx="129">
                  <c:v>1146.709335811212</c:v>
                </c:pt>
                <c:pt idx="130">
                  <c:v>1166.95610580167</c:v>
                </c:pt>
                <c:pt idx="131">
                  <c:v>1044.4619025340414</c:v>
                </c:pt>
                <c:pt idx="132">
                  <c:v>1064.9302649523968</c:v>
                </c:pt>
                <c:pt idx="133">
                  <c:v>1085.3909114956843</c:v>
                </c:pt>
                <c:pt idx="134">
                  <c:v>1105.8440078721535</c:v>
                </c:pt>
                <c:pt idx="135">
                  <c:v>1126.2897131704797</c:v>
                </c:pt>
                <c:pt idx="136">
                  <c:v>1146.7281802419484</c:v>
                </c:pt>
                <c:pt idx="137">
                  <c:v>1167.1595560540247</c:v>
                </c:pt>
                <c:pt idx="138">
                  <c:v>1187.5839820179174</c:v>
                </c:pt>
                <c:pt idx="139">
                  <c:v>1208.0015942924804</c:v>
                </c:pt>
                <c:pt idx="140">
                  <c:v>1228.4125240665323</c:v>
                </c:pt>
                <c:pt idx="141">
                  <c:v>1108.2370093829725</c:v>
                </c:pt>
                <c:pt idx="142">
                  <c:v>1128.7402956172302</c:v>
                </c:pt>
                <c:pt idx="143">
                  <c:v>1149.2363202035792</c:v>
                </c:pt>
                <c:pt idx="144">
                  <c:v>1169.7252306767962</c:v>
                </c:pt>
                <c:pt idx="145">
                  <c:v>1190.2071689905461</c:v>
                </c:pt>
                <c:pt idx="146">
                  <c:v>1210.6822718228229</c:v>
                </c:pt>
                <c:pt idx="147">
                  <c:v>1231.1506708596933</c:v>
                </c:pt>
                <c:pt idx="148">
                  <c:v>1251.6124930592212</c:v>
                </c:pt>
                <c:pt idx="149">
                  <c:v>1272.0678608972707</c:v>
                </c:pt>
                <c:pt idx="150">
                  <c:v>1292.5168925967034</c:v>
                </c:pt>
                <c:pt idx="151">
                  <c:v>816.01334617680141</c:v>
                </c:pt>
                <c:pt idx="152">
                  <c:v>829.51908601437174</c:v>
                </c:pt>
                <c:pt idx="153">
                  <c:v>843.0204025614504</c:v>
                </c:pt>
                <c:pt idx="154">
                  <c:v>553.29262833385587</c:v>
                </c:pt>
                <c:pt idx="155">
                  <c:v>561.10044728949822</c:v>
                </c:pt>
                <c:pt idx="156">
                  <c:v>568.90599291549813</c:v>
                </c:pt>
                <c:pt idx="157">
                  <c:v>388.08375787348422</c:v>
                </c:pt>
                <c:pt idx="158">
                  <c:v>392.7077850319518</c:v>
                </c:pt>
                <c:pt idx="159">
                  <c:v>397.33063149976448</c:v>
                </c:pt>
                <c:pt idx="160">
                  <c:v>8.7420875242334695E-12</c:v>
                </c:pt>
                <c:pt idx="161">
                  <c:v>8.7420875242334695E-12</c:v>
                </c:pt>
                <c:pt idx="162">
                  <c:v>8.7420875242334695E-12</c:v>
                </c:pt>
                <c:pt idx="163">
                  <c:v>8.7420875242334695E-12</c:v>
                </c:pt>
                <c:pt idx="164">
                  <c:v>8.7420875242334695E-12</c:v>
                </c:pt>
                <c:pt idx="165">
                  <c:v>8.7420875242334695E-12</c:v>
                </c:pt>
                <c:pt idx="166">
                  <c:v>8.7420875242334695E-12</c:v>
                </c:pt>
                <c:pt idx="167">
                  <c:v>8.7420875242334695E-12</c:v>
                </c:pt>
                <c:pt idx="168">
                  <c:v>8.7420875242334695E-12</c:v>
                </c:pt>
                <c:pt idx="169">
                  <c:v>8.7420875242334695E-12</c:v>
                </c:pt>
                <c:pt idx="170">
                  <c:v>8.7420875242334695E-12</c:v>
                </c:pt>
                <c:pt idx="171">
                  <c:v>8.7420875242334695E-12</c:v>
                </c:pt>
                <c:pt idx="172">
                  <c:v>8.7420875242334695E-12</c:v>
                </c:pt>
                <c:pt idx="173">
                  <c:v>8.7420875242334695E-12</c:v>
                </c:pt>
                <c:pt idx="174">
                  <c:v>8.7420875242334695E-12</c:v>
                </c:pt>
                <c:pt idx="175">
                  <c:v>8.7420875242334695E-12</c:v>
                </c:pt>
                <c:pt idx="176">
                  <c:v>8.7420875242334695E-12</c:v>
                </c:pt>
                <c:pt idx="177">
                  <c:v>8.7420875242334695E-12</c:v>
                </c:pt>
                <c:pt idx="178">
                  <c:v>8.7420875242334695E-12</c:v>
                </c:pt>
                <c:pt idx="179">
                  <c:v>8.7420875242334695E-12</c:v>
                </c:pt>
                <c:pt idx="180">
                  <c:v>8.7420875242334695E-12</c:v>
                </c:pt>
                <c:pt idx="181">
                  <c:v>8.7420875242334695E-12</c:v>
                </c:pt>
                <c:pt idx="182">
                  <c:v>8.7420875242334695E-12</c:v>
                </c:pt>
                <c:pt idx="183">
                  <c:v>8.7420875242334695E-12</c:v>
                </c:pt>
                <c:pt idx="184">
                  <c:v>8.7420875242334695E-12</c:v>
                </c:pt>
                <c:pt idx="185">
                  <c:v>8.7420875242334695E-12</c:v>
                </c:pt>
                <c:pt idx="186">
                  <c:v>8.7420875242334695E-12</c:v>
                </c:pt>
                <c:pt idx="187">
                  <c:v>8.7420875242334695E-12</c:v>
                </c:pt>
                <c:pt idx="188">
                  <c:v>8.7420875242334695E-12</c:v>
                </c:pt>
                <c:pt idx="189">
                  <c:v>8.7420875242334695E-12</c:v>
                </c:pt>
                <c:pt idx="190">
                  <c:v>8.7420875242334695E-12</c:v>
                </c:pt>
                <c:pt idx="191">
                  <c:v>8.7420875242334695E-12</c:v>
                </c:pt>
                <c:pt idx="192">
                  <c:v>8.7420875242334695E-12</c:v>
                </c:pt>
                <c:pt idx="193">
                  <c:v>8.7420875242334695E-12</c:v>
                </c:pt>
                <c:pt idx="194">
                  <c:v>8.7420875242334695E-12</c:v>
                </c:pt>
                <c:pt idx="195">
                  <c:v>8.7420875242334695E-12</c:v>
                </c:pt>
                <c:pt idx="196">
                  <c:v>8.7420875242334695E-12</c:v>
                </c:pt>
                <c:pt idx="197">
                  <c:v>8.7420875242334695E-12</c:v>
                </c:pt>
                <c:pt idx="198">
                  <c:v>8.7420875242334695E-12</c:v>
                </c:pt>
                <c:pt idx="199">
                  <c:v>8.7420875242334695E-12</c:v>
                </c:pt>
                <c:pt idx="200">
                  <c:v>8.7420875242334695E-12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2.0372769670101483</c:v>
                </c:pt>
                <c:pt idx="2">
                  <c:v>2.676486199143135</c:v>
                </c:pt>
                <c:pt idx="3">
                  <c:v>3.5170759077395513</c:v>
                </c:pt>
                <c:pt idx="4">
                  <c:v>4.6227351394646172</c:v>
                </c:pt>
                <c:pt idx="5">
                  <c:v>6.0773678328619782</c:v>
                </c:pt>
                <c:pt idx="6">
                  <c:v>7.9915303734957925</c:v>
                </c:pt>
                <c:pt idx="7">
                  <c:v>10.510925497936862</c:v>
                </c:pt>
                <c:pt idx="8">
                  <c:v>13.827611241534122</c:v>
                </c:pt>
                <c:pt idx="9">
                  <c:v>18.194795155280449</c:v>
                </c:pt>
                <c:pt idx="10">
                  <c:v>23.946363633196558</c:v>
                </c:pt>
                <c:pt idx="11">
                  <c:v>31.522665853656651</c:v>
                </c:pt>
                <c:pt idx="12">
                  <c:v>41.504560602143492</c:v>
                </c:pt>
                <c:pt idx="13">
                  <c:v>54.658380558021626</c:v>
                </c:pt>
                <c:pt idx="14">
                  <c:v>71.995323377039924</c:v>
                </c:pt>
                <c:pt idx="15">
                  <c:v>94.849909428740133</c:v>
                </c:pt>
                <c:pt idx="16">
                  <c:v>124.98364149297942</c:v>
                </c:pt>
                <c:pt idx="17">
                  <c:v>164.72198008050322</c:v>
                </c:pt>
                <c:pt idx="18">
                  <c:v>134.73919659651173</c:v>
                </c:pt>
                <c:pt idx="19">
                  <c:v>157.81902631593928</c:v>
                </c:pt>
                <c:pt idx="20">
                  <c:v>180.81867080340842</c:v>
                </c:pt>
                <c:pt idx="21">
                  <c:v>203.74977532224861</c:v>
                </c:pt>
                <c:pt idx="22">
                  <c:v>226.62114215524375</c:v>
                </c:pt>
                <c:pt idx="23">
                  <c:v>249.43964844709612</c:v>
                </c:pt>
                <c:pt idx="24">
                  <c:v>198.93114262298045</c:v>
                </c:pt>
                <c:pt idx="25">
                  <c:v>222.91265628306999</c:v>
                </c:pt>
                <c:pt idx="26">
                  <c:v>246.83498298473026</c:v>
                </c:pt>
                <c:pt idx="27">
                  <c:v>270.70466458091755</c:v>
                </c:pt>
                <c:pt idx="28">
                  <c:v>294.52699408277329</c:v>
                </c:pt>
                <c:pt idx="29">
                  <c:v>318.30633801047719</c:v>
                </c:pt>
                <c:pt idx="30">
                  <c:v>271.0475979089864</c:v>
                </c:pt>
                <c:pt idx="31">
                  <c:v>293.82134420287861</c:v>
                </c:pt>
                <c:pt idx="32">
                  <c:v>316.55570331495284</c:v>
                </c:pt>
                <c:pt idx="33">
                  <c:v>339.25390010955363</c:v>
                </c:pt>
                <c:pt idx="34">
                  <c:v>361.91869276237094</c:v>
                </c:pt>
                <c:pt idx="35">
                  <c:v>384.55246590390033</c:v>
                </c:pt>
                <c:pt idx="36">
                  <c:v>407.15730067263689</c:v>
                </c:pt>
                <c:pt idx="37">
                  <c:v>331.24340371767499</c:v>
                </c:pt>
                <c:pt idx="38">
                  <c:v>352.35206530589829</c:v>
                </c:pt>
                <c:pt idx="39">
                  <c:v>373.43301656739328</c:v>
                </c:pt>
                <c:pt idx="40">
                  <c:v>394.4880408750052</c:v>
                </c:pt>
                <c:pt idx="41">
                  <c:v>415.51871578413534</c:v>
                </c:pt>
                <c:pt idx="42">
                  <c:v>436.52644621458688</c:v>
                </c:pt>
                <c:pt idx="43">
                  <c:v>457.51249091127556</c:v>
                </c:pt>
                <c:pt idx="44">
                  <c:v>478.47798379712509</c:v>
                </c:pt>
                <c:pt idx="45">
                  <c:v>398.12076273578174</c:v>
                </c:pt>
                <c:pt idx="46">
                  <c:v>416.75695680038672</c:v>
                </c:pt>
                <c:pt idx="47">
                  <c:v>435.37519229110325</c:v>
                </c:pt>
                <c:pt idx="48">
                  <c:v>453.97634485294202</c:v>
                </c:pt>
                <c:pt idx="49">
                  <c:v>472.56121255691068</c:v>
                </c:pt>
                <c:pt idx="50">
                  <c:v>491.13052561541576</c:v>
                </c:pt>
                <c:pt idx="51">
                  <c:v>509.68495455219767</c:v>
                </c:pt>
                <c:pt idx="52">
                  <c:v>528.22511712105825</c:v>
                </c:pt>
                <c:pt idx="53">
                  <c:v>449.35895477714286</c:v>
                </c:pt>
                <c:pt idx="54">
                  <c:v>466.03080286270847</c:v>
                </c:pt>
                <c:pt idx="55">
                  <c:v>482.68994033799999</c:v>
                </c:pt>
                <c:pt idx="56">
                  <c:v>499.33686745181348</c:v>
                </c:pt>
                <c:pt idx="57">
                  <c:v>515.97204839374797</c:v>
                </c:pt>
                <c:pt idx="58">
                  <c:v>532.59591499615112</c:v>
                </c:pt>
                <c:pt idx="59">
                  <c:v>549.20886994999205</c:v>
                </c:pt>
                <c:pt idx="60">
                  <c:v>565.81128961154923</c:v>
                </c:pt>
                <c:pt idx="61">
                  <c:v>2.144131053894927</c:v>
                </c:pt>
                <c:pt idx="62">
                  <c:v>2.144131053894927</c:v>
                </c:pt>
                <c:pt idx="63">
                  <c:v>2.144131053894927</c:v>
                </c:pt>
                <c:pt idx="64">
                  <c:v>2.144131053894927</c:v>
                </c:pt>
                <c:pt idx="65">
                  <c:v>2.144131053894927</c:v>
                </c:pt>
                <c:pt idx="66">
                  <c:v>2.144131053894927</c:v>
                </c:pt>
                <c:pt idx="67">
                  <c:v>2.144131053894927</c:v>
                </c:pt>
                <c:pt idx="68">
                  <c:v>2.144131053894927</c:v>
                </c:pt>
                <c:pt idx="69">
                  <c:v>2.144131053894927</c:v>
                </c:pt>
                <c:pt idx="70">
                  <c:v>2.144131053894927</c:v>
                </c:pt>
                <c:pt idx="71">
                  <c:v>2.144131053894927</c:v>
                </c:pt>
                <c:pt idx="72">
                  <c:v>2.144131053894927</c:v>
                </c:pt>
                <c:pt idx="73">
                  <c:v>2.144131053894927</c:v>
                </c:pt>
                <c:pt idx="74">
                  <c:v>2.144131053894927</c:v>
                </c:pt>
                <c:pt idx="75">
                  <c:v>2.144131053894927</c:v>
                </c:pt>
                <c:pt idx="76">
                  <c:v>2.144131053894927</c:v>
                </c:pt>
                <c:pt idx="77">
                  <c:v>2.144131053894927</c:v>
                </c:pt>
                <c:pt idx="78">
                  <c:v>2.144131053894927</c:v>
                </c:pt>
                <c:pt idx="79">
                  <c:v>2.144131053894927</c:v>
                </c:pt>
                <c:pt idx="80">
                  <c:v>2.144131053894927</c:v>
                </c:pt>
                <c:pt idx="81">
                  <c:v>2.144131053894927</c:v>
                </c:pt>
                <c:pt idx="82">
                  <c:v>2.144131053894927</c:v>
                </c:pt>
                <c:pt idx="83">
                  <c:v>2.144131053894927</c:v>
                </c:pt>
                <c:pt idx="84">
                  <c:v>2.144131053894927</c:v>
                </c:pt>
                <c:pt idx="85">
                  <c:v>2.144131053894927</c:v>
                </c:pt>
                <c:pt idx="86">
                  <c:v>2.144131053894927</c:v>
                </c:pt>
                <c:pt idx="87">
                  <c:v>2.144131053894927</c:v>
                </c:pt>
                <c:pt idx="88">
                  <c:v>2.144131053894927</c:v>
                </c:pt>
                <c:pt idx="89">
                  <c:v>2.144131053894927</c:v>
                </c:pt>
                <c:pt idx="90">
                  <c:v>2.144131053894927</c:v>
                </c:pt>
                <c:pt idx="91">
                  <c:v>2.144131053894927</c:v>
                </c:pt>
                <c:pt idx="92">
                  <c:v>2.144131053894927</c:v>
                </c:pt>
                <c:pt idx="93">
                  <c:v>2.144131053894927</c:v>
                </c:pt>
                <c:pt idx="94">
                  <c:v>2.144131053894927</c:v>
                </c:pt>
                <c:pt idx="95">
                  <c:v>2.144131053894927</c:v>
                </c:pt>
                <c:pt idx="96">
                  <c:v>2.144131053894927</c:v>
                </c:pt>
                <c:pt idx="97">
                  <c:v>2.144131053894927</c:v>
                </c:pt>
                <c:pt idx="98">
                  <c:v>2.144131053894927</c:v>
                </c:pt>
                <c:pt idx="99">
                  <c:v>2.144131053894927</c:v>
                </c:pt>
                <c:pt idx="100">
                  <c:v>2.144131053894927</c:v>
                </c:pt>
                <c:pt idx="101">
                  <c:v>2.144131053894927</c:v>
                </c:pt>
                <c:pt idx="102">
                  <c:v>2.144131053894927</c:v>
                </c:pt>
                <c:pt idx="103">
                  <c:v>2.144131053894927</c:v>
                </c:pt>
                <c:pt idx="104">
                  <c:v>2.144131053894927</c:v>
                </c:pt>
                <c:pt idx="105">
                  <c:v>2.144131053894927</c:v>
                </c:pt>
                <c:pt idx="106">
                  <c:v>2.144131053894927</c:v>
                </c:pt>
                <c:pt idx="107">
                  <c:v>2.144131053894927</c:v>
                </c:pt>
                <c:pt idx="108">
                  <c:v>2.144131053894927</c:v>
                </c:pt>
                <c:pt idx="109">
                  <c:v>2.144131053894927</c:v>
                </c:pt>
                <c:pt idx="110">
                  <c:v>2.144131053894927</c:v>
                </c:pt>
                <c:pt idx="111">
                  <c:v>2.144131053894927</c:v>
                </c:pt>
                <c:pt idx="112">
                  <c:v>2.144131053894927</c:v>
                </c:pt>
                <c:pt idx="113">
                  <c:v>2.144131053894927</c:v>
                </c:pt>
                <c:pt idx="114">
                  <c:v>2.144131053894927</c:v>
                </c:pt>
                <c:pt idx="115">
                  <c:v>2.144131053894927</c:v>
                </c:pt>
                <c:pt idx="116">
                  <c:v>2.144131053894927</c:v>
                </c:pt>
                <c:pt idx="117">
                  <c:v>2.144131053894927</c:v>
                </c:pt>
                <c:pt idx="118">
                  <c:v>2.144131053894927</c:v>
                </c:pt>
                <c:pt idx="119">
                  <c:v>2.144131053894927</c:v>
                </c:pt>
                <c:pt idx="120">
                  <c:v>2.144131053894927</c:v>
                </c:pt>
                <c:pt idx="121">
                  <c:v>2.144131053894927</c:v>
                </c:pt>
                <c:pt idx="122">
                  <c:v>2.144131053894927</c:v>
                </c:pt>
                <c:pt idx="123">
                  <c:v>2.144131053894927</c:v>
                </c:pt>
                <c:pt idx="124">
                  <c:v>2.144131053894927</c:v>
                </c:pt>
                <c:pt idx="125">
                  <c:v>2.144131053894927</c:v>
                </c:pt>
                <c:pt idx="126">
                  <c:v>2.144131053894927</c:v>
                </c:pt>
                <c:pt idx="127">
                  <c:v>2.144131053894927</c:v>
                </c:pt>
                <c:pt idx="128">
                  <c:v>2.144131053894927</c:v>
                </c:pt>
                <c:pt idx="129">
                  <c:v>2.144131053894927</c:v>
                </c:pt>
                <c:pt idx="130">
                  <c:v>2.144131053894927</c:v>
                </c:pt>
                <c:pt idx="131">
                  <c:v>2.144131053894927</c:v>
                </c:pt>
                <c:pt idx="132">
                  <c:v>2.144131053894927</c:v>
                </c:pt>
                <c:pt idx="133">
                  <c:v>2.144131053894927</c:v>
                </c:pt>
                <c:pt idx="134">
                  <c:v>2.144131053894927</c:v>
                </c:pt>
                <c:pt idx="135">
                  <c:v>2.144131053894927</c:v>
                </c:pt>
                <c:pt idx="136">
                  <c:v>2.144131053894927</c:v>
                </c:pt>
                <c:pt idx="137">
                  <c:v>2.144131053894927</c:v>
                </c:pt>
                <c:pt idx="138">
                  <c:v>2.144131053894927</c:v>
                </c:pt>
                <c:pt idx="139">
                  <c:v>2.144131053894927</c:v>
                </c:pt>
                <c:pt idx="140">
                  <c:v>2.144131053894927</c:v>
                </c:pt>
                <c:pt idx="141">
                  <c:v>2.144131053894927</c:v>
                </c:pt>
                <c:pt idx="142">
                  <c:v>2.144131053894927</c:v>
                </c:pt>
                <c:pt idx="143">
                  <c:v>2.144131053894927</c:v>
                </c:pt>
                <c:pt idx="144">
                  <c:v>2.144131053894927</c:v>
                </c:pt>
                <c:pt idx="145">
                  <c:v>2.144131053894927</c:v>
                </c:pt>
                <c:pt idx="146">
                  <c:v>2.144131053894927</c:v>
                </c:pt>
                <c:pt idx="147">
                  <c:v>2.144131053894927</c:v>
                </c:pt>
                <c:pt idx="148">
                  <c:v>2.144131053894927</c:v>
                </c:pt>
                <c:pt idx="149">
                  <c:v>2.144131053894927</c:v>
                </c:pt>
                <c:pt idx="150">
                  <c:v>2.144131053894927</c:v>
                </c:pt>
                <c:pt idx="151">
                  <c:v>2.144131053894927</c:v>
                </c:pt>
                <c:pt idx="152">
                  <c:v>2.144131053894927</c:v>
                </c:pt>
                <c:pt idx="153">
                  <c:v>2.144131053894927</c:v>
                </c:pt>
                <c:pt idx="154">
                  <c:v>2.144131053894927</c:v>
                </c:pt>
                <c:pt idx="155">
                  <c:v>2.144131053894927</c:v>
                </c:pt>
                <c:pt idx="156">
                  <c:v>2.144131053894927</c:v>
                </c:pt>
                <c:pt idx="157">
                  <c:v>2.144131053894927</c:v>
                </c:pt>
                <c:pt idx="158">
                  <c:v>2.144131053894927</c:v>
                </c:pt>
                <c:pt idx="159">
                  <c:v>2.144131053894927</c:v>
                </c:pt>
                <c:pt idx="160">
                  <c:v>2.144131053894927</c:v>
                </c:pt>
                <c:pt idx="161">
                  <c:v>2.144131053894927</c:v>
                </c:pt>
                <c:pt idx="162">
                  <c:v>2.144131053894927</c:v>
                </c:pt>
                <c:pt idx="163">
                  <c:v>2.144131053894927</c:v>
                </c:pt>
                <c:pt idx="164">
                  <c:v>2.144131053894927</c:v>
                </c:pt>
                <c:pt idx="165">
                  <c:v>2.144131053894927</c:v>
                </c:pt>
                <c:pt idx="166">
                  <c:v>2.144131053894927</c:v>
                </c:pt>
                <c:pt idx="167">
                  <c:v>2.144131053894927</c:v>
                </c:pt>
                <c:pt idx="168">
                  <c:v>2.144131053894927</c:v>
                </c:pt>
                <c:pt idx="169">
                  <c:v>2.144131053894927</c:v>
                </c:pt>
                <c:pt idx="170">
                  <c:v>2.144131053894927</c:v>
                </c:pt>
                <c:pt idx="171">
                  <c:v>2.144131053894927</c:v>
                </c:pt>
                <c:pt idx="172">
                  <c:v>2.144131053894927</c:v>
                </c:pt>
                <c:pt idx="173">
                  <c:v>2.144131053894927</c:v>
                </c:pt>
                <c:pt idx="174">
                  <c:v>2.144131053894927</c:v>
                </c:pt>
                <c:pt idx="175">
                  <c:v>2.144131053894927</c:v>
                </c:pt>
                <c:pt idx="176">
                  <c:v>2.144131053894927</c:v>
                </c:pt>
                <c:pt idx="177">
                  <c:v>2.144131053894927</c:v>
                </c:pt>
                <c:pt idx="178">
                  <c:v>2.144131053894927</c:v>
                </c:pt>
                <c:pt idx="179">
                  <c:v>2.144131053894927</c:v>
                </c:pt>
                <c:pt idx="180">
                  <c:v>2.144131053894927</c:v>
                </c:pt>
                <c:pt idx="181">
                  <c:v>2.144131053894927</c:v>
                </c:pt>
                <c:pt idx="182">
                  <c:v>2.144131053894927</c:v>
                </c:pt>
                <c:pt idx="183">
                  <c:v>2.144131053894927</c:v>
                </c:pt>
                <c:pt idx="184">
                  <c:v>2.144131053894927</c:v>
                </c:pt>
                <c:pt idx="185">
                  <c:v>2.144131053894927</c:v>
                </c:pt>
                <c:pt idx="186">
                  <c:v>2.144131053894927</c:v>
                </c:pt>
                <c:pt idx="187">
                  <c:v>2.144131053894927</c:v>
                </c:pt>
                <c:pt idx="188">
                  <c:v>2.144131053894927</c:v>
                </c:pt>
                <c:pt idx="189">
                  <c:v>2.144131053894927</c:v>
                </c:pt>
                <c:pt idx="190">
                  <c:v>2.144131053894927</c:v>
                </c:pt>
                <c:pt idx="191">
                  <c:v>2.144131053894927</c:v>
                </c:pt>
                <c:pt idx="192">
                  <c:v>2.144131053894927</c:v>
                </c:pt>
                <c:pt idx="193">
                  <c:v>2.144131053894927</c:v>
                </c:pt>
                <c:pt idx="194">
                  <c:v>2.144131053894927</c:v>
                </c:pt>
                <c:pt idx="195">
                  <c:v>2.144131053894927</c:v>
                </c:pt>
                <c:pt idx="196">
                  <c:v>2.144131053894927</c:v>
                </c:pt>
                <c:pt idx="197">
                  <c:v>2.144131053894927</c:v>
                </c:pt>
                <c:pt idx="198">
                  <c:v>2.144131053894927</c:v>
                </c:pt>
                <c:pt idx="199">
                  <c:v>2.144131053894927</c:v>
                </c:pt>
                <c:pt idx="200">
                  <c:v>2.144131053894927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2.9195422174026029</c:v>
                </c:pt>
                <c:pt idx="2">
                  <c:v>3.3057182886636478</c:v>
                </c:pt>
                <c:pt idx="3">
                  <c:v>3.7431547181188836</c:v>
                </c:pt>
                <c:pt idx="4">
                  <c:v>4.2386782673281713</c:v>
                </c:pt>
                <c:pt idx="5">
                  <c:v>4.8000276920064975</c:v>
                </c:pt>
                <c:pt idx="6">
                  <c:v>5.4359759273942645</c:v>
                </c:pt>
                <c:pt idx="7">
                  <c:v>6.1564686871490295</c:v>
                </c:pt>
                <c:pt idx="8">
                  <c:v>6.9727816860359679</c:v>
                </c:pt>
                <c:pt idx="9">
                  <c:v>7.8976989950017114</c:v>
                </c:pt>
                <c:pt idx="10">
                  <c:v>8.9457153758664063</c:v>
                </c:pt>
                <c:pt idx="11">
                  <c:v>10.13326582732787</c:v>
                </c:pt>
                <c:pt idx="12">
                  <c:v>11.478986010447771</c:v>
                </c:pt>
                <c:pt idx="13">
                  <c:v>13.004007717332804</c:v>
                </c:pt>
                <c:pt idx="14">
                  <c:v>14.732294109342194</c:v>
                </c:pt>
                <c:pt idx="15">
                  <c:v>16.691020089941318</c:v>
                </c:pt>
                <c:pt idx="16">
                  <c:v>18.911003902610222</c:v>
                </c:pt>
                <c:pt idx="17">
                  <c:v>21.427196867738889</c:v>
                </c:pt>
                <c:pt idx="18">
                  <c:v>24.27923910752617</c:v>
                </c:pt>
                <c:pt idx="19">
                  <c:v>27.512090169684502</c:v>
                </c:pt>
                <c:pt idx="20">
                  <c:v>31.176744666434715</c:v>
                </c:pt>
                <c:pt idx="21">
                  <c:v>35.331044414387158</c:v>
                </c:pt>
                <c:pt idx="22">
                  <c:v>40.040600115636714</c:v>
                </c:pt>
                <c:pt idx="23">
                  <c:v>45.379837385955305</c:v>
                </c:pt>
                <c:pt idx="24">
                  <c:v>51.433183940981536</c:v>
                </c:pt>
                <c:pt idx="25">
                  <c:v>58.296417028309371</c:v>
                </c:pt>
                <c:pt idx="26">
                  <c:v>66.078192779322393</c:v>
                </c:pt>
                <c:pt idx="27">
                  <c:v>74.901782091485956</c:v>
                </c:pt>
                <c:pt idx="28">
                  <c:v>84.907040987291367</c:v>
                </c:pt>
                <c:pt idx="29">
                  <c:v>96.25264718432841</c:v>
                </c:pt>
                <c:pt idx="30">
                  <c:v>109.11863891360453</c:v>
                </c:pt>
                <c:pt idx="31">
                  <c:v>123.70929691017166</c:v>
                </c:pt>
                <c:pt idx="32">
                  <c:v>140.25641605082697</c:v>
                </c:pt>
                <c:pt idx="33">
                  <c:v>159.02301941840662</c:v>
                </c:pt>
                <c:pt idx="34">
                  <c:v>180.30757473356843</c:v>
                </c:pt>
                <c:pt idx="35">
                  <c:v>204.4487812295192</c:v>
                </c:pt>
                <c:pt idx="36">
                  <c:v>196.99706917130371</c:v>
                </c:pt>
                <c:pt idx="37">
                  <c:v>209.26711380232226</c:v>
                </c:pt>
                <c:pt idx="38">
                  <c:v>221.52055911910168</c:v>
                </c:pt>
                <c:pt idx="39">
                  <c:v>233.75845318467347</c:v>
                </c:pt>
                <c:pt idx="40">
                  <c:v>245.98172527600505</c:v>
                </c:pt>
                <c:pt idx="41">
                  <c:v>236.37892704001885</c:v>
                </c:pt>
                <c:pt idx="42">
                  <c:v>248.59917684690126</c:v>
                </c:pt>
                <c:pt idx="43">
                  <c:v>260.80580020638382</c:v>
                </c:pt>
                <c:pt idx="44">
                  <c:v>272.99952502719981</c:v>
                </c:pt>
                <c:pt idx="45">
                  <c:v>285.18100884727511</c:v>
                </c:pt>
                <c:pt idx="46">
                  <c:v>274.74047191396761</c:v>
                </c:pt>
                <c:pt idx="47">
                  <c:v>286.05066253690728</c:v>
                </c:pt>
                <c:pt idx="48">
                  <c:v>297.35084841658903</c:v>
                </c:pt>
                <c:pt idx="49">
                  <c:v>308.64146352593883</c:v>
                </c:pt>
                <c:pt idx="50">
                  <c:v>319.92290747907674</c:v>
                </c:pt>
                <c:pt idx="51">
                  <c:v>308.64146352593883</c:v>
                </c:pt>
                <c:pt idx="52">
                  <c:v>319.05542112636527</c:v>
                </c:pt>
                <c:pt idx="53">
                  <c:v>329.461855714617</c:v>
                </c:pt>
                <c:pt idx="54">
                  <c:v>339.86103853173341</c:v>
                </c:pt>
                <c:pt idx="55">
                  <c:v>350.25322285655164</c:v>
                </c:pt>
                <c:pt idx="56">
                  <c:v>336.82867741987707</c:v>
                </c:pt>
                <c:pt idx="57">
                  <c:v>347.22287779494928</c:v>
                </c:pt>
                <c:pt idx="58">
                  <c:v>357.61024915216223</c:v>
                </c:pt>
                <c:pt idx="59">
                  <c:v>367.99101790074388</c:v>
                </c:pt>
                <c:pt idx="60">
                  <c:v>378.36539662842574</c:v>
                </c:pt>
                <c:pt idx="61">
                  <c:v>364.53148188117899</c:v>
                </c:pt>
                <c:pt idx="62">
                  <c:v>374.47574048007579</c:v>
                </c:pt>
                <c:pt idx="63">
                  <c:v>384.41424661840318</c:v>
                </c:pt>
                <c:pt idx="64">
                  <c:v>394.34717004835124</c:v>
                </c:pt>
                <c:pt idx="65">
                  <c:v>404.27467126938308</c:v>
                </c:pt>
                <c:pt idx="66">
                  <c:v>389.59732760595733</c:v>
                </c:pt>
                <c:pt idx="67">
                  <c:v>398.66413205286949</c:v>
                </c:pt>
                <c:pt idx="68">
                  <c:v>407.7264723022551</c:v>
                </c:pt>
                <c:pt idx="69">
                  <c:v>416.78446161542962</c:v>
                </c:pt>
                <c:pt idx="70">
                  <c:v>425.83820792683736</c:v>
                </c:pt>
                <c:pt idx="71">
                  <c:v>412.90299192267588</c:v>
                </c:pt>
                <c:pt idx="72">
                  <c:v>421.52742269713394</c:v>
                </c:pt>
                <c:pt idx="73">
                  <c:v>430.14805444118127</c:v>
                </c:pt>
                <c:pt idx="74">
                  <c:v>438.76497406308454</c:v>
                </c:pt>
                <c:pt idx="75">
                  <c:v>447.37826477754749</c:v>
                </c:pt>
                <c:pt idx="76">
                  <c:v>433.59526300436556</c:v>
                </c:pt>
                <c:pt idx="77">
                  <c:v>441.3493386190641</c:v>
                </c:pt>
                <c:pt idx="78">
                  <c:v>449.10049452796062</c:v>
                </c:pt>
                <c:pt idx="79">
                  <c:v>456.84878825602163</c:v>
                </c:pt>
                <c:pt idx="80">
                  <c:v>464.59427521679351</c:v>
                </c:pt>
                <c:pt idx="81">
                  <c:v>450.82258294436588</c:v>
                </c:pt>
                <c:pt idx="82">
                  <c:v>458.57024822962609</c:v>
                </c:pt>
                <c:pt idx="83">
                  <c:v>466.31511878642374</c:v>
                </c:pt>
                <c:pt idx="84">
                  <c:v>474.05724759922737</c:v>
                </c:pt>
                <c:pt idx="85">
                  <c:v>481.79668577992356</c:v>
                </c:pt>
                <c:pt idx="86">
                  <c:v>467.60566258446215</c:v>
                </c:pt>
                <c:pt idx="87">
                  <c:v>474.91731712823849</c:v>
                </c:pt>
                <c:pt idx="88">
                  <c:v>482.2265766750707</c:v>
                </c:pt>
                <c:pt idx="89">
                  <c:v>489.53348266366947</c:v>
                </c:pt>
                <c:pt idx="90">
                  <c:v>496.83807519423431</c:v>
                </c:pt>
                <c:pt idx="91">
                  <c:v>482.65645942680197</c:v>
                </c:pt>
                <c:pt idx="92">
                  <c:v>489.96322823234823</c:v>
                </c:pt>
                <c:pt idx="93">
                  <c:v>497.26768589837201</c:v>
                </c:pt>
                <c:pt idx="94">
                  <c:v>504.56987117609305</c:v>
                </c:pt>
                <c:pt idx="95">
                  <c:v>511.86982160316455</c:v>
                </c:pt>
                <c:pt idx="96">
                  <c:v>498.98605016652095</c:v>
                </c:pt>
                <c:pt idx="97">
                  <c:v>505.42880415532318</c:v>
                </c:pt>
                <c:pt idx="98">
                  <c:v>511.86982160316455</c:v>
                </c:pt>
                <c:pt idx="99">
                  <c:v>518.30912745420756</c:v>
                </c:pt>
                <c:pt idx="100">
                  <c:v>524.74674598197532</c:v>
                </c:pt>
                <c:pt idx="101">
                  <c:v>511.44047396193378</c:v>
                </c:pt>
                <c:pt idx="102">
                  <c:v>517.45065135367156</c:v>
                </c:pt>
                <c:pt idx="103">
                  <c:v>523.459356119012</c:v>
                </c:pt>
                <c:pt idx="104">
                  <c:v>529.46660755485027</c:v>
                </c:pt>
                <c:pt idx="105">
                  <c:v>535.47242448427414</c:v>
                </c:pt>
                <c:pt idx="106">
                  <c:v>522.6010591481828</c:v>
                </c:pt>
                <c:pt idx="107">
                  <c:v>529.03756595978575</c:v>
                </c:pt>
                <c:pt idx="108">
                  <c:v>535.47242448427414</c:v>
                </c:pt>
                <c:pt idx="109">
                  <c:v>541.90565733137817</c:v>
                </c:pt>
                <c:pt idx="110">
                  <c:v>548.3372865300081</c:v>
                </c:pt>
                <c:pt idx="111">
                  <c:v>536.33028230526645</c:v>
                </c:pt>
                <c:pt idx="112">
                  <c:v>541.47682527349889</c:v>
                </c:pt>
                <c:pt idx="113">
                  <c:v>546.62234098884994</c:v>
                </c:pt>
                <c:pt idx="114">
                  <c:v>551.76684049033884</c:v>
                </c:pt>
                <c:pt idx="115">
                  <c:v>556.91033459423954</c:v>
                </c:pt>
                <c:pt idx="116">
                  <c:v>545.33605775741535</c:v>
                </c:pt>
                <c:pt idx="117">
                  <c:v>550.90949401543014</c:v>
                </c:pt>
                <c:pt idx="118">
                  <c:v>556.48174822611611</c:v>
                </c:pt>
                <c:pt idx="119">
                  <c:v>562.05283390063789</c:v>
                </c:pt>
                <c:pt idx="120">
                  <c:v>567.622764260351</c:v>
                </c:pt>
                <c:pt idx="121">
                  <c:v>555.62455474096157</c:v>
                </c:pt>
                <c:pt idx="122">
                  <c:v>560.76730176456124</c:v>
                </c:pt>
                <c:pt idx="123">
                  <c:v>565.90906180264903</c:v>
                </c:pt>
                <c:pt idx="124">
                  <c:v>571.04984509200233</c:v>
                </c:pt>
                <c:pt idx="125">
                  <c:v>576.189661669972</c:v>
                </c:pt>
                <c:pt idx="126">
                  <c:v>563.76678107175769</c:v>
                </c:pt>
                <c:pt idx="127">
                  <c:v>568.47957490897636</c:v>
                </c:pt>
                <c:pt idx="128">
                  <c:v>573.19155224586348</c:v>
                </c:pt>
                <c:pt idx="129">
                  <c:v>577.90272074471375</c:v>
                </c:pt>
                <c:pt idx="130">
                  <c:v>582.61308793264311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1.9187539791618089</c:v>
                </c:pt>
                <c:pt idx="2">
                  <c:v>2.3739048046992908</c:v>
                </c:pt>
                <c:pt idx="3">
                  <c:v>2.9374441074345867</c:v>
                </c:pt>
                <c:pt idx="4">
                  <c:v>3.6352780855090621</c:v>
                </c:pt>
                <c:pt idx="5">
                  <c:v>4.4995261026160422</c:v>
                </c:pt>
                <c:pt idx="6">
                  <c:v>5.5700155600904404</c:v>
                </c:pt>
                <c:pt idx="7">
                  <c:v>6.8961374885838422</c:v>
                </c:pt>
                <c:pt idx="8">
                  <c:v>8.5391501371991527</c:v>
                </c:pt>
                <c:pt idx="9">
                  <c:v>10.575039007163371</c:v>
                </c:pt>
                <c:pt idx="10">
                  <c:v>13.098068092351689</c:v>
                </c:pt>
                <c:pt idx="11">
                  <c:v>16.225189803711778</c:v>
                </c:pt>
                <c:pt idx="12">
                  <c:v>20.10152172821854</c:v>
                </c:pt>
                <c:pt idx="13">
                  <c:v>24.907148945397026</c:v>
                </c:pt>
                <c:pt idx="14">
                  <c:v>30.86557350936096</c:v>
                </c:pt>
                <c:pt idx="15">
                  <c:v>38.254210904943911</c:v>
                </c:pt>
                <c:pt idx="16">
                  <c:v>47.417430539824153</c:v>
                </c:pt>
                <c:pt idx="17">
                  <c:v>58.782758290837201</c:v>
                </c:pt>
                <c:pt idx="18">
                  <c:v>72.881009569035243</c:v>
                </c:pt>
                <c:pt idx="19">
                  <c:v>90.371308506742437</c:v>
                </c:pt>
                <c:pt idx="20">
                  <c:v>112.07218166479875</c:v>
                </c:pt>
                <c:pt idx="21">
                  <c:v>139.00020426650113</c:v>
                </c:pt>
                <c:pt idx="22">
                  <c:v>172.4180372740486</c:v>
                </c:pt>
                <c:pt idx="23">
                  <c:v>124.45922680191636</c:v>
                </c:pt>
                <c:pt idx="24">
                  <c:v>145.05150046666205</c:v>
                </c:pt>
                <c:pt idx="25">
                  <c:v>165.57375879185801</c:v>
                </c:pt>
                <c:pt idx="26">
                  <c:v>186.0359113344837</c:v>
                </c:pt>
                <c:pt idx="27">
                  <c:v>206.44550326470099</c:v>
                </c:pt>
                <c:pt idx="28">
                  <c:v>178.8770701672199</c:v>
                </c:pt>
                <c:pt idx="29">
                  <c:v>200.38972394653459</c:v>
                </c:pt>
                <c:pt idx="30">
                  <c:v>221.84883849790182</c:v>
                </c:pt>
                <c:pt idx="31">
                  <c:v>243.26032139995104</c:v>
                </c:pt>
                <c:pt idx="32">
                  <c:v>264.62895421811407</c:v>
                </c:pt>
                <c:pt idx="33">
                  <c:v>285.95868273742298</c:v>
                </c:pt>
                <c:pt idx="34">
                  <c:v>242.58739286352048</c:v>
                </c:pt>
                <c:pt idx="35">
                  <c:v>264.04989736803674</c:v>
                </c:pt>
                <c:pt idx="36">
                  <c:v>285.47306022064532</c:v>
                </c:pt>
                <c:pt idx="37">
                  <c:v>306.860247871995</c:v>
                </c:pt>
                <c:pt idx="38">
                  <c:v>328.21431914917827</c:v>
                </c:pt>
                <c:pt idx="39">
                  <c:v>349.5377305435054</c:v>
                </c:pt>
                <c:pt idx="40">
                  <c:v>370.83261443628663</c:v>
                </c:pt>
                <c:pt idx="41">
                  <c:v>392.10083840438301</c:v>
                </c:pt>
                <c:pt idx="42">
                  <c:v>320.07706003496543</c:v>
                </c:pt>
                <c:pt idx="43">
                  <c:v>340.16115673745094</c:v>
                </c:pt>
                <c:pt idx="44">
                  <c:v>360.2191776827687</c:v>
                </c:pt>
                <c:pt idx="45">
                  <c:v>380.25277835910487</c:v>
                </c:pt>
                <c:pt idx="46">
                  <c:v>400.2634256424567</c:v>
                </c:pt>
                <c:pt idx="47">
                  <c:v>420.25242783490597</c:v>
                </c:pt>
                <c:pt idx="48">
                  <c:v>440.22095868894326</c:v>
                </c:pt>
                <c:pt idx="49">
                  <c:v>460.17007684546002</c:v>
                </c:pt>
                <c:pt idx="50">
                  <c:v>480.10074172574264</c:v>
                </c:pt>
                <c:pt idx="51">
                  <c:v>408.86708705663085</c:v>
                </c:pt>
                <c:pt idx="52">
                  <c:v>426.81319907682013</c:v>
                </c:pt>
                <c:pt idx="53">
                  <c:v>444.74308871435665</c:v>
                </c:pt>
                <c:pt idx="54">
                  <c:v>462.65750170877988</c:v>
                </c:pt>
                <c:pt idx="55">
                  <c:v>480.55712136582889</c:v>
                </c:pt>
                <c:pt idx="56">
                  <c:v>498.44257596300025</c:v>
                </c:pt>
                <c:pt idx="57">
                  <c:v>516.31444503713794</c:v>
                </c:pt>
                <c:pt idx="58">
                  <c:v>534.17326475645041</c:v>
                </c:pt>
                <c:pt idx="59">
                  <c:v>552.01953253702732</c:v>
                </c:pt>
                <c:pt idx="60">
                  <c:v>569.85371103158184</c:v>
                </c:pt>
                <c:pt idx="61">
                  <c:v>496.55887909600943</c:v>
                </c:pt>
                <c:pt idx="62">
                  <c:v>511.6255347374472</c:v>
                </c:pt>
                <c:pt idx="63">
                  <c:v>526.68282208192829</c:v>
                </c:pt>
                <c:pt idx="64">
                  <c:v>541.73104657451711</c:v>
                </c:pt>
                <c:pt idx="65">
                  <c:v>556.77049531447858</c:v>
                </c:pt>
                <c:pt idx="66">
                  <c:v>571.80143863323156</c:v>
                </c:pt>
                <c:pt idx="67">
                  <c:v>586.82413149782394</c:v>
                </c:pt>
                <c:pt idx="68">
                  <c:v>601.83881476328258</c:v>
                </c:pt>
                <c:pt idx="69">
                  <c:v>616.84571629355526</c:v>
                </c:pt>
                <c:pt idx="70">
                  <c:v>631.84505196775149</c:v>
                </c:pt>
                <c:pt idx="71">
                  <c:v>558.52582336493231</c:v>
                </c:pt>
                <c:pt idx="72">
                  <c:v>570.88695865906334</c:v>
                </c:pt>
                <c:pt idx="73">
                  <c:v>583.24250397763637</c:v>
                </c:pt>
                <c:pt idx="74">
                  <c:v>595.59259439382743</c:v>
                </c:pt>
                <c:pt idx="75">
                  <c:v>607.93735892409688</c:v>
                </c:pt>
                <c:pt idx="76">
                  <c:v>620.27692091982669</c:v>
                </c:pt>
                <c:pt idx="77">
                  <c:v>632.61139842618638</c:v>
                </c:pt>
                <c:pt idx="78">
                  <c:v>644.94090451156796</c:v>
                </c:pt>
                <c:pt idx="79">
                  <c:v>657.26554757053043</c:v>
                </c:pt>
                <c:pt idx="80">
                  <c:v>669.58543160285092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8" sqref="B18:M31"/>
    </sheetView>
  </sheetViews>
  <sheetFormatPr baseColWidth="10" defaultColWidth="11.453125" defaultRowHeight="14.5" x14ac:dyDescent="0.35"/>
  <cols>
    <col min="1" max="1" width="6.54296875" customWidth="1"/>
    <col min="2" max="13" width="15.81640625" customWidth="1"/>
  </cols>
  <sheetData>
    <row r="12" spans="2:13" ht="15" customHeight="1" x14ac:dyDescent="0.35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E55" zoomScale="80" zoomScaleNormal="80" workbookViewId="0">
      <selection activeCell="E62" sqref="E62:H68"/>
    </sheetView>
  </sheetViews>
  <sheetFormatPr baseColWidth="10" defaultColWidth="11.453125" defaultRowHeight="14.5" x14ac:dyDescent="0.35"/>
  <cols>
    <col min="1" max="1" width="13.5429687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453125" style="23" customWidth="1"/>
    <col min="6" max="6" width="28.81640625" style="23" bestFit="1" customWidth="1"/>
    <col min="7" max="8" width="14.5429687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2" t="s">
        <v>2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7</v>
      </c>
      <c r="B5" s="268"/>
      <c r="C5" s="24">
        <v>8.6999999999999993</v>
      </c>
      <c r="D5" s="269" t="s">
        <v>8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16</v>
      </c>
      <c r="C9" s="32">
        <v>8.0086580086580081E-2</v>
      </c>
      <c r="D9" s="33">
        <f t="shared" ref="D9:D18" si="0">C9*$C$5</f>
        <v>0.69675324675324668</v>
      </c>
      <c r="E9" s="34">
        <v>159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18</v>
      </c>
      <c r="B10" s="31" t="s">
        <v>19</v>
      </c>
      <c r="C10" s="32">
        <v>0.55194805194805197</v>
      </c>
      <c r="D10" s="33">
        <f t="shared" si="0"/>
        <v>4.8019480519480515</v>
      </c>
      <c r="E10" s="34">
        <v>60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20</v>
      </c>
      <c r="B11" s="31" t="s">
        <v>21</v>
      </c>
      <c r="C11" s="32">
        <v>2.1645021645021644E-2</v>
      </c>
      <c r="D11" s="33">
        <f t="shared" si="0"/>
        <v>0.18831168831168829</v>
      </c>
      <c r="E11" s="34">
        <v>130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22</v>
      </c>
      <c r="B12" s="31" t="s">
        <v>23</v>
      </c>
      <c r="C12" s="32">
        <v>0.34632034632034631</v>
      </c>
      <c r="D12" s="33">
        <f t="shared" si="0"/>
        <v>3.0129870129870127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24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25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26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27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28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29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30</v>
      </c>
      <c r="C19" s="37">
        <f>SUM(C9:C18)</f>
        <v>1</v>
      </c>
      <c r="D19" s="38">
        <f>SUM(D9:D18)</f>
        <v>8.6999999999999993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31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32</v>
      </c>
      <c r="B24" s="42" t="s">
        <v>33</v>
      </c>
      <c r="C24" s="43">
        <v>0</v>
      </c>
      <c r="D24" s="44" t="s">
        <v>34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35</v>
      </c>
      <c r="B25" s="42" t="s">
        <v>36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37</v>
      </c>
      <c r="B26" s="42" t="s">
        <v>38</v>
      </c>
      <c r="C26" s="43">
        <v>0.1</v>
      </c>
      <c r="D26" s="44" t="s">
        <v>39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40</v>
      </c>
      <c r="B27" s="42" t="s">
        <v>41</v>
      </c>
      <c r="C27" s="43">
        <v>0</v>
      </c>
      <c r="D27" s="44" t="s">
        <v>42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43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C31" s="23" t="s">
        <v>44</v>
      </c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Chêne sessile</v>
      </c>
      <c r="D32" s="229" t="s">
        <v>45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46</v>
      </c>
      <c r="C34" s="258" t="s">
        <v>47</v>
      </c>
      <c r="D34" s="258"/>
      <c r="E34" s="259" t="s">
        <v>48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49</v>
      </c>
      <c r="B35" s="36" t="s">
        <v>50</v>
      </c>
      <c r="C35" s="48" t="s">
        <v>51</v>
      </c>
      <c r="D35" s="48" t="s">
        <v>52</v>
      </c>
      <c r="E35" s="36" t="s">
        <v>53</v>
      </c>
      <c r="F35" s="36" t="s">
        <v>54</v>
      </c>
      <c r="G35" s="36" t="s">
        <v>55</v>
      </c>
      <c r="H35" s="36" t="s">
        <v>56</v>
      </c>
      <c r="I35" s="48" t="s">
        <v>57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34</v>
      </c>
      <c r="B36" s="60">
        <v>173.04</v>
      </c>
      <c r="C36" s="60">
        <v>1</v>
      </c>
      <c r="D36" s="60">
        <v>36.679999999999978</v>
      </c>
      <c r="E36" s="51">
        <v>0</v>
      </c>
      <c r="F36" s="51">
        <v>0.8</v>
      </c>
      <c r="G36" s="51">
        <v>0.2</v>
      </c>
      <c r="H36" s="51">
        <v>0</v>
      </c>
      <c r="I36" s="49">
        <f>IFERROR(B36/A36,"")</f>
        <v>5.0894117647058819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42</v>
      </c>
      <c r="B37" s="60">
        <v>248.01</v>
      </c>
      <c r="C37" s="60">
        <v>2</v>
      </c>
      <c r="D37" s="60">
        <v>58.099999999999994</v>
      </c>
      <c r="E37" s="51">
        <v>0</v>
      </c>
      <c r="F37" s="51">
        <v>0.8</v>
      </c>
      <c r="G37" s="51">
        <v>0.2</v>
      </c>
      <c r="H37" s="51">
        <v>0</v>
      </c>
      <c r="I37" s="53">
        <f t="shared" ref="I37:I55" si="1">IF(A37&lt;&gt;0,(B37-(B36-D36))/(A37-A36),"")</f>
        <v>13.956249999999997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50</v>
      </c>
      <c r="B38" s="60">
        <v>304.72000000000003</v>
      </c>
      <c r="C38" s="60">
        <v>3</v>
      </c>
      <c r="D38" s="60">
        <v>70.730000000000018</v>
      </c>
      <c r="E38" s="51">
        <v>0</v>
      </c>
      <c r="F38" s="51">
        <v>0.8</v>
      </c>
      <c r="G38" s="51">
        <v>0.2</v>
      </c>
      <c r="H38" s="51">
        <v>0</v>
      </c>
      <c r="I38" s="53">
        <f t="shared" si="1"/>
        <v>14.351250000000004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58</v>
      </c>
      <c r="B39" s="60">
        <v>346.58</v>
      </c>
      <c r="C39" s="60">
        <v>4</v>
      </c>
      <c r="D39" s="60">
        <v>65.819999999999993</v>
      </c>
      <c r="E39" s="51">
        <v>0.35</v>
      </c>
      <c r="F39" s="51">
        <v>0.2</v>
      </c>
      <c r="G39" s="51">
        <v>0.1</v>
      </c>
      <c r="H39" s="51">
        <v>0.35</v>
      </c>
      <c r="I39" s="49">
        <f t="shared" si="1"/>
        <v>14.073749999999997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66</v>
      </c>
      <c r="B40" s="60">
        <v>388.92</v>
      </c>
      <c r="C40" s="60">
        <v>5</v>
      </c>
      <c r="D40" s="60">
        <v>76.480000000000018</v>
      </c>
      <c r="E40" s="51">
        <v>0.35</v>
      </c>
      <c r="F40" s="51">
        <v>0.2</v>
      </c>
      <c r="G40" s="51">
        <v>0.1</v>
      </c>
      <c r="H40" s="51">
        <v>0.35</v>
      </c>
      <c r="I40" s="49">
        <f t="shared" si="1"/>
        <v>13.520000000000003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74</v>
      </c>
      <c r="B41" s="60">
        <v>414.8</v>
      </c>
      <c r="C41" s="60">
        <v>6</v>
      </c>
      <c r="D41" s="60">
        <v>75.29000000000002</v>
      </c>
      <c r="E41" s="51">
        <v>0.35</v>
      </c>
      <c r="F41" s="51">
        <v>0.2</v>
      </c>
      <c r="G41" s="51">
        <v>0.1</v>
      </c>
      <c r="H41" s="51">
        <v>0.35</v>
      </c>
      <c r="I41" s="53">
        <f t="shared" si="1"/>
        <v>12.795000000000002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82</v>
      </c>
      <c r="B42" s="60">
        <v>436.17</v>
      </c>
      <c r="C42" s="60">
        <v>7</v>
      </c>
      <c r="D42" s="60">
        <v>58.140000000000043</v>
      </c>
      <c r="E42" s="51">
        <v>0.35</v>
      </c>
      <c r="F42" s="51">
        <v>0.2</v>
      </c>
      <c r="G42" s="51">
        <v>0.1</v>
      </c>
      <c r="H42" s="51">
        <v>0.35</v>
      </c>
      <c r="I42" s="53">
        <f t="shared" si="1"/>
        <v>12.082500000000003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90</v>
      </c>
      <c r="B43" s="60">
        <v>471.37</v>
      </c>
      <c r="C43" s="60">
        <v>8</v>
      </c>
      <c r="D43" s="60">
        <v>68.54000000000002</v>
      </c>
      <c r="E43" s="51">
        <v>0.35</v>
      </c>
      <c r="F43" s="51">
        <v>0.2</v>
      </c>
      <c r="G43" s="51">
        <v>0.1</v>
      </c>
      <c r="H43" s="51">
        <v>0.35</v>
      </c>
      <c r="I43" s="49">
        <f t="shared" si="1"/>
        <v>11.667500000000004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100</v>
      </c>
      <c r="B44" s="60">
        <v>515.66999999999996</v>
      </c>
      <c r="C44" s="60">
        <v>9</v>
      </c>
      <c r="D44" s="60">
        <v>93.039999999999964</v>
      </c>
      <c r="E44" s="51">
        <v>0.5</v>
      </c>
      <c r="F44" s="51">
        <v>0.2</v>
      </c>
      <c r="G44" s="51">
        <v>0</v>
      </c>
      <c r="H44" s="51">
        <v>0.3</v>
      </c>
      <c r="I44" s="49">
        <f t="shared" si="1"/>
        <v>11.283999999999997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>
        <v>110</v>
      </c>
      <c r="B45" s="60">
        <v>531.04</v>
      </c>
      <c r="C45" s="60">
        <v>10</v>
      </c>
      <c r="D45" s="60">
        <v>73.299999999999955</v>
      </c>
      <c r="E45" s="51">
        <v>0.5</v>
      </c>
      <c r="F45" s="51">
        <v>0.2</v>
      </c>
      <c r="G45" s="51">
        <v>0</v>
      </c>
      <c r="H45" s="51">
        <v>0.3</v>
      </c>
      <c r="I45" s="49">
        <f t="shared" si="1"/>
        <v>10.840999999999998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>
        <v>120</v>
      </c>
      <c r="B46" s="60">
        <v>565</v>
      </c>
      <c r="C46" s="60">
        <v>11</v>
      </c>
      <c r="D46" s="60">
        <v>66.050000000000011</v>
      </c>
      <c r="E46" s="51">
        <v>0.5</v>
      </c>
      <c r="F46" s="51">
        <v>0.2</v>
      </c>
      <c r="G46" s="51">
        <v>0</v>
      </c>
      <c r="H46" s="51">
        <v>0.3</v>
      </c>
      <c r="I46" s="49">
        <f t="shared" si="1"/>
        <v>10.725999999999999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>
        <v>130</v>
      </c>
      <c r="B47" s="60">
        <v>606.41</v>
      </c>
      <c r="C47" s="60">
        <v>12</v>
      </c>
      <c r="D47" s="60">
        <v>75.799999999999955</v>
      </c>
      <c r="E47" s="51">
        <v>0.5</v>
      </c>
      <c r="F47" s="51">
        <v>0.2</v>
      </c>
      <c r="G47" s="51">
        <v>0</v>
      </c>
      <c r="H47" s="51">
        <v>0.3</v>
      </c>
      <c r="I47" s="49">
        <f t="shared" si="1"/>
        <v>10.745999999999999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>
        <v>140</v>
      </c>
      <c r="B48" s="60">
        <v>639.04999999999995</v>
      </c>
      <c r="C48" s="60">
        <v>13</v>
      </c>
      <c r="D48" s="60">
        <v>74.669999999999959</v>
      </c>
      <c r="E48" s="51">
        <v>0.5</v>
      </c>
      <c r="F48" s="51">
        <v>0.2</v>
      </c>
      <c r="G48" s="51">
        <v>0</v>
      </c>
      <c r="H48" s="51">
        <v>0.3</v>
      </c>
      <c r="I48" s="49">
        <f t="shared" si="1"/>
        <v>10.843999999999994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>
        <v>150</v>
      </c>
      <c r="B49" s="60">
        <v>673.13</v>
      </c>
      <c r="C49" s="60">
        <v>14</v>
      </c>
      <c r="D49" s="60">
        <v>259.52</v>
      </c>
      <c r="E49" s="51">
        <v>0.45</v>
      </c>
      <c r="F49" s="51">
        <v>0.05</v>
      </c>
      <c r="G49" s="51">
        <v>0.05</v>
      </c>
      <c r="H49" s="51">
        <v>0.45</v>
      </c>
      <c r="I49" s="49">
        <f t="shared" si="1"/>
        <v>10.875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>
        <v>153</v>
      </c>
      <c r="B50" s="50">
        <v>434.97</v>
      </c>
      <c r="C50" s="50">
        <v>15</v>
      </c>
      <c r="D50" s="50">
        <v>156.29000000000002</v>
      </c>
      <c r="E50" s="51">
        <v>0.45</v>
      </c>
      <c r="F50" s="51">
        <v>0.05</v>
      </c>
      <c r="G50" s="51">
        <v>0.05</v>
      </c>
      <c r="H50" s="51">
        <v>0.45</v>
      </c>
      <c r="I50" s="49">
        <f t="shared" si="1"/>
        <v>7.1200000000000045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>
        <v>156</v>
      </c>
      <c r="B51" s="50">
        <v>290.93</v>
      </c>
      <c r="C51" s="50">
        <v>16</v>
      </c>
      <c r="D51" s="50">
        <v>96.65</v>
      </c>
      <c r="E51" s="51">
        <v>0.45</v>
      </c>
      <c r="F51" s="51">
        <v>0.05</v>
      </c>
      <c r="G51" s="51">
        <v>0.05</v>
      </c>
      <c r="H51" s="51">
        <v>0.45</v>
      </c>
      <c r="I51" s="49">
        <f t="shared" si="1"/>
        <v>4.083333333333333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>
        <v>159</v>
      </c>
      <c r="B52" s="50">
        <v>201.48</v>
      </c>
      <c r="C52" s="50">
        <v>17</v>
      </c>
      <c r="D52" s="50">
        <v>201.48</v>
      </c>
      <c r="E52" s="51">
        <v>0.45</v>
      </c>
      <c r="F52" s="51">
        <v>0.05</v>
      </c>
      <c r="G52" s="51">
        <v>0.05</v>
      </c>
      <c r="H52" s="51">
        <v>0.45</v>
      </c>
      <c r="I52" s="49">
        <f t="shared" si="1"/>
        <v>2.3999999999999964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C57" s="23" t="s">
        <v>58</v>
      </c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18</v>
      </c>
      <c r="B58" s="52" t="str">
        <f>IF(B10="","",B10)</f>
        <v>Pin maritime</v>
      </c>
      <c r="D58" s="229" t="s">
        <v>45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46</v>
      </c>
      <c r="C60" s="258" t="s">
        <v>47</v>
      </c>
      <c r="D60" s="258"/>
      <c r="E60" s="259" t="s">
        <v>48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49</v>
      </c>
      <c r="B61" s="36" t="s">
        <v>50</v>
      </c>
      <c r="C61" s="48" t="s">
        <v>51</v>
      </c>
      <c r="D61" s="48" t="s">
        <v>52</v>
      </c>
      <c r="E61" s="36" t="s">
        <v>53</v>
      </c>
      <c r="F61" s="36" t="s">
        <v>54</v>
      </c>
      <c r="G61" s="36" t="s">
        <v>55</v>
      </c>
      <c r="H61" s="36" t="s">
        <v>56</v>
      </c>
      <c r="I61" s="48" t="s">
        <v>57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17</v>
      </c>
      <c r="B62" s="60">
        <v>123.63</v>
      </c>
      <c r="C62" s="60">
        <v>1</v>
      </c>
      <c r="D62" s="60">
        <v>40.76</v>
      </c>
      <c r="E62" s="51">
        <v>0</v>
      </c>
      <c r="F62" s="51">
        <v>0.5</v>
      </c>
      <c r="G62" s="51">
        <v>0.5</v>
      </c>
      <c r="H62" s="51">
        <v>0</v>
      </c>
      <c r="I62" s="53">
        <f>IFERROR(B62/A62,"")</f>
        <v>7.2723529411764707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23</v>
      </c>
      <c r="B63" s="60">
        <v>189.21</v>
      </c>
      <c r="C63" s="60">
        <v>2</v>
      </c>
      <c r="D63" s="60">
        <v>57.75</v>
      </c>
      <c r="E63" s="51">
        <v>0.25</v>
      </c>
      <c r="F63" s="51">
        <v>0.37</v>
      </c>
      <c r="G63" s="51">
        <v>0.38</v>
      </c>
      <c r="H63" s="51">
        <v>0</v>
      </c>
      <c r="I63" s="49">
        <f t="shared" ref="I63:I69" si="2">IF(A63&lt;&gt;0,(B63-(B62-D62))/(A63-A62),"")</f>
        <v>17.723333333333333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29</v>
      </c>
      <c r="B64" s="60">
        <v>242.91</v>
      </c>
      <c r="C64" s="60">
        <v>3</v>
      </c>
      <c r="D64" s="60">
        <v>54.64</v>
      </c>
      <c r="E64" s="51">
        <v>0.6</v>
      </c>
      <c r="F64" s="51">
        <v>0.2</v>
      </c>
      <c r="G64" s="51">
        <v>0.2</v>
      </c>
      <c r="H64" s="51">
        <v>0</v>
      </c>
      <c r="I64" s="49">
        <f t="shared" si="2"/>
        <v>18.574999999999999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36</v>
      </c>
      <c r="B65" s="60">
        <v>312.57</v>
      </c>
      <c r="C65" s="60">
        <v>4</v>
      </c>
      <c r="D65" s="60">
        <v>76.069999999999993</v>
      </c>
      <c r="E65" s="51">
        <v>0.6</v>
      </c>
      <c r="F65" s="51">
        <v>0.2</v>
      </c>
      <c r="G65" s="51">
        <v>0.2</v>
      </c>
      <c r="H65" s="51">
        <v>0</v>
      </c>
      <c r="I65" s="49">
        <f t="shared" si="2"/>
        <v>17.75714285714286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44</v>
      </c>
      <c r="B66" s="60">
        <v>368.73</v>
      </c>
      <c r="C66" s="60">
        <v>5</v>
      </c>
      <c r="D66" s="60">
        <v>77.91</v>
      </c>
      <c r="E66" s="51">
        <v>0.6</v>
      </c>
      <c r="F66" s="51">
        <v>0.2</v>
      </c>
      <c r="G66" s="51">
        <v>0.2</v>
      </c>
      <c r="H66" s="51">
        <v>0</v>
      </c>
      <c r="I66" s="49">
        <f t="shared" si="2"/>
        <v>16.528750000000002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52</v>
      </c>
      <c r="B67" s="60">
        <v>408.01</v>
      </c>
      <c r="C67" s="60">
        <v>6</v>
      </c>
      <c r="D67" s="60">
        <v>75.37</v>
      </c>
      <c r="E67" s="51">
        <v>0.6</v>
      </c>
      <c r="F67" s="51">
        <v>0.2</v>
      </c>
      <c r="G67" s="51">
        <v>0.2</v>
      </c>
      <c r="H67" s="51">
        <v>0</v>
      </c>
      <c r="I67" s="49">
        <f t="shared" si="2"/>
        <v>14.648749999999993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60</v>
      </c>
      <c r="B68" s="60">
        <v>437.74</v>
      </c>
      <c r="C68" s="60" t="s">
        <v>59</v>
      </c>
      <c r="D68" s="60">
        <v>436.34</v>
      </c>
      <c r="E68" s="51">
        <v>0.6</v>
      </c>
      <c r="F68" s="51">
        <v>0.2</v>
      </c>
      <c r="G68" s="51">
        <v>0.2</v>
      </c>
      <c r="H68" s="51">
        <v>0</v>
      </c>
      <c r="I68" s="49">
        <f t="shared" si="2"/>
        <v>13.137500000000003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ref="I70:I81" si="3">IF(A70&lt;&gt;0,(B70-(B69-D69))/(A70-A69),"")</f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3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3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3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3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3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3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3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3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3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3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3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C83" s="23" t="s">
        <v>60</v>
      </c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20</v>
      </c>
      <c r="B84" s="52" t="str">
        <f>IF(B11="","",B11)</f>
        <v>Chêne pubescent</v>
      </c>
      <c r="D84" s="229" t="s">
        <v>45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46</v>
      </c>
      <c r="C86" s="258" t="s">
        <v>47</v>
      </c>
      <c r="D86" s="258"/>
      <c r="E86" s="259" t="s">
        <v>48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49</v>
      </c>
      <c r="B87" s="36" t="s">
        <v>50</v>
      </c>
      <c r="C87" s="48" t="s">
        <v>51</v>
      </c>
      <c r="D87" s="48" t="s">
        <v>52</v>
      </c>
      <c r="E87" s="36" t="s">
        <v>53</v>
      </c>
      <c r="F87" s="36" t="s">
        <v>54</v>
      </c>
      <c r="G87" s="36" t="s">
        <v>55</v>
      </c>
      <c r="H87" s="36" t="s">
        <v>56</v>
      </c>
      <c r="I87" s="48" t="s">
        <v>57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35</v>
      </c>
      <c r="B88" s="60">
        <v>91</v>
      </c>
      <c r="C88" s="60">
        <v>1</v>
      </c>
      <c r="D88" s="60">
        <v>9</v>
      </c>
      <c r="E88" s="51">
        <v>0</v>
      </c>
      <c r="F88" s="51">
        <v>0.25</v>
      </c>
      <c r="G88" s="51">
        <v>0.25</v>
      </c>
      <c r="H88" s="87">
        <v>0.5</v>
      </c>
      <c r="I88" s="53">
        <f>IFERROR(B88/A88,"")</f>
        <v>2.6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40</v>
      </c>
      <c r="B89" s="60">
        <v>110</v>
      </c>
      <c r="C89" s="60">
        <v>2</v>
      </c>
      <c r="D89" s="60">
        <v>10</v>
      </c>
      <c r="E89" s="51">
        <v>0</v>
      </c>
      <c r="F89" s="51">
        <v>0.25</v>
      </c>
      <c r="G89" s="51">
        <v>0.25</v>
      </c>
      <c r="H89" s="87">
        <v>0.5</v>
      </c>
      <c r="I89" s="53">
        <f t="shared" ref="I89:I107" si="4">IF(A89&lt;&gt;0,(B89-(B88-D88))/(A89-A88),"")</f>
        <v>5.6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45</v>
      </c>
      <c r="B90" s="60">
        <v>128</v>
      </c>
      <c r="C90" s="60">
        <v>3</v>
      </c>
      <c r="D90" s="60">
        <v>10</v>
      </c>
      <c r="E90" s="87">
        <v>0</v>
      </c>
      <c r="F90" s="87">
        <v>0.25</v>
      </c>
      <c r="G90" s="87">
        <v>0.25</v>
      </c>
      <c r="H90" s="87">
        <v>0.5</v>
      </c>
      <c r="I90" s="53">
        <f t="shared" si="4"/>
        <v>5.6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50</v>
      </c>
      <c r="B91" s="60">
        <v>144</v>
      </c>
      <c r="C91" s="60">
        <v>4</v>
      </c>
      <c r="D91" s="60">
        <v>10</v>
      </c>
      <c r="E91" s="87">
        <v>0</v>
      </c>
      <c r="F91" s="87">
        <v>0.25</v>
      </c>
      <c r="G91" s="87">
        <v>0.25</v>
      </c>
      <c r="H91" s="87">
        <v>0.5</v>
      </c>
      <c r="I91" s="53">
        <f t="shared" si="4"/>
        <v>5.2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55</v>
      </c>
      <c r="B92" s="60">
        <v>158</v>
      </c>
      <c r="C92" s="60">
        <v>5</v>
      </c>
      <c r="D92" s="60">
        <v>11</v>
      </c>
      <c r="E92" s="87">
        <v>0</v>
      </c>
      <c r="F92" s="87">
        <v>0.25</v>
      </c>
      <c r="G92" s="87">
        <v>0.25</v>
      </c>
      <c r="H92" s="87">
        <v>0.5</v>
      </c>
      <c r="I92" s="53">
        <f t="shared" si="4"/>
        <v>4.8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60</v>
      </c>
      <c r="B93" s="60">
        <v>171</v>
      </c>
      <c r="C93" s="60">
        <v>6</v>
      </c>
      <c r="D93" s="60">
        <v>11</v>
      </c>
      <c r="E93" s="87">
        <v>0</v>
      </c>
      <c r="F93" s="87">
        <v>0.25</v>
      </c>
      <c r="G93" s="87">
        <v>0.25</v>
      </c>
      <c r="H93" s="87">
        <v>0.5</v>
      </c>
      <c r="I93" s="53">
        <f t="shared" si="4"/>
        <v>4.8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65</v>
      </c>
      <c r="B94" s="60">
        <v>183</v>
      </c>
      <c r="C94" s="60">
        <v>7</v>
      </c>
      <c r="D94" s="60">
        <v>11</v>
      </c>
      <c r="E94" s="87">
        <v>0</v>
      </c>
      <c r="F94" s="87">
        <v>0.25</v>
      </c>
      <c r="G94" s="87">
        <v>0.25</v>
      </c>
      <c r="H94" s="87">
        <v>0.5</v>
      </c>
      <c r="I94" s="53">
        <f t="shared" si="4"/>
        <v>4.5999999999999996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70</v>
      </c>
      <c r="B95" s="60">
        <v>193</v>
      </c>
      <c r="C95" s="60">
        <v>8</v>
      </c>
      <c r="D95" s="60">
        <v>10</v>
      </c>
      <c r="E95" s="87">
        <v>0</v>
      </c>
      <c r="F95" s="87">
        <v>0.25</v>
      </c>
      <c r="G95" s="87">
        <v>0.25</v>
      </c>
      <c r="H95" s="87">
        <v>0.5</v>
      </c>
      <c r="I95" s="53">
        <f t="shared" si="4"/>
        <v>4.2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75</v>
      </c>
      <c r="B96" s="60">
        <v>203</v>
      </c>
      <c r="C96" s="60">
        <v>9</v>
      </c>
      <c r="D96" s="60">
        <v>10</v>
      </c>
      <c r="E96" s="87">
        <v>0</v>
      </c>
      <c r="F96" s="87">
        <v>0.25</v>
      </c>
      <c r="G96" s="87">
        <v>0.25</v>
      </c>
      <c r="H96" s="87">
        <v>0.5</v>
      </c>
      <c r="I96" s="53">
        <f t="shared" si="4"/>
        <v>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>
        <v>80</v>
      </c>
      <c r="B97" s="60">
        <v>211</v>
      </c>
      <c r="C97" s="60">
        <v>10</v>
      </c>
      <c r="D97" s="60">
        <v>10</v>
      </c>
      <c r="E97" s="87">
        <v>0</v>
      </c>
      <c r="F97" s="87">
        <v>0.25</v>
      </c>
      <c r="G97" s="87">
        <v>0.25</v>
      </c>
      <c r="H97" s="87">
        <v>0.5</v>
      </c>
      <c r="I97" s="53">
        <f t="shared" si="4"/>
        <v>3.6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>
        <v>85</v>
      </c>
      <c r="B98" s="60">
        <v>219</v>
      </c>
      <c r="C98" s="60">
        <v>11</v>
      </c>
      <c r="D98" s="60">
        <v>10</v>
      </c>
      <c r="E98" s="87">
        <v>0.25</v>
      </c>
      <c r="F98" s="87">
        <v>0.25</v>
      </c>
      <c r="G98" s="87">
        <v>0.25</v>
      </c>
      <c r="H98" s="87">
        <v>0.25</v>
      </c>
      <c r="I98" s="53">
        <f t="shared" si="4"/>
        <v>3.6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>
        <v>90</v>
      </c>
      <c r="B99" s="60">
        <v>226</v>
      </c>
      <c r="C99" s="60">
        <v>12</v>
      </c>
      <c r="D99" s="60">
        <v>10</v>
      </c>
      <c r="E99" s="87">
        <v>0.25</v>
      </c>
      <c r="F99" s="87">
        <v>0.25</v>
      </c>
      <c r="G99" s="87">
        <v>0.25</v>
      </c>
      <c r="H99" s="87">
        <v>0.25</v>
      </c>
      <c r="I99" s="53">
        <f t="shared" si="4"/>
        <v>3.4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>
        <v>95</v>
      </c>
      <c r="B100" s="60">
        <v>233</v>
      </c>
      <c r="C100" s="60">
        <v>13</v>
      </c>
      <c r="D100" s="60">
        <v>9</v>
      </c>
      <c r="E100" s="65">
        <v>0.25</v>
      </c>
      <c r="F100" s="65">
        <v>0.25</v>
      </c>
      <c r="G100" s="65">
        <v>0.25</v>
      </c>
      <c r="H100" s="65">
        <v>0.25</v>
      </c>
      <c r="I100" s="53">
        <f t="shared" si="4"/>
        <v>3.4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>
        <v>100</v>
      </c>
      <c r="B101" s="60">
        <v>239</v>
      </c>
      <c r="C101" s="60">
        <v>14</v>
      </c>
      <c r="D101" s="60">
        <v>9</v>
      </c>
      <c r="E101" s="65">
        <v>0.25</v>
      </c>
      <c r="F101" s="65">
        <v>0.25</v>
      </c>
      <c r="G101" s="65">
        <v>0.25</v>
      </c>
      <c r="H101" s="65">
        <v>0.25</v>
      </c>
      <c r="I101" s="53">
        <f t="shared" si="4"/>
        <v>3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>
        <v>105</v>
      </c>
      <c r="B102" s="50">
        <v>244</v>
      </c>
      <c r="C102" s="60">
        <v>15</v>
      </c>
      <c r="D102" s="50">
        <v>9</v>
      </c>
      <c r="E102" s="54">
        <v>0.25</v>
      </c>
      <c r="F102" s="54">
        <v>0.25</v>
      </c>
      <c r="G102" s="54">
        <v>0.25</v>
      </c>
      <c r="H102" s="54">
        <v>0.25</v>
      </c>
      <c r="I102" s="53">
        <f t="shared" si="4"/>
        <v>2.8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>
        <v>110</v>
      </c>
      <c r="B103" s="50">
        <v>250</v>
      </c>
      <c r="C103" s="60">
        <v>16</v>
      </c>
      <c r="D103" s="50">
        <v>8</v>
      </c>
      <c r="E103" s="54">
        <v>0.25</v>
      </c>
      <c r="F103" s="54">
        <v>0.25</v>
      </c>
      <c r="G103" s="54">
        <v>0.25</v>
      </c>
      <c r="H103" s="54">
        <v>0.25</v>
      </c>
      <c r="I103" s="53">
        <f t="shared" si="4"/>
        <v>3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>
        <v>115</v>
      </c>
      <c r="B104" s="50">
        <v>254</v>
      </c>
      <c r="C104" s="60">
        <v>17</v>
      </c>
      <c r="D104" s="50">
        <v>8</v>
      </c>
      <c r="E104" s="54">
        <v>0.25</v>
      </c>
      <c r="F104" s="54">
        <v>0.25</v>
      </c>
      <c r="G104" s="54">
        <v>0.25</v>
      </c>
      <c r="H104" s="54">
        <v>0.25</v>
      </c>
      <c r="I104" s="53">
        <f t="shared" si="4"/>
        <v>2.4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>
        <v>120</v>
      </c>
      <c r="B105" s="50">
        <v>259</v>
      </c>
      <c r="C105" s="50">
        <v>18</v>
      </c>
      <c r="D105" s="50">
        <v>8</v>
      </c>
      <c r="E105" s="54">
        <v>0.25</v>
      </c>
      <c r="F105" s="54">
        <v>0.25</v>
      </c>
      <c r="G105" s="54">
        <v>0.25</v>
      </c>
      <c r="H105" s="54">
        <v>0.25</v>
      </c>
      <c r="I105" s="53">
        <f t="shared" si="4"/>
        <v>2.6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>
        <v>125</v>
      </c>
      <c r="B106" s="50">
        <v>263</v>
      </c>
      <c r="C106" s="50">
        <v>19</v>
      </c>
      <c r="D106" s="50">
        <v>8</v>
      </c>
      <c r="E106" s="54">
        <v>0.25</v>
      </c>
      <c r="F106" s="54">
        <v>0.25</v>
      </c>
      <c r="G106" s="54">
        <v>0.25</v>
      </c>
      <c r="H106" s="54">
        <v>0.25</v>
      </c>
      <c r="I106" s="53">
        <f t="shared" si="4"/>
        <v>2.4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>
        <v>130</v>
      </c>
      <c r="B107" s="50">
        <v>266</v>
      </c>
      <c r="C107" s="50" t="s">
        <v>59</v>
      </c>
      <c r="D107" s="50">
        <v>266</v>
      </c>
      <c r="E107" s="54">
        <v>0.25</v>
      </c>
      <c r="F107" s="54">
        <v>0.25</v>
      </c>
      <c r="G107" s="54">
        <v>0.25</v>
      </c>
      <c r="H107" s="54">
        <v>0.25</v>
      </c>
      <c r="I107" s="53">
        <f t="shared" si="4"/>
        <v>2.2000000000000002</v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C109" s="23" t="s">
        <v>61</v>
      </c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22</v>
      </c>
      <c r="B110" s="52" t="str">
        <f>IF(B12="","",B12)</f>
        <v>Pin laricio</v>
      </c>
      <c r="D110" s="229" t="s">
        <v>45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46</v>
      </c>
      <c r="C112" s="258" t="s">
        <v>47</v>
      </c>
      <c r="D112" s="258"/>
      <c r="E112" s="259" t="s">
        <v>48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49</v>
      </c>
      <c r="B113" s="36" t="s">
        <v>50</v>
      </c>
      <c r="C113" s="48" t="s">
        <v>51</v>
      </c>
      <c r="D113" s="48" t="s">
        <v>52</v>
      </c>
      <c r="E113" s="36" t="s">
        <v>53</v>
      </c>
      <c r="F113" s="36" t="s">
        <v>54</v>
      </c>
      <c r="G113" s="36" t="s">
        <v>55</v>
      </c>
      <c r="H113" s="36" t="s">
        <v>56</v>
      </c>
      <c r="I113" s="48" t="s">
        <v>57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>
        <v>22</v>
      </c>
      <c r="B114" s="60">
        <v>129.56</v>
      </c>
      <c r="C114" s="50">
        <v>1</v>
      </c>
      <c r="D114" s="60">
        <v>52.620000000000005</v>
      </c>
      <c r="E114" s="51">
        <v>0.25</v>
      </c>
      <c r="F114" s="51">
        <v>0.37</v>
      </c>
      <c r="G114" s="51">
        <v>0.38</v>
      </c>
      <c r="H114" s="51">
        <v>0</v>
      </c>
      <c r="I114" s="53">
        <f>IFERROR(B114/A114,"")</f>
        <v>5.8890909090909096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>
        <v>27</v>
      </c>
      <c r="B115" s="60">
        <v>155.85</v>
      </c>
      <c r="C115" s="50">
        <v>2</v>
      </c>
      <c r="D115" s="60">
        <v>37.929999999999993</v>
      </c>
      <c r="E115" s="51">
        <v>0.25</v>
      </c>
      <c r="F115" s="51">
        <v>0.37</v>
      </c>
      <c r="G115" s="51">
        <v>0.38</v>
      </c>
      <c r="H115" s="51">
        <v>0</v>
      </c>
      <c r="I115" s="53">
        <f t="shared" ref="I115:I133" si="5">IF(A115&lt;&gt;0,(B115-(B114-D114))/(A115-A114),"")</f>
        <v>15.782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>
        <v>33</v>
      </c>
      <c r="B116" s="60">
        <v>217.65</v>
      </c>
      <c r="C116" s="50">
        <v>3</v>
      </c>
      <c r="D116" s="60">
        <v>50.460000000000008</v>
      </c>
      <c r="E116" s="51">
        <v>0.25</v>
      </c>
      <c r="F116" s="51">
        <v>0.37</v>
      </c>
      <c r="G116" s="51">
        <v>0.38</v>
      </c>
      <c r="H116" s="51">
        <v>0</v>
      </c>
      <c r="I116" s="53">
        <f t="shared" si="5"/>
        <v>16.621666666666666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>
        <v>41</v>
      </c>
      <c r="B117" s="60">
        <v>300.74</v>
      </c>
      <c r="C117" s="50">
        <v>4</v>
      </c>
      <c r="D117" s="60">
        <v>72.16</v>
      </c>
      <c r="E117" s="51">
        <v>0.6</v>
      </c>
      <c r="F117" s="51">
        <v>0.2</v>
      </c>
      <c r="G117" s="51">
        <v>0.2</v>
      </c>
      <c r="H117" s="51">
        <v>0</v>
      </c>
      <c r="I117" s="53">
        <f t="shared" si="5"/>
        <v>16.693750000000001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>
        <v>50</v>
      </c>
      <c r="B118" s="60">
        <v>370.01</v>
      </c>
      <c r="C118" s="50">
        <v>5</v>
      </c>
      <c r="D118" s="60">
        <v>70.20999999999998</v>
      </c>
      <c r="E118" s="51">
        <v>0.6</v>
      </c>
      <c r="F118" s="51">
        <v>0.2</v>
      </c>
      <c r="G118" s="51">
        <v>0.2</v>
      </c>
      <c r="H118" s="51">
        <v>0</v>
      </c>
      <c r="I118" s="53">
        <f t="shared" si="5"/>
        <v>15.714444444444442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>
        <v>60</v>
      </c>
      <c r="B119" s="60">
        <v>440.94</v>
      </c>
      <c r="C119" s="50">
        <v>6</v>
      </c>
      <c r="D119" s="60">
        <v>69.839999999999975</v>
      </c>
      <c r="E119" s="51">
        <v>0.6</v>
      </c>
      <c r="F119" s="51">
        <v>0.2</v>
      </c>
      <c r="G119" s="51">
        <v>0.2</v>
      </c>
      <c r="H119" s="51">
        <v>0</v>
      </c>
      <c r="I119" s="53">
        <f t="shared" si="5"/>
        <v>14.113999999999999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>
        <v>70</v>
      </c>
      <c r="B120" s="60">
        <v>490.07</v>
      </c>
      <c r="C120" s="60">
        <v>7</v>
      </c>
      <c r="D120" s="60">
        <v>67.88</v>
      </c>
      <c r="E120" s="87">
        <v>0.6</v>
      </c>
      <c r="F120" s="87">
        <v>0.2</v>
      </c>
      <c r="G120" s="87">
        <v>0.2</v>
      </c>
      <c r="H120" s="87">
        <v>0</v>
      </c>
      <c r="I120" s="53">
        <f t="shared" si="5"/>
        <v>11.896999999999997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>
        <v>80</v>
      </c>
      <c r="B121" s="60">
        <v>520.03</v>
      </c>
      <c r="C121" s="60">
        <v>8</v>
      </c>
      <c r="D121" s="60">
        <v>520.03</v>
      </c>
      <c r="E121" s="87">
        <v>0.6</v>
      </c>
      <c r="F121" s="87">
        <v>0.2</v>
      </c>
      <c r="G121" s="87">
        <v>0.2</v>
      </c>
      <c r="H121" s="87">
        <v>0</v>
      </c>
      <c r="I121" s="53">
        <f t="shared" si="5"/>
        <v>9.7839999999999971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5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5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5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5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5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5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5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5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5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5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5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5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24</v>
      </c>
      <c r="B136" s="52" t="str">
        <f>IF(B13="","",B13)</f>
        <v/>
      </c>
      <c r="D136" s="229" t="s">
        <v>45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46</v>
      </c>
      <c r="C138" s="258" t="s">
        <v>47</v>
      </c>
      <c r="D138" s="258"/>
      <c r="E138" s="259" t="s">
        <v>48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49</v>
      </c>
      <c r="B139" s="36" t="s">
        <v>50</v>
      </c>
      <c r="C139" s="48" t="s">
        <v>51</v>
      </c>
      <c r="D139" s="48" t="s">
        <v>52</v>
      </c>
      <c r="E139" s="36" t="s">
        <v>53</v>
      </c>
      <c r="F139" s="36" t="s">
        <v>54</v>
      </c>
      <c r="G139" s="36" t="s">
        <v>55</v>
      </c>
      <c r="H139" s="36" t="s">
        <v>56</v>
      </c>
      <c r="I139" s="48" t="s">
        <v>57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6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6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6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6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6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6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6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6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6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6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6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6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6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6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6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6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6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6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25</v>
      </c>
      <c r="B162" s="52" t="str">
        <f>IF(B14="","",B14)</f>
        <v/>
      </c>
      <c r="D162" s="229" t="s">
        <v>45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46</v>
      </c>
      <c r="C164" s="258" t="s">
        <v>47</v>
      </c>
      <c r="D164" s="258"/>
      <c r="E164" s="259" t="s">
        <v>48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49</v>
      </c>
      <c r="B165" s="36" t="s">
        <v>50</v>
      </c>
      <c r="C165" s="48" t="s">
        <v>51</v>
      </c>
      <c r="D165" s="48" t="s">
        <v>52</v>
      </c>
      <c r="E165" s="36" t="s">
        <v>53</v>
      </c>
      <c r="F165" s="36" t="s">
        <v>54</v>
      </c>
      <c r="G165" s="36" t="s">
        <v>55</v>
      </c>
      <c r="H165" s="36" t="s">
        <v>56</v>
      </c>
      <c r="I165" s="48" t="s">
        <v>57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7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7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7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7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7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7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7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7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7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7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7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7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7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7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7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7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7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7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7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26</v>
      </c>
      <c r="B188" s="52" t="str">
        <f>IF(B15="","",B15)</f>
        <v/>
      </c>
      <c r="D188" s="229" t="s">
        <v>45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46</v>
      </c>
      <c r="C190" s="258" t="s">
        <v>47</v>
      </c>
      <c r="D190" s="258"/>
      <c r="E190" s="259" t="s">
        <v>48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49</v>
      </c>
      <c r="B191" s="36" t="s">
        <v>50</v>
      </c>
      <c r="C191" s="48" t="s">
        <v>51</v>
      </c>
      <c r="D191" s="48" t="s">
        <v>52</v>
      </c>
      <c r="E191" s="36" t="s">
        <v>53</v>
      </c>
      <c r="F191" s="36" t="s">
        <v>54</v>
      </c>
      <c r="G191" s="36" t="s">
        <v>55</v>
      </c>
      <c r="H191" s="36" t="s">
        <v>56</v>
      </c>
      <c r="I191" s="48" t="s">
        <v>57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8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8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8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8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8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8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8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8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8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8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8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8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8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8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8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8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8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8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8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27</v>
      </c>
      <c r="B214" s="52" t="str">
        <f>IF(B16="","",B16)</f>
        <v/>
      </c>
      <c r="D214" s="229" t="s">
        <v>45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46</v>
      </c>
      <c r="C216" s="258" t="s">
        <v>47</v>
      </c>
      <c r="D216" s="258"/>
      <c r="E216" s="259" t="s">
        <v>48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49</v>
      </c>
      <c r="B217" s="36" t="s">
        <v>50</v>
      </c>
      <c r="C217" s="48" t="s">
        <v>51</v>
      </c>
      <c r="D217" s="48" t="s">
        <v>52</v>
      </c>
      <c r="E217" s="36" t="s">
        <v>53</v>
      </c>
      <c r="F217" s="36" t="s">
        <v>54</v>
      </c>
      <c r="G217" s="36" t="s">
        <v>55</v>
      </c>
      <c r="H217" s="36" t="s">
        <v>56</v>
      </c>
      <c r="I217" s="48" t="s">
        <v>57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9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9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9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9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9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9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9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9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9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9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9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9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9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9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9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9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9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9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9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28</v>
      </c>
      <c r="B240" s="52" t="str">
        <f>IF(B17="","",B17)</f>
        <v/>
      </c>
      <c r="D240" s="229" t="s">
        <v>45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46</v>
      </c>
      <c r="C242" s="258" t="s">
        <v>47</v>
      </c>
      <c r="D242" s="258"/>
      <c r="E242" s="259" t="s">
        <v>48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49</v>
      </c>
      <c r="B243" s="36" t="s">
        <v>50</v>
      </c>
      <c r="C243" s="48" t="s">
        <v>51</v>
      </c>
      <c r="D243" s="48" t="s">
        <v>52</v>
      </c>
      <c r="E243" s="36" t="s">
        <v>53</v>
      </c>
      <c r="F243" s="36" t="s">
        <v>54</v>
      </c>
      <c r="G243" s="36" t="s">
        <v>55</v>
      </c>
      <c r="H243" s="36" t="s">
        <v>56</v>
      </c>
      <c r="I243" s="48" t="s">
        <v>57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0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0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0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0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0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0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0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0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0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0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0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0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0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0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0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0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0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29</v>
      </c>
      <c r="B266" s="52" t="str">
        <f>IF(B18="","",B18)</f>
        <v/>
      </c>
      <c r="D266" s="229" t="s">
        <v>45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46</v>
      </c>
      <c r="C268" s="258" t="s">
        <v>47</v>
      </c>
      <c r="D268" s="258"/>
      <c r="E268" s="259" t="s">
        <v>48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49</v>
      </c>
      <c r="B269" s="36" t="s">
        <v>50</v>
      </c>
      <c r="C269" s="48" t="s">
        <v>51</v>
      </c>
      <c r="D269" s="48" t="s">
        <v>52</v>
      </c>
      <c r="E269" s="36" t="s">
        <v>53</v>
      </c>
      <c r="F269" s="36" t="s">
        <v>54</v>
      </c>
      <c r="G269" s="36" t="s">
        <v>55</v>
      </c>
      <c r="H269" s="36" t="s">
        <v>56</v>
      </c>
      <c r="I269" s="48" t="s">
        <v>57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1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1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1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1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1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1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1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1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1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1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1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1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1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1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1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1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1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1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abSelected="1" topLeftCell="A3" zoomScaleNormal="100" workbookViewId="0">
      <selection activeCell="B13" sqref="B13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453125" style="1" customWidth="1"/>
    <col min="6" max="6" width="14.453125" style="1" customWidth="1"/>
    <col min="7" max="7" width="73.4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62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63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64</v>
      </c>
      <c r="C7" s="100" t="s">
        <v>65</v>
      </c>
      <c r="D7" s="215"/>
      <c r="E7" s="101"/>
      <c r="F7" s="26" t="s">
        <v>64</v>
      </c>
      <c r="G7" s="100" t="s">
        <v>66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67</v>
      </c>
      <c r="D8" s="23"/>
      <c r="E8" s="105">
        <v>4</v>
      </c>
      <c r="F8" s="61">
        <v>0</v>
      </c>
      <c r="G8" s="102" t="s">
        <v>68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69</v>
      </c>
      <c r="D9" s="23"/>
      <c r="E9" s="105">
        <v>5</v>
      </c>
      <c r="F9" s="61">
        <v>0</v>
      </c>
      <c r="G9" s="103" t="s">
        <v>70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71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72</v>
      </c>
      <c r="D13" s="216"/>
      <c r="E13" s="99"/>
      <c r="F13" s="107"/>
      <c r="G13" s="98" t="s">
        <v>73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74</v>
      </c>
      <c r="D14" s="216"/>
      <c r="E14" s="99"/>
      <c r="F14" s="107"/>
      <c r="G14" s="98" t="s">
        <v>75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64</v>
      </c>
      <c r="C15" s="4"/>
      <c r="D15" s="23"/>
      <c r="E15" s="4"/>
      <c r="F15" s="4"/>
      <c r="G15" s="2" t="s">
        <v>76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1</v>
      </c>
      <c r="C16" s="110" t="s">
        <v>77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78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79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5429687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54296875" style="4" bestFit="1" customWidth="1"/>
    <col min="25" max="25" width="14.54296875" style="4" bestFit="1" customWidth="1"/>
    <col min="26" max="26" width="12.453125" style="4" bestFit="1" customWidth="1"/>
    <col min="27" max="27" width="9.5429687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453125" style="4" bestFit="1" customWidth="1"/>
    <col min="45" max="45" width="11.54296875" style="4" bestFit="1" customWidth="1"/>
    <col min="46" max="46" width="8.453125" style="4" bestFit="1" customWidth="1"/>
    <col min="47" max="47" width="9.453125" style="4" bestFit="1" customWidth="1"/>
    <col min="48" max="48" width="9.5429687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4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453125" style="4" bestFit="1" customWidth="1"/>
    <col min="66" max="66" width="11.54296875" style="4" bestFit="1" customWidth="1"/>
    <col min="67" max="67" width="8.453125" style="4" bestFit="1" customWidth="1"/>
    <col min="68" max="68" width="9.453125" style="4" bestFit="1" customWidth="1"/>
    <col min="69" max="69" width="9.5429687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453125" style="4" bestFit="1" customWidth="1"/>
    <col min="87" max="87" width="11.54296875" style="4" bestFit="1" customWidth="1"/>
    <col min="88" max="88" width="8.453125" style="4" bestFit="1" customWidth="1"/>
    <col min="89" max="89" width="9.453125" style="4" bestFit="1" customWidth="1"/>
    <col min="90" max="90" width="9.5429687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453125" style="4" bestFit="1" customWidth="1"/>
    <col min="108" max="108" width="11.54296875" style="4" bestFit="1" customWidth="1"/>
    <col min="109" max="109" width="8.453125" style="4" bestFit="1" customWidth="1"/>
    <col min="110" max="110" width="9.453125" style="4" bestFit="1" customWidth="1"/>
    <col min="111" max="111" width="9.5429687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4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453125" style="4" bestFit="1" customWidth="1"/>
    <col min="129" max="129" width="11.54296875" style="4" bestFit="1" customWidth="1"/>
    <col min="130" max="130" width="8.453125" style="4" bestFit="1" customWidth="1"/>
    <col min="131" max="131" width="9.453125" style="4" bestFit="1" customWidth="1"/>
    <col min="132" max="132" width="9.5429687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453125" style="4" bestFit="1" customWidth="1"/>
    <col min="150" max="150" width="11.54296875" style="4" bestFit="1" customWidth="1"/>
    <col min="151" max="151" width="8.453125" style="4" bestFit="1" customWidth="1"/>
    <col min="152" max="152" width="9.453125" style="4" bestFit="1" customWidth="1"/>
    <col min="153" max="153" width="9.5429687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453125" style="4" bestFit="1" customWidth="1"/>
    <col min="171" max="171" width="11.54296875" style="4" bestFit="1" customWidth="1"/>
    <col min="172" max="172" width="8.1796875" style="4" bestFit="1" customWidth="1"/>
    <col min="173" max="173" width="9.453125" style="4" bestFit="1" customWidth="1"/>
    <col min="174" max="174" width="9.5429687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4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5429687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4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453125" style="4" bestFit="1" customWidth="1"/>
    <col min="213" max="213" width="11.54296875" style="4" bestFit="1" customWidth="1"/>
    <col min="214" max="214" width="8.453125" style="4" bestFit="1" customWidth="1"/>
    <col min="215" max="215" width="9.453125" style="4" bestFit="1" customWidth="1"/>
    <col min="216" max="216" width="9.5429687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80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maritime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pubescent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Pin laricio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81</v>
      </c>
      <c r="B2" s="72" t="s">
        <v>82</v>
      </c>
      <c r="C2" s="5" t="s">
        <v>83</v>
      </c>
      <c r="D2" s="5" t="s">
        <v>84</v>
      </c>
      <c r="E2" s="5" t="s">
        <v>85</v>
      </c>
      <c r="F2" s="5" t="s">
        <v>86</v>
      </c>
      <c r="G2" s="5" t="s">
        <v>87</v>
      </c>
      <c r="H2" s="66" t="s">
        <v>88</v>
      </c>
      <c r="I2" s="68" t="s">
        <v>85</v>
      </c>
      <c r="J2" s="69" t="s">
        <v>86</v>
      </c>
      <c r="K2" s="6" t="s">
        <v>89</v>
      </c>
      <c r="L2" s="6" t="s">
        <v>90</v>
      </c>
      <c r="M2" s="6" t="s">
        <v>90</v>
      </c>
      <c r="N2" s="6" t="s">
        <v>91</v>
      </c>
      <c r="O2" s="6" t="s">
        <v>92</v>
      </c>
      <c r="P2" s="6" t="s">
        <v>93</v>
      </c>
      <c r="Q2" s="6" t="s">
        <v>87</v>
      </c>
      <c r="R2" s="6" t="s">
        <v>94</v>
      </c>
      <c r="S2" s="6" t="s">
        <v>95</v>
      </c>
      <c r="T2" s="6" t="s">
        <v>96</v>
      </c>
      <c r="U2" s="7" t="s">
        <v>97</v>
      </c>
      <c r="V2" s="8" t="s">
        <v>98</v>
      </c>
      <c r="W2" s="7" t="s">
        <v>53</v>
      </c>
      <c r="X2" s="7" t="s">
        <v>54</v>
      </c>
      <c r="Y2" s="7" t="s">
        <v>99</v>
      </c>
      <c r="Z2" s="8" t="s">
        <v>100</v>
      </c>
      <c r="AA2" s="8" t="s">
        <v>101</v>
      </c>
      <c r="AB2" s="8" t="s">
        <v>102</v>
      </c>
      <c r="AC2" s="9" t="s">
        <v>103</v>
      </c>
      <c r="AD2" s="69" t="s">
        <v>85</v>
      </c>
      <c r="AE2" s="69" t="s">
        <v>86</v>
      </c>
      <c r="AF2" s="6" t="s">
        <v>89</v>
      </c>
      <c r="AG2" s="6" t="s">
        <v>90</v>
      </c>
      <c r="AH2" s="6" t="s">
        <v>90</v>
      </c>
      <c r="AI2" s="6" t="s">
        <v>91</v>
      </c>
      <c r="AJ2" s="6" t="s">
        <v>92</v>
      </c>
      <c r="AK2" s="6" t="s">
        <v>93</v>
      </c>
      <c r="AL2" s="6" t="s">
        <v>87</v>
      </c>
      <c r="AM2" s="6" t="s">
        <v>94</v>
      </c>
      <c r="AN2" s="6" t="s">
        <v>95</v>
      </c>
      <c r="AO2" s="6" t="s">
        <v>96</v>
      </c>
      <c r="AP2" s="7" t="s">
        <v>97</v>
      </c>
      <c r="AQ2" s="8" t="s">
        <v>98</v>
      </c>
      <c r="AR2" s="7" t="s">
        <v>53</v>
      </c>
      <c r="AS2" s="7" t="s">
        <v>54</v>
      </c>
      <c r="AT2" s="8" t="s">
        <v>104</v>
      </c>
      <c r="AU2" s="8" t="s">
        <v>100</v>
      </c>
      <c r="AV2" s="8" t="s">
        <v>101</v>
      </c>
      <c r="AW2" s="8" t="s">
        <v>102</v>
      </c>
      <c r="AX2" s="8" t="s">
        <v>103</v>
      </c>
      <c r="AY2" s="68" t="s">
        <v>85</v>
      </c>
      <c r="AZ2" s="69" t="s">
        <v>86</v>
      </c>
      <c r="BA2" s="6" t="s">
        <v>89</v>
      </c>
      <c r="BB2" s="6" t="s">
        <v>90</v>
      </c>
      <c r="BC2" s="6" t="s">
        <v>90</v>
      </c>
      <c r="BD2" s="6" t="s">
        <v>91</v>
      </c>
      <c r="BE2" s="6" t="s">
        <v>92</v>
      </c>
      <c r="BF2" s="6" t="s">
        <v>93</v>
      </c>
      <c r="BG2" s="6" t="s">
        <v>87</v>
      </c>
      <c r="BH2" s="6" t="s">
        <v>94</v>
      </c>
      <c r="BI2" s="6" t="s">
        <v>95</v>
      </c>
      <c r="BJ2" s="6" t="s">
        <v>96</v>
      </c>
      <c r="BK2" s="7" t="s">
        <v>97</v>
      </c>
      <c r="BL2" s="8" t="s">
        <v>98</v>
      </c>
      <c r="BM2" s="7" t="s">
        <v>53</v>
      </c>
      <c r="BN2" s="7" t="s">
        <v>54</v>
      </c>
      <c r="BO2" s="8" t="s">
        <v>104</v>
      </c>
      <c r="BP2" s="8" t="s">
        <v>100</v>
      </c>
      <c r="BQ2" s="8" t="s">
        <v>101</v>
      </c>
      <c r="BR2" s="8" t="s">
        <v>102</v>
      </c>
      <c r="BS2" s="9" t="s">
        <v>103</v>
      </c>
      <c r="BT2" s="68" t="s">
        <v>85</v>
      </c>
      <c r="BU2" s="69" t="s">
        <v>86</v>
      </c>
      <c r="BV2" s="6" t="s">
        <v>89</v>
      </c>
      <c r="BW2" s="6" t="s">
        <v>90</v>
      </c>
      <c r="BX2" s="6" t="s">
        <v>90</v>
      </c>
      <c r="BY2" s="6" t="s">
        <v>91</v>
      </c>
      <c r="BZ2" s="6" t="s">
        <v>92</v>
      </c>
      <c r="CA2" s="6" t="s">
        <v>93</v>
      </c>
      <c r="CB2" s="6" t="s">
        <v>87</v>
      </c>
      <c r="CC2" s="6" t="s">
        <v>94</v>
      </c>
      <c r="CD2" s="6" t="s">
        <v>95</v>
      </c>
      <c r="CE2" s="6" t="s">
        <v>96</v>
      </c>
      <c r="CF2" s="7" t="s">
        <v>97</v>
      </c>
      <c r="CG2" s="8" t="s">
        <v>98</v>
      </c>
      <c r="CH2" s="7" t="s">
        <v>53</v>
      </c>
      <c r="CI2" s="7" t="s">
        <v>54</v>
      </c>
      <c r="CJ2" s="8" t="s">
        <v>104</v>
      </c>
      <c r="CK2" s="8" t="s">
        <v>100</v>
      </c>
      <c r="CL2" s="8" t="s">
        <v>101</v>
      </c>
      <c r="CM2" s="8" t="s">
        <v>102</v>
      </c>
      <c r="CN2" s="9" t="s">
        <v>103</v>
      </c>
      <c r="CO2" s="68" t="s">
        <v>85</v>
      </c>
      <c r="CP2" s="69" t="s">
        <v>86</v>
      </c>
      <c r="CQ2" s="6" t="s">
        <v>89</v>
      </c>
      <c r="CR2" s="6" t="s">
        <v>90</v>
      </c>
      <c r="CS2" s="6" t="s">
        <v>90</v>
      </c>
      <c r="CT2" s="6" t="s">
        <v>91</v>
      </c>
      <c r="CU2" s="6" t="s">
        <v>92</v>
      </c>
      <c r="CV2" s="6" t="s">
        <v>93</v>
      </c>
      <c r="CW2" s="6" t="s">
        <v>87</v>
      </c>
      <c r="CX2" s="6" t="s">
        <v>94</v>
      </c>
      <c r="CY2" s="6" t="s">
        <v>95</v>
      </c>
      <c r="CZ2" s="6" t="s">
        <v>96</v>
      </c>
      <c r="DA2" s="7" t="s">
        <v>97</v>
      </c>
      <c r="DB2" s="8" t="s">
        <v>98</v>
      </c>
      <c r="DC2" s="7" t="s">
        <v>53</v>
      </c>
      <c r="DD2" s="7" t="s">
        <v>54</v>
      </c>
      <c r="DE2" s="8" t="s">
        <v>104</v>
      </c>
      <c r="DF2" s="8" t="s">
        <v>100</v>
      </c>
      <c r="DG2" s="8" t="s">
        <v>101</v>
      </c>
      <c r="DH2" s="8" t="s">
        <v>102</v>
      </c>
      <c r="DI2" s="9" t="s">
        <v>103</v>
      </c>
      <c r="DJ2" s="68" t="s">
        <v>85</v>
      </c>
      <c r="DK2" s="69" t="s">
        <v>86</v>
      </c>
      <c r="DL2" s="6" t="s">
        <v>89</v>
      </c>
      <c r="DM2" s="6" t="s">
        <v>90</v>
      </c>
      <c r="DN2" s="6" t="s">
        <v>90</v>
      </c>
      <c r="DO2" s="6" t="s">
        <v>91</v>
      </c>
      <c r="DP2" s="6" t="s">
        <v>92</v>
      </c>
      <c r="DQ2" s="6" t="s">
        <v>93</v>
      </c>
      <c r="DR2" s="6" t="s">
        <v>87</v>
      </c>
      <c r="DS2" s="6" t="s">
        <v>94</v>
      </c>
      <c r="DT2" s="6" t="s">
        <v>95</v>
      </c>
      <c r="DU2" s="6" t="s">
        <v>96</v>
      </c>
      <c r="DV2" s="7" t="s">
        <v>97</v>
      </c>
      <c r="DW2" s="8" t="s">
        <v>98</v>
      </c>
      <c r="DX2" s="7" t="s">
        <v>53</v>
      </c>
      <c r="DY2" s="7" t="s">
        <v>54</v>
      </c>
      <c r="DZ2" s="8" t="s">
        <v>104</v>
      </c>
      <c r="EA2" s="8" t="s">
        <v>100</v>
      </c>
      <c r="EB2" s="8" t="s">
        <v>101</v>
      </c>
      <c r="EC2" s="8" t="s">
        <v>102</v>
      </c>
      <c r="ED2" s="9" t="s">
        <v>103</v>
      </c>
      <c r="EE2" s="68" t="s">
        <v>85</v>
      </c>
      <c r="EF2" s="69" t="s">
        <v>86</v>
      </c>
      <c r="EG2" s="6" t="s">
        <v>89</v>
      </c>
      <c r="EH2" s="6" t="s">
        <v>90</v>
      </c>
      <c r="EI2" s="6" t="s">
        <v>90</v>
      </c>
      <c r="EJ2" s="6" t="s">
        <v>91</v>
      </c>
      <c r="EK2" s="6" t="s">
        <v>92</v>
      </c>
      <c r="EL2" s="6" t="s">
        <v>93</v>
      </c>
      <c r="EM2" s="6" t="s">
        <v>87</v>
      </c>
      <c r="EN2" s="6" t="s">
        <v>94</v>
      </c>
      <c r="EO2" s="6" t="s">
        <v>95</v>
      </c>
      <c r="EP2" s="6" t="s">
        <v>96</v>
      </c>
      <c r="EQ2" s="7" t="s">
        <v>97</v>
      </c>
      <c r="ER2" s="8" t="s">
        <v>98</v>
      </c>
      <c r="ES2" s="7" t="s">
        <v>53</v>
      </c>
      <c r="ET2" s="7" t="s">
        <v>54</v>
      </c>
      <c r="EU2" s="8" t="s">
        <v>104</v>
      </c>
      <c r="EV2" s="8" t="s">
        <v>100</v>
      </c>
      <c r="EW2" s="8" t="s">
        <v>101</v>
      </c>
      <c r="EX2" s="8" t="s">
        <v>102</v>
      </c>
      <c r="EY2" s="9" t="s">
        <v>103</v>
      </c>
      <c r="EZ2" s="68" t="s">
        <v>85</v>
      </c>
      <c r="FA2" s="69" t="s">
        <v>86</v>
      </c>
      <c r="FB2" s="6" t="s">
        <v>89</v>
      </c>
      <c r="FC2" s="6" t="s">
        <v>90</v>
      </c>
      <c r="FD2" s="6" t="s">
        <v>90</v>
      </c>
      <c r="FE2" s="6" t="s">
        <v>91</v>
      </c>
      <c r="FF2" s="6" t="s">
        <v>92</v>
      </c>
      <c r="FG2" s="6" t="s">
        <v>93</v>
      </c>
      <c r="FH2" s="6" t="s">
        <v>87</v>
      </c>
      <c r="FI2" s="6" t="s">
        <v>94</v>
      </c>
      <c r="FJ2" s="6" t="s">
        <v>95</v>
      </c>
      <c r="FK2" s="6" t="s">
        <v>96</v>
      </c>
      <c r="FL2" s="7" t="s">
        <v>97</v>
      </c>
      <c r="FM2" s="8" t="s">
        <v>98</v>
      </c>
      <c r="FN2" s="7" t="s">
        <v>53</v>
      </c>
      <c r="FO2" s="7" t="s">
        <v>54</v>
      </c>
      <c r="FP2" s="8" t="s">
        <v>105</v>
      </c>
      <c r="FQ2" s="8" t="s">
        <v>100</v>
      </c>
      <c r="FR2" s="8" t="s">
        <v>101</v>
      </c>
      <c r="FS2" s="8" t="s">
        <v>102</v>
      </c>
      <c r="FT2" s="9" t="s">
        <v>103</v>
      </c>
      <c r="FU2" s="68" t="s">
        <v>85</v>
      </c>
      <c r="FV2" s="69" t="s">
        <v>86</v>
      </c>
      <c r="FW2" s="6" t="s">
        <v>89</v>
      </c>
      <c r="FX2" s="6" t="s">
        <v>90</v>
      </c>
      <c r="FY2" s="6" t="s">
        <v>90</v>
      </c>
      <c r="FZ2" s="6" t="s">
        <v>91</v>
      </c>
      <c r="GA2" s="6" t="s">
        <v>92</v>
      </c>
      <c r="GB2" s="6" t="s">
        <v>93</v>
      </c>
      <c r="GC2" s="6" t="s">
        <v>87</v>
      </c>
      <c r="GD2" s="6" t="s">
        <v>94</v>
      </c>
      <c r="GE2" s="6" t="s">
        <v>95</v>
      </c>
      <c r="GF2" s="6" t="s">
        <v>96</v>
      </c>
      <c r="GG2" s="7" t="s">
        <v>97</v>
      </c>
      <c r="GH2" s="8" t="s">
        <v>98</v>
      </c>
      <c r="GI2" s="7" t="s">
        <v>53</v>
      </c>
      <c r="GJ2" s="7" t="s">
        <v>54</v>
      </c>
      <c r="GK2" s="8" t="s">
        <v>104</v>
      </c>
      <c r="GL2" s="8" t="s">
        <v>100</v>
      </c>
      <c r="GM2" s="8" t="s">
        <v>101</v>
      </c>
      <c r="GN2" s="8" t="s">
        <v>102</v>
      </c>
      <c r="GO2" s="8" t="s">
        <v>103</v>
      </c>
      <c r="GP2" s="68" t="s">
        <v>85</v>
      </c>
      <c r="GQ2" s="69" t="s">
        <v>86</v>
      </c>
      <c r="GR2" s="6" t="s">
        <v>89</v>
      </c>
      <c r="GS2" s="6" t="s">
        <v>90</v>
      </c>
      <c r="GT2" s="6" t="s">
        <v>90</v>
      </c>
      <c r="GU2" s="6" t="s">
        <v>91</v>
      </c>
      <c r="GV2" s="6" t="s">
        <v>92</v>
      </c>
      <c r="GW2" s="6" t="s">
        <v>93</v>
      </c>
      <c r="GX2" s="6" t="s">
        <v>87</v>
      </c>
      <c r="GY2" s="6" t="s">
        <v>94</v>
      </c>
      <c r="GZ2" s="6" t="s">
        <v>95</v>
      </c>
      <c r="HA2" s="6" t="s">
        <v>96</v>
      </c>
      <c r="HB2" s="7" t="s">
        <v>97</v>
      </c>
      <c r="HC2" s="8" t="s">
        <v>98</v>
      </c>
      <c r="HD2" s="7" t="s">
        <v>53</v>
      </c>
      <c r="HE2" s="7" t="s">
        <v>54</v>
      </c>
      <c r="HF2" s="8" t="s">
        <v>104</v>
      </c>
      <c r="HG2" s="8" t="s">
        <v>100</v>
      </c>
      <c r="HH2" s="8" t="s">
        <v>101</v>
      </c>
      <c r="HI2" s="8" t="s">
        <v>102</v>
      </c>
      <c r="HJ2" s="9" t="s">
        <v>103</v>
      </c>
    </row>
    <row r="3" spans="1:218" x14ac:dyDescent="0.35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737.40414421611001</v>
      </c>
      <c r="T3" s="59">
        <f>IF('Données projet'!E9&gt;30,$R$33-$H$33,LOOKUP('Données projet'!$E$9,$A$3:$A$203,R3:R203)-LOOKUP('Données projet'!$E$9,$A$3:$A$203,$H$3:$H$203))</f>
        <v>245.32893490531674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318.6615972007902</v>
      </c>
      <c r="AO3" s="59">
        <f>IF('Données projet'!E10&gt;30,$AM$33-$H$33,LOOKUP('Données projet'!$E$10,$A$3:$A$203,AM3:AM203)-LOOKUP('Données projet'!$E$10,$A$3:$A$203,$H$3:$H$203))</f>
        <v>326.82168950869504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402.96916953216805</v>
      </c>
      <c r="BJ3" s="59">
        <f>IF('Données projet'!E11&gt;30,$BH$33-$H$33,LOOKUP('Données projet'!$E$11,$A$3:$A$203,BH3:BH203)-LOOKUP('Données projet'!$E$11,$A$3:$A$203,$H$3:$H$203))</f>
        <v>164.89273051331318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373.61861223558259</v>
      </c>
      <c r="CE3" s="59">
        <f>IF('Données projet'!E12&gt;30,$CC$33-$H$33,LOOKUP('Données projet'!$E$12,$A$3:$A$203,CC3:CC203)-LOOKUP('Données projet'!$E$12,$A$3:$A$203,$H$3:$H$203))</f>
        <v>277.62293009761049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5.0894117647058819</v>
      </c>
      <c r="N4" s="13">
        <f>IF('Données projet'!$A$36&gt;35,N3+M4-V3,IF(A4&lt;'Données projet'!$A$36,$K$205^A4,IF(A4='Données projet'!$A$36,'Données projet'!$B$36,N3+M4-V3)))</f>
        <v>1.1636646418946561</v>
      </c>
      <c r="O4" s="13">
        <f>N4*VLOOKUP('Données projet'!$B$9,Paramètres!$A$1:$I$89,3,0)*VLOOKUP('Données projet'!$B$9,Paramètres!$A$1:$I$89,5,0)</f>
        <v>1.0528837679862848</v>
      </c>
      <c r="P4" s="13">
        <f>EXP(-1.0587+0.8836*LN(O4)+0.284)</f>
        <v>0.48231127341028485</v>
      </c>
      <c r="Q4" s="20">
        <f t="shared" ref="Q4:Q34" si="2">(O4+P4)*0.475*44/12</f>
        <v>2.6737980304323585</v>
      </c>
      <c r="R4" s="59">
        <f t="shared" si="0"/>
        <v>170.48623198335619</v>
      </c>
      <c r="S4" s="59">
        <f ca="1">AVERAGE(OFFSET($R$3,0,0,'Données projet'!$E$9+1,1))-AVERAGE(OFFSET($H$3,0,0,'Données projet'!$E$9+1,1))</f>
        <v>737.40414421611001</v>
      </c>
      <c r="T4" s="59">
        <f>$T$3</f>
        <v>245.32893490531674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7.2723529411764707</v>
      </c>
      <c r="AI4" s="13">
        <f>IF('Données projet'!$A$62&gt;35,AI3+AH4-AQ3,IF(A4&lt;'Données projet'!$A$62,$AF$205^A4,IF(A4='Données projet'!$A$62,'Données projet'!$B$62,AI3+AH4-AQ3)))</f>
        <v>1.3275965341357465</v>
      </c>
      <c r="AJ4" s="13">
        <f>AI4*VLOOKUP('Données projet'!$B$10,Paramètres!$A$1:$I$89,3,0)*VLOOKUP('Données projet'!$B$10,Paramètres!$A$1:$I$89,5,0)</f>
        <v>0.79390272741317647</v>
      </c>
      <c r="AK4" s="13">
        <f>EXP(-1.0587+0.8836*LN(AJ4)+0.284)</f>
        <v>0.37582567469791356</v>
      </c>
      <c r="AL4" s="20">
        <f t="shared" ref="AL4:AL67" si="4">(AJ4+AK4)*0.475*44/12</f>
        <v>2.0372769670101483</v>
      </c>
      <c r="AM4" s="59">
        <f t="shared" ref="AM4:AM67" si="5">AL4+(AD4+AE4)*44/12</f>
        <v>169.84971091993398</v>
      </c>
      <c r="AN4" s="59">
        <f ca="1">AVERAGE(OFFSET($AM$3,0,0,'Données projet'!$E$10+1,1))-AVERAGE(OFFSET($H$3,0,0,'Données projet'!$E$10+1,1))</f>
        <v>318.6615972007902</v>
      </c>
      <c r="AO4" s="59">
        <f>$AO$3</f>
        <v>326.82168950869504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2.6</v>
      </c>
      <c r="BD4" s="12">
        <f>IF('Données projet'!$A$88&gt;35,BD3+BC4-BL3,IF(A4&lt;'Données projet'!$A$88,$BA$205^A4,IF(A4='Données projet'!$A$88,'Données projet'!$B$88,BD3+BC4-BL3)))</f>
        <v>1.1375555435964608</v>
      </c>
      <c r="BE4" s="13">
        <f>BD4*VLOOKUP('Données projet'!$B$11,Paramètres!$A$1:$I$89,3,0)*VLOOKUP('Données projet'!$B$11,Paramètres!$A$1:$I$89,5,0)</f>
        <v>1.1534813212068113</v>
      </c>
      <c r="BF4" s="13">
        <f>EXP(-1.0587+0.8836*LN(BE4)+0.284)</f>
        <v>0.52281086103391805</v>
      </c>
      <c r="BG4" s="20">
        <f t="shared" ref="BG4:BG67" si="7">(BE4+BF4)*0.475*44/12</f>
        <v>2.9195422174026029</v>
      </c>
      <c r="BH4" s="59">
        <f t="shared" ref="BH4:BH67" si="8">BG4+(AY4+AZ4)*44/12</f>
        <v>170.73197617032645</v>
      </c>
      <c r="BI4" s="59">
        <f ca="1">AVERAGE(OFFSET($BH$3,0,0,'Données projet'!$E$11+1,1))-AVERAGE(OFFSET($H$3,0,0,'Données projet'!$E$11+1,1))</f>
        <v>402.96916953216805</v>
      </c>
      <c r="BJ4" s="59">
        <f>$BJ$3</f>
        <v>164.89273051331318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5.8890909090909096</v>
      </c>
      <c r="BY4" s="12">
        <f>IF('Données projet'!$A$114&gt;35,BY3+BX4-CG3,IF(A4&lt;'Données projet'!$A$114,$BV$205^A4,IF(A4='Données projet'!$A$114,'Données projet'!$B$114,BY3+BX4-CG3)))</f>
        <v>1.2474449991725556</v>
      </c>
      <c r="BZ4" s="13">
        <f>BY4*VLOOKUP('Données projet'!$B$12,Paramètres!$A$1:$I$89,3,0)*VLOOKUP('Données projet'!$B$12,Paramètres!$A$1:$I$89,5,0)</f>
        <v>0.74597210950518822</v>
      </c>
      <c r="CA4" s="13">
        <f>EXP(-1.0587+0.8836*LN(BZ4)+0.284)</f>
        <v>0.35570481632934337</v>
      </c>
      <c r="CB4" s="20">
        <f t="shared" ref="CB4:CB67" si="10">(BZ4+CA4)*0.475*44/12</f>
        <v>1.9187539791618089</v>
      </c>
      <c r="CC4" s="59">
        <f t="shared" ref="CC4:CC67" si="11">CB4+(BT4+BU4)*44/12</f>
        <v>169.73118793208565</v>
      </c>
      <c r="CD4" s="59">
        <f ca="1">AVERAGE(OFFSET($CC$3,0,0,'Données projet'!$E$12+1,1))-AVERAGE(OFFSET($H$3,0,0,'Données projet'!$E$12+1,1))</f>
        <v>373.61861223558259</v>
      </c>
      <c r="CE4" s="59">
        <f>$CE$3</f>
        <v>277.62293009761049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5.0894117647058819</v>
      </c>
      <c r="N5" s="13">
        <f>IF('Données projet'!$A$36&gt;35,N4+M5-V4,IF(A5&lt;'Données projet'!$A$36,$K$205^A5,IF(A5='Données projet'!$A$36,'Données projet'!$B$36,N4+M5-V4)))</f>
        <v>1.3541153987958183</v>
      </c>
      <c r="O5" s="13">
        <f>N5*VLOOKUP('Données projet'!$B$9,Paramètres!$A$1:$I$89,3,0)*VLOOKUP('Données projet'!$B$9,Paramètres!$A$1:$I$89,5,0)</f>
        <v>1.2252036128304564</v>
      </c>
      <c r="P5" s="13">
        <f t="shared" ref="P5:P68" si="33">EXP(-1.0587+0.8836*LN(O5)+0.284)</f>
        <v>0.55143317604780007</v>
      </c>
      <c r="Q5" s="20">
        <f t="shared" si="2"/>
        <v>3.0943090739629628</v>
      </c>
      <c r="R5" s="59">
        <f t="shared" si="0"/>
        <v>173.6915903614638</v>
      </c>
      <c r="S5" s="59">
        <f ca="1">AVERAGE(OFFSET($R$3,0,0,'Données projet'!$E$9+1,1))-AVERAGE(OFFSET($H$3,0,0,'Données projet'!$E$9+1,1))</f>
        <v>737.40414421611001</v>
      </c>
      <c r="T5" s="59">
        <f t="shared" ref="T5:T68" si="34">$T$3</f>
        <v>245.32893490531674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7.2723529411764707</v>
      </c>
      <c r="AI5" s="13">
        <f>IF('Données projet'!$A$62&gt;35,AI4+AH5-AQ4,IF(A5&lt;'Données projet'!$A$62,$AF$205^A5,IF(A5='Données projet'!$A$62,'Données projet'!$B$62,AI4+AH5-AQ4)))</f>
        <v>1.7625125574492464</v>
      </c>
      <c r="AJ5" s="13">
        <f>AI5*VLOOKUP('Données projet'!$B$10,Paramètres!$A$1:$I$89,3,0)*VLOOKUP('Données projet'!$B$10,Paramètres!$A$1:$I$89,5,0)</f>
        <v>1.0539825093546495</v>
      </c>
      <c r="AK5" s="13">
        <f t="shared" ref="AK5:AK68" si="35">EXP(-1.0587+0.8836*LN(AJ5)+0.284)</f>
        <v>0.48275597819164817</v>
      </c>
      <c r="AL5" s="20">
        <f t="shared" si="4"/>
        <v>2.676486199143135</v>
      </c>
      <c r="AM5" s="59">
        <f t="shared" si="5"/>
        <v>173.27376748664398</v>
      </c>
      <c r="AN5" s="59">
        <f ca="1">AVERAGE(OFFSET($AM$3,0,0,'Données projet'!$E$10+1,1))-AVERAGE(OFFSET($H$3,0,0,'Données projet'!$E$10+1,1))</f>
        <v>318.6615972007902</v>
      </c>
      <c r="AO5" s="59">
        <f t="shared" ref="AO5:AO68" si="36">$AO$3</f>
        <v>326.82168950869504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2.6</v>
      </c>
      <c r="BD5" s="12">
        <f>IF('Données projet'!$A$88&gt;35,BD4+BC5-BL4,IF(A5&lt;'Données projet'!$A$88,$BA$205^A5,IF(A5='Données projet'!$A$88,'Données projet'!$B$88,BD4+BC5-BL4)))</f>
        <v>1.2940326147670396</v>
      </c>
      <c r="BE5" s="13">
        <f>BD5*VLOOKUP('Données projet'!$B$11,Paramètres!$A$1:$I$89,3,0)*VLOOKUP('Données projet'!$B$11,Paramètres!$A$1:$I$89,5,0)</f>
        <v>1.3121490713737782</v>
      </c>
      <c r="BF5" s="13">
        <f t="shared" ref="BF5:BF68" si="37">EXP(-1.0587+0.8836*LN(BE5)+0.284)</f>
        <v>0.58587099867233527</v>
      </c>
      <c r="BG5" s="20">
        <f t="shared" si="7"/>
        <v>3.3057182886636478</v>
      </c>
      <c r="BH5" s="59">
        <f t="shared" si="8"/>
        <v>173.90299957616449</v>
      </c>
      <c r="BI5" s="59">
        <f ca="1">AVERAGE(OFFSET($BH$3,0,0,'Données projet'!$E$11+1,1))-AVERAGE(OFFSET($H$3,0,0,'Données projet'!$E$11+1,1))</f>
        <v>402.96916953216805</v>
      </c>
      <c r="BJ5" s="59">
        <f t="shared" ref="BJ5:BJ68" si="38">$BJ$3</f>
        <v>164.89273051331318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5.8890909090909096</v>
      </c>
      <c r="BY5" s="12">
        <f>IF('Données projet'!$A$114&gt;35,BY4+BX5-CG4,IF(A5&lt;'Données projet'!$A$114,$BV$205^A5,IF(A5='Données projet'!$A$114,'Données projet'!$B$114,BY4+BX5-CG4)))</f>
        <v>1.5561190259606172</v>
      </c>
      <c r="BZ5" s="13">
        <f>BY5*VLOOKUP('Données projet'!$B$12,Paramètres!$A$1:$I$89,3,0)*VLOOKUP('Données projet'!$B$12,Paramètres!$A$1:$I$89,5,0)</f>
        <v>0.93055917752444917</v>
      </c>
      <c r="CA5" s="13">
        <f t="shared" ref="CA5:CA68" si="39">EXP(-1.0587+0.8836*LN(BZ5)+0.284)</f>
        <v>0.43244836584356472</v>
      </c>
      <c r="CB5" s="20">
        <f t="shared" si="10"/>
        <v>2.3739048046992908</v>
      </c>
      <c r="CC5" s="59">
        <f t="shared" si="11"/>
        <v>172.97118609220013</v>
      </c>
      <c r="CD5" s="59">
        <f ca="1">AVERAGE(OFFSET($CC$3,0,0,'Données projet'!$E$12+1,1))-AVERAGE(OFFSET($H$3,0,0,'Données projet'!$E$12+1,1))</f>
        <v>373.61861223558259</v>
      </c>
      <c r="CE5" s="59">
        <f t="shared" ref="CE5:CE68" si="40">$CE$3</f>
        <v>277.62293009761049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5.0894117647058819</v>
      </c>
      <c r="N6" s="13">
        <f>IF('Données projet'!$A$36&gt;35,N5+M6-V5,IF(A6&lt;'Données projet'!$A$36,$K$205^A6,IF(A6='Données projet'!$A$36,'Données projet'!$B$36,N5+M6-V5)))</f>
        <v>1.5757362106237753</v>
      </c>
      <c r="O6" s="13">
        <f>N6*VLOOKUP('Données projet'!$B$9,Paramètres!$A$1:$I$89,3,0)*VLOOKUP('Données projet'!$B$9,Paramètres!$A$1:$I$89,5,0)</f>
        <v>1.4257261233723919</v>
      </c>
      <c r="P6" s="13">
        <f t="shared" si="33"/>
        <v>0.63046120712898079</v>
      </c>
      <c r="Q6" s="20">
        <f t="shared" si="2"/>
        <v>3.5811929339565567</v>
      </c>
      <c r="R6" s="59">
        <f t="shared" si="0"/>
        <v>176.93621350384143</v>
      </c>
      <c r="S6" s="59">
        <f ca="1">AVERAGE(OFFSET($R$3,0,0,'Données projet'!$E$9+1,1))-AVERAGE(OFFSET($H$3,0,0,'Données projet'!$E$9+1,1))</f>
        <v>737.40414421611001</v>
      </c>
      <c r="T6" s="59">
        <f t="shared" si="34"/>
        <v>245.32893490531674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7.2723529411764707</v>
      </c>
      <c r="AI6" s="13">
        <f>IF('Données projet'!$A$62&gt;35,AI5+AH6-AQ5,IF(A6&lt;'Données projet'!$A$62,$AF$205^A6,IF(A6='Données projet'!$A$62,'Données projet'!$B$62,AI5+AH6-AQ5)))</f>
        <v>2.3399055626403502</v>
      </c>
      <c r="AJ6" s="13">
        <f>AI6*VLOOKUP('Données projet'!$B$10,Paramètres!$A$1:$I$89,3,0)*VLOOKUP('Données projet'!$B$10,Paramètres!$A$1:$I$89,5,0)</f>
        <v>1.3992635264589295</v>
      </c>
      <c r="AK6" s="13">
        <f t="shared" si="35"/>
        <v>0.62011020047287035</v>
      </c>
      <c r="AL6" s="20">
        <f t="shared" si="4"/>
        <v>3.5170759077395513</v>
      </c>
      <c r="AM6" s="59">
        <f t="shared" si="5"/>
        <v>176.87209647762444</v>
      </c>
      <c r="AN6" s="59">
        <f ca="1">AVERAGE(OFFSET($AM$3,0,0,'Données projet'!$E$10+1,1))-AVERAGE(OFFSET($H$3,0,0,'Données projet'!$E$10+1,1))</f>
        <v>318.6615972007902</v>
      </c>
      <c r="AO6" s="59">
        <f t="shared" si="36"/>
        <v>326.82168950869504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2.6</v>
      </c>
      <c r="BD6" s="12">
        <f>IF('Données projet'!$A$88&gt;35,BD5+BC6-BL5,IF(A6&lt;'Données projet'!$A$88,$BA$205^A6,IF(A6='Données projet'!$A$88,'Données projet'!$B$88,BD5+BC6-BL5)))</f>
        <v>1.4720339745228692</v>
      </c>
      <c r="BE6" s="13">
        <f>BD6*VLOOKUP('Données projet'!$B$11,Paramètres!$A$1:$I$89,3,0)*VLOOKUP('Données projet'!$B$11,Paramètres!$A$1:$I$89,5,0)</f>
        <v>1.4926424501661895</v>
      </c>
      <c r="BF6" s="13">
        <f t="shared" si="37"/>
        <v>0.65653729229441349</v>
      </c>
      <c r="BG6" s="20">
        <f t="shared" si="7"/>
        <v>3.7431547181188836</v>
      </c>
      <c r="BH6" s="59">
        <f t="shared" si="8"/>
        <v>177.09817528800377</v>
      </c>
      <c r="BI6" s="59">
        <f ca="1">AVERAGE(OFFSET($BH$3,0,0,'Données projet'!$E$11+1,1))-AVERAGE(OFFSET($H$3,0,0,'Données projet'!$E$11+1,1))</f>
        <v>402.96916953216805</v>
      </c>
      <c r="BJ6" s="59">
        <f t="shared" si="38"/>
        <v>164.89273051331318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5.8890909090909096</v>
      </c>
      <c r="BY6" s="12">
        <f>IF('Données projet'!$A$114&gt;35,BY5+BX6-CG5,IF(A6&lt;'Données projet'!$A$114,$BV$205^A6,IF(A6='Données projet'!$A$114,'Données projet'!$B$114,BY5+BX6-CG5)))</f>
        <v>1.9411728970518403</v>
      </c>
      <c r="BZ6" s="13">
        <f>BY6*VLOOKUP('Données projet'!$B$12,Paramètres!$A$1:$I$89,3,0)*VLOOKUP('Données projet'!$B$12,Paramètres!$A$1:$I$89,5,0)</f>
        <v>1.1608213924370006</v>
      </c>
      <c r="CA6" s="13">
        <f t="shared" si="39"/>
        <v>0.52574938695127893</v>
      </c>
      <c r="CB6" s="20">
        <f t="shared" si="10"/>
        <v>2.9374441074345867</v>
      </c>
      <c r="CC6" s="59">
        <f t="shared" si="11"/>
        <v>176.29246467731946</v>
      </c>
      <c r="CD6" s="59">
        <f ca="1">AVERAGE(OFFSET($CC$3,0,0,'Données projet'!$E$12+1,1))-AVERAGE(OFFSET($H$3,0,0,'Données projet'!$E$12+1,1))</f>
        <v>373.61861223558259</v>
      </c>
      <c r="CE6" s="59">
        <f t="shared" si="40"/>
        <v>277.62293009761049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5.0894117647058819</v>
      </c>
      <c r="N7" s="13">
        <f>IF('Données projet'!$A$36&gt;35,N6+M7-V6,IF(A7&lt;'Données projet'!$A$36,$K$205^A7,IF(A7='Données projet'!$A$36,'Données projet'!$B$36,N6+M7-V6)))</f>
        <v>1.833628513255958</v>
      </c>
      <c r="O7" s="13">
        <f>N7*VLOOKUP('Données projet'!$B$9,Paramètres!$A$1:$I$89,3,0)*VLOOKUP('Données projet'!$B$9,Paramètres!$A$1:$I$89,5,0)</f>
        <v>1.6590670787939907</v>
      </c>
      <c r="P7" s="13">
        <f t="shared" si="33"/>
        <v>0.72081505241185662</v>
      </c>
      <c r="Q7" s="20">
        <f t="shared" si="2"/>
        <v>4.1449613785168511</v>
      </c>
      <c r="R7" s="59">
        <f t="shared" si="0"/>
        <v>180.2310834426938</v>
      </c>
      <c r="S7" s="59">
        <f ca="1">AVERAGE(OFFSET($R$3,0,0,'Données projet'!$E$9+1,1))-AVERAGE(OFFSET($H$3,0,0,'Données projet'!$E$9+1,1))</f>
        <v>737.40414421611001</v>
      </c>
      <c r="T7" s="59">
        <f t="shared" si="34"/>
        <v>245.32893490531674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7.2723529411764707</v>
      </c>
      <c r="AI7" s="13">
        <f>IF('Données projet'!$A$62&gt;35,AI6+AH7-AQ6,IF(A7&lt;'Données projet'!$A$62,$AF$205^A7,IF(A7='Données projet'!$A$62,'Données projet'!$B$62,AI6+AH7-AQ6)))</f>
        <v>3.1064505151662831</v>
      </c>
      <c r="AJ7" s="13">
        <f>AI7*VLOOKUP('Données projet'!$B$10,Paramètres!$A$1:$I$89,3,0)*VLOOKUP('Données projet'!$B$10,Paramètres!$A$1:$I$89,5,0)</f>
        <v>1.8576574080694375</v>
      </c>
      <c r="AK7" s="13">
        <f t="shared" si="35"/>
        <v>0.7965445858815392</v>
      </c>
      <c r="AL7" s="20">
        <f t="shared" si="4"/>
        <v>4.6227351394646172</v>
      </c>
      <c r="AM7" s="59">
        <f t="shared" si="5"/>
        <v>180.70885720364157</v>
      </c>
      <c r="AN7" s="59">
        <f ca="1">AVERAGE(OFFSET($AM$3,0,0,'Données projet'!$E$10+1,1))-AVERAGE(OFFSET($H$3,0,0,'Données projet'!$E$10+1,1))</f>
        <v>318.6615972007902</v>
      </c>
      <c r="AO7" s="59">
        <f t="shared" si="36"/>
        <v>326.82168950869504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2.6</v>
      </c>
      <c r="BD7" s="12">
        <f>IF('Données projet'!$A$88&gt;35,BD6+BC7-BL6,IF(A7&lt;'Données projet'!$A$88,$BA$205^A7,IF(A7='Données projet'!$A$88,'Données projet'!$B$88,BD6+BC7-BL6)))</f>
        <v>1.6745204080808214</v>
      </c>
      <c r="BE7" s="13">
        <f>BD7*VLOOKUP('Données projet'!$B$11,Paramètres!$A$1:$I$89,3,0)*VLOOKUP('Données projet'!$B$11,Paramètres!$A$1:$I$89,5,0)</f>
        <v>1.6979636937939531</v>
      </c>
      <c r="BF7" s="13">
        <f t="shared" si="37"/>
        <v>0.73572717739925564</v>
      </c>
      <c r="BG7" s="20">
        <f t="shared" si="7"/>
        <v>4.2386782673281713</v>
      </c>
      <c r="BH7" s="59">
        <f t="shared" si="8"/>
        <v>180.32480033150512</v>
      </c>
      <c r="BI7" s="59">
        <f ca="1">AVERAGE(OFFSET($BH$3,0,0,'Données projet'!$E$11+1,1))-AVERAGE(OFFSET($H$3,0,0,'Données projet'!$E$11+1,1))</f>
        <v>402.96916953216805</v>
      </c>
      <c r="BJ7" s="59">
        <f t="shared" si="38"/>
        <v>164.89273051331318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5.8890909090909096</v>
      </c>
      <c r="BY7" s="12">
        <f>IF('Données projet'!$A$114&gt;35,BY6+BX7-CG6,IF(A7&lt;'Données projet'!$A$114,$BV$205^A7,IF(A7='Données projet'!$A$114,'Données projet'!$B$114,BY6+BX7-CG6)))</f>
        <v>2.4215064229566203</v>
      </c>
      <c r="BZ7" s="13">
        <f>BY7*VLOOKUP('Données projet'!$B$12,Paramètres!$A$1:$I$89,3,0)*VLOOKUP('Données projet'!$B$12,Paramètres!$A$1:$I$89,5,0)</f>
        <v>1.4480608409280591</v>
      </c>
      <c r="CA7" s="13">
        <f t="shared" si="39"/>
        <v>0.63918016510585218</v>
      </c>
      <c r="CB7" s="20">
        <f t="shared" si="10"/>
        <v>3.6352780855090621</v>
      </c>
      <c r="CC7" s="59">
        <f t="shared" si="11"/>
        <v>179.72140014968602</v>
      </c>
      <c r="CD7" s="59">
        <f ca="1">AVERAGE(OFFSET($CC$3,0,0,'Données projet'!$E$12+1,1))-AVERAGE(OFFSET($H$3,0,0,'Données projet'!$E$12+1,1))</f>
        <v>373.61861223558259</v>
      </c>
      <c r="CE7" s="59">
        <f t="shared" si="40"/>
        <v>277.62293009761049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5.0894117647058819</v>
      </c>
      <c r="N8" s="13">
        <f>IF('Données projet'!$A$36&gt;35,N7+M8-V7,IF(A8&lt;'Données projet'!$A$36,$K$205^A8,IF(A8='Données projet'!$A$36,'Données projet'!$B$36,N7+M8-V7)))</f>
        <v>2.1337286672458249</v>
      </c>
      <c r="O8" s="13">
        <f>N8*VLOOKUP('Données projet'!$B$9,Paramètres!$A$1:$I$89,3,0)*VLOOKUP('Données projet'!$B$9,Paramètres!$A$1:$I$89,5,0)</f>
        <v>1.9305976981240223</v>
      </c>
      <c r="P8" s="13">
        <f t="shared" si="33"/>
        <v>0.82411785833670215</v>
      </c>
      <c r="Q8" s="20">
        <f t="shared" si="2"/>
        <v>4.7977962608357618</v>
      </c>
      <c r="R8" s="59">
        <f t="shared" si="0"/>
        <v>183.5888441372831</v>
      </c>
      <c r="S8" s="59">
        <f ca="1">AVERAGE(OFFSET($R$3,0,0,'Données projet'!$E$9+1,1))-AVERAGE(OFFSET($H$3,0,0,'Données projet'!$E$9+1,1))</f>
        <v>737.40414421611001</v>
      </c>
      <c r="T8" s="59">
        <f t="shared" si="34"/>
        <v>245.32893490531674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7.2723529411764707</v>
      </c>
      <c r="AI8" s="13">
        <f>IF('Données projet'!$A$62&gt;35,AI7+AH8-AQ7,IF(A8&lt;'Données projet'!$A$62,$AF$205^A8,IF(A8='Données projet'!$A$62,'Données projet'!$B$62,AI7+AH8-AQ7)))</f>
        <v>4.1241129373989613</v>
      </c>
      <c r="AJ8" s="13">
        <f>AI8*VLOOKUP('Données projet'!$B$10,Paramètres!$A$1:$I$89,3,0)*VLOOKUP('Données projet'!$B$10,Paramètres!$A$1:$I$89,5,0)</f>
        <v>2.4662195365645792</v>
      </c>
      <c r="AK8" s="13">
        <f t="shared" si="35"/>
        <v>1.0231782622078491</v>
      </c>
      <c r="AL8" s="20">
        <f t="shared" si="4"/>
        <v>6.0773678328619782</v>
      </c>
      <c r="AM8" s="59">
        <f t="shared" si="5"/>
        <v>184.86841570930932</v>
      </c>
      <c r="AN8" s="59">
        <f ca="1">AVERAGE(OFFSET($AM$3,0,0,'Données projet'!$E$10+1,1))-AVERAGE(OFFSET($H$3,0,0,'Données projet'!$E$10+1,1))</f>
        <v>318.6615972007902</v>
      </c>
      <c r="AO8" s="59">
        <f t="shared" si="36"/>
        <v>326.82168950869504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2.6</v>
      </c>
      <c r="BD8" s="12">
        <f>IF('Données projet'!$A$88&gt;35,BD7+BC8-BL7,IF(A8&lt;'Données projet'!$A$88,$BA$205^A8,IF(A8='Données projet'!$A$88,'Données projet'!$B$88,BD7+BC8-BL7)))</f>
        <v>1.9048599730777462</v>
      </c>
      <c r="BE8" s="13">
        <f>BD8*VLOOKUP('Données projet'!$B$11,Paramètres!$A$1:$I$89,3,0)*VLOOKUP('Données projet'!$B$11,Paramètres!$A$1:$I$89,5,0)</f>
        <v>1.9315280127008347</v>
      </c>
      <c r="BF8" s="13">
        <f t="shared" si="37"/>
        <v>0.82446874825983363</v>
      </c>
      <c r="BG8" s="20">
        <f t="shared" si="7"/>
        <v>4.8000276920064975</v>
      </c>
      <c r="BH8" s="59">
        <f t="shared" si="8"/>
        <v>183.59107556845385</v>
      </c>
      <c r="BI8" s="59">
        <f ca="1">AVERAGE(OFFSET($BH$3,0,0,'Données projet'!$E$11+1,1))-AVERAGE(OFFSET($H$3,0,0,'Données projet'!$E$11+1,1))</f>
        <v>402.96916953216805</v>
      </c>
      <c r="BJ8" s="59">
        <f t="shared" si="38"/>
        <v>164.89273051331318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5.8890909090909096</v>
      </c>
      <c r="BY8" s="12">
        <f>IF('Données projet'!$A$114&gt;35,BY7+BX8-CG7,IF(A8&lt;'Données projet'!$A$114,$BV$205^A8,IF(A8='Données projet'!$A$114,'Données projet'!$B$114,BY7+BX8-CG7)))</f>
        <v>3.0206960777814591</v>
      </c>
      <c r="BZ8" s="13">
        <f>BY8*VLOOKUP('Données projet'!$B$12,Paramètres!$A$1:$I$89,3,0)*VLOOKUP('Données projet'!$B$12,Paramètres!$A$1:$I$89,5,0)</f>
        <v>1.8063762545133126</v>
      </c>
      <c r="CA8" s="13">
        <f t="shared" si="39"/>
        <v>0.77708370871120902</v>
      </c>
      <c r="CB8" s="20">
        <f t="shared" si="10"/>
        <v>4.4995261026160422</v>
      </c>
      <c r="CC8" s="59">
        <f t="shared" si="11"/>
        <v>183.2905739790634</v>
      </c>
      <c r="CD8" s="59">
        <f ca="1">AVERAGE(OFFSET($CC$3,0,0,'Données projet'!$E$12+1,1))-AVERAGE(OFFSET($H$3,0,0,'Données projet'!$E$12+1,1))</f>
        <v>373.61861223558259</v>
      </c>
      <c r="CE8" s="59">
        <f t="shared" si="40"/>
        <v>277.62293009761049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5.0894117647058819</v>
      </c>
      <c r="N9" s="13">
        <f>IF('Données projet'!$A$36&gt;35,N8+M9-V8,IF(A9&lt;'Données projet'!$A$36,$K$205^A9,IF(A9='Données projet'!$A$36,'Données projet'!$B$36,N8+M9-V8)))</f>
        <v>2.482944605470975</v>
      </c>
      <c r="O9" s="13">
        <f>N9*VLOOKUP('Données projet'!$B$9,Paramètres!$A$1:$I$89,3,0)*VLOOKUP('Données projet'!$B$9,Paramètres!$A$1:$I$89,5,0)</f>
        <v>2.246568279030138</v>
      </c>
      <c r="P9" s="13">
        <f t="shared" si="33"/>
        <v>0.94222539076696599</v>
      </c>
      <c r="Q9" s="20">
        <f t="shared" si="2"/>
        <v>5.5538156415632898</v>
      </c>
      <c r="R9" s="59">
        <f t="shared" si="0"/>
        <v>187.02406773782226</v>
      </c>
      <c r="S9" s="59">
        <f ca="1">AVERAGE(OFFSET($R$3,0,0,'Données projet'!$E$9+1,1))-AVERAGE(OFFSET($H$3,0,0,'Données projet'!$E$9+1,1))</f>
        <v>737.40414421611001</v>
      </c>
      <c r="T9" s="59">
        <f t="shared" si="34"/>
        <v>245.32893490531674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7.2723529411764707</v>
      </c>
      <c r="AI9" s="13">
        <f>IF('Données projet'!$A$62&gt;35,AI8+AH9-AQ8,IF(A9&lt;'Données projet'!$A$62,$AF$205^A9,IF(A9='Données projet'!$A$62,'Données projet'!$B$62,AI8+AH9-AQ8)))</f>
        <v>5.4751580420752548</v>
      </c>
      <c r="AJ9" s="13">
        <f>AI9*VLOOKUP('Données projet'!$B$10,Paramètres!$A$1:$I$89,3,0)*VLOOKUP('Données projet'!$B$10,Paramètres!$A$1:$I$89,5,0)</f>
        <v>3.2741445091610024</v>
      </c>
      <c r="AK9" s="13">
        <f t="shared" si="35"/>
        <v>1.3142939827983047</v>
      </c>
      <c r="AL9" s="20">
        <f t="shared" si="4"/>
        <v>7.9915303734957925</v>
      </c>
      <c r="AM9" s="59">
        <f t="shared" si="5"/>
        <v>189.46178246975478</v>
      </c>
      <c r="AN9" s="59">
        <f ca="1">AVERAGE(OFFSET($AM$3,0,0,'Données projet'!$E$10+1,1))-AVERAGE(OFFSET($H$3,0,0,'Données projet'!$E$10+1,1))</f>
        <v>318.6615972007902</v>
      </c>
      <c r="AO9" s="59">
        <f t="shared" si="36"/>
        <v>326.82168950869504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2.6</v>
      </c>
      <c r="BD9" s="12">
        <f>IF('Données projet'!$A$88&gt;35,BD8+BC9-BL8,IF(A9&lt;'Données projet'!$A$88,$BA$205^A9,IF(A9='Données projet'!$A$88,'Données projet'!$B$88,BD8+BC9-BL8)))</f>
        <v>2.1668840221495955</v>
      </c>
      <c r="BE9" s="13">
        <f>BD9*VLOOKUP('Données projet'!$B$11,Paramètres!$A$1:$I$89,3,0)*VLOOKUP('Données projet'!$B$11,Paramètres!$A$1:$I$89,5,0)</f>
        <v>2.1972203984596899</v>
      </c>
      <c r="BF9" s="13">
        <f t="shared" si="37"/>
        <v>0.92391410530735241</v>
      </c>
      <c r="BG9" s="20">
        <f t="shared" si="7"/>
        <v>5.4359759273942645</v>
      </c>
      <c r="BH9" s="59">
        <f t="shared" si="8"/>
        <v>186.90622802365323</v>
      </c>
      <c r="BI9" s="59">
        <f ca="1">AVERAGE(OFFSET($BH$3,0,0,'Données projet'!$E$11+1,1))-AVERAGE(OFFSET($H$3,0,0,'Données projet'!$E$11+1,1))</f>
        <v>402.96916953216805</v>
      </c>
      <c r="BJ9" s="59">
        <f t="shared" si="38"/>
        <v>164.89273051331318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5.8890909090909096</v>
      </c>
      <c r="BY9" s="12">
        <f>IF('Données projet'!$A$114&gt;35,BY8+BX9-CG8,IF(A9&lt;'Données projet'!$A$114,$BV$205^A9,IF(A9='Données projet'!$A$114,'Données projet'!$B$114,BY8+BX9-CG8)))</f>
        <v>3.7681522162486343</v>
      </c>
      <c r="BZ9" s="13">
        <f>BY9*VLOOKUP('Données projet'!$B$12,Paramètres!$A$1:$I$89,3,0)*VLOOKUP('Données projet'!$B$12,Paramètres!$A$1:$I$89,5,0)</f>
        <v>2.2533550253166834</v>
      </c>
      <c r="CA9" s="13">
        <f t="shared" si="39"/>
        <v>0.94474003310844989</v>
      </c>
      <c r="CB9" s="20">
        <f t="shared" si="10"/>
        <v>5.5700155600904404</v>
      </c>
      <c r="CC9" s="59">
        <f t="shared" si="11"/>
        <v>187.04026765634941</v>
      </c>
      <c r="CD9" s="59">
        <f ca="1">AVERAGE(OFFSET($CC$3,0,0,'Données projet'!$E$12+1,1))-AVERAGE(OFFSET($H$3,0,0,'Données projet'!$E$12+1,1))</f>
        <v>373.61861223558259</v>
      </c>
      <c r="CE9" s="59">
        <f t="shared" si="40"/>
        <v>277.62293009761049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5.0894117647058819</v>
      </c>
      <c r="N10" s="13">
        <f>IF('Données projet'!$A$36&gt;35,N9+M10-V9,IF(A10&lt;'Données projet'!$A$36,$K$205^A10,IF(A10='Données projet'!$A$36,'Données projet'!$B$36,N9+M10-V9)))</f>
        <v>2.8893148451696504</v>
      </c>
      <c r="O10" s="13">
        <f>N10*VLOOKUP('Données projet'!$B$9,Paramètres!$A$1:$I$89,3,0)*VLOOKUP('Données projet'!$B$9,Paramètres!$A$1:$I$89,5,0)</f>
        <v>2.6142520719094997</v>
      </c>
      <c r="P10" s="13">
        <f t="shared" si="33"/>
        <v>1.0772593725826609</v>
      </c>
      <c r="Q10" s="20">
        <f t="shared" si="2"/>
        <v>6.4293824324905131</v>
      </c>
      <c r="R10" s="59">
        <f t="shared" si="0"/>
        <v>190.55356336822675</v>
      </c>
      <c r="S10" s="59">
        <f ca="1">AVERAGE(OFFSET($R$3,0,0,'Données projet'!$E$9+1,1))-AVERAGE(OFFSET($H$3,0,0,'Données projet'!$E$9+1,1))</f>
        <v>737.40414421611001</v>
      </c>
      <c r="T10" s="59">
        <f t="shared" si="34"/>
        <v>245.32893490531674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7.2723529411764707</v>
      </c>
      <c r="AI10" s="13">
        <f>IF('Données projet'!$A$62&gt;35,AI9+AH10-AQ9,IF(A10&lt;'Données projet'!$A$62,$AF$205^A10,IF(A10='Données projet'!$A$62,'Données projet'!$B$62,AI9+AH10-AQ9)))</f>
        <v>7.2688008405045679</v>
      </c>
      <c r="AJ10" s="13">
        <f>AI10*VLOOKUP('Données projet'!$B$10,Paramètres!$A$1:$I$89,3,0)*VLOOKUP('Données projet'!$B$10,Paramètres!$A$1:$I$89,5,0)</f>
        <v>4.3467429026217319</v>
      </c>
      <c r="AK10" s="13">
        <f t="shared" si="35"/>
        <v>1.6882382445190491</v>
      </c>
      <c r="AL10" s="20">
        <f t="shared" si="4"/>
        <v>10.510925497936862</v>
      </c>
      <c r="AM10" s="59">
        <f t="shared" si="5"/>
        <v>194.63510643367309</v>
      </c>
      <c r="AN10" s="59">
        <f ca="1">AVERAGE(OFFSET($AM$3,0,0,'Données projet'!$E$10+1,1))-AVERAGE(OFFSET($H$3,0,0,'Données projet'!$E$10+1,1))</f>
        <v>318.6615972007902</v>
      </c>
      <c r="AO10" s="59">
        <f t="shared" si="36"/>
        <v>326.82168950869504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2.6</v>
      </c>
      <c r="BD10" s="12">
        <f>IF('Données projet'!$A$88&gt;35,BD9+BC10-BL9,IF(A10&lt;'Données projet'!$A$88,$BA$205^A10,IF(A10='Données projet'!$A$88,'Données projet'!$B$88,BD9+BC10-BL9)))</f>
        <v>2.4649509317268685</v>
      </c>
      <c r="BE10" s="13">
        <f>BD10*VLOOKUP('Données projet'!$B$11,Paramètres!$A$1:$I$89,3,0)*VLOOKUP('Données projet'!$B$11,Paramètres!$A$1:$I$89,5,0)</f>
        <v>2.4994602447710452</v>
      </c>
      <c r="BF10" s="13">
        <f t="shared" si="37"/>
        <v>1.035354312443709</v>
      </c>
      <c r="BG10" s="20">
        <f t="shared" si="7"/>
        <v>6.1564686871490295</v>
      </c>
      <c r="BH10" s="59">
        <f t="shared" si="8"/>
        <v>190.28064962288528</v>
      </c>
      <c r="BI10" s="59">
        <f ca="1">AVERAGE(OFFSET($BH$3,0,0,'Données projet'!$E$11+1,1))-AVERAGE(OFFSET($H$3,0,0,'Données projet'!$E$11+1,1))</f>
        <v>402.96916953216805</v>
      </c>
      <c r="BJ10" s="59">
        <f t="shared" si="38"/>
        <v>164.89273051331318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5.8890909090909096</v>
      </c>
      <c r="BY10" s="12">
        <f>IF('Données projet'!$A$114&gt;35,BY9+BX10-CG9,IF(A10&lt;'Données projet'!$A$114,$BV$205^A10,IF(A10='Données projet'!$A$114,'Données projet'!$B$114,BY9+BX10-CG9)))</f>
        <v>4.7005626382803412</v>
      </c>
      <c r="BZ10" s="13">
        <f>BY10*VLOOKUP('Données projet'!$B$12,Paramètres!$A$1:$I$89,3,0)*VLOOKUP('Données projet'!$B$12,Paramètres!$A$1:$I$89,5,0)</f>
        <v>2.8109364576916445</v>
      </c>
      <c r="CA10" s="13">
        <f t="shared" si="39"/>
        <v>1.1485683204426194</v>
      </c>
      <c r="CB10" s="20">
        <f t="shared" si="10"/>
        <v>6.8961374885838422</v>
      </c>
      <c r="CC10" s="59">
        <f t="shared" si="11"/>
        <v>191.02031842432007</v>
      </c>
      <c r="CD10" s="59">
        <f ca="1">AVERAGE(OFFSET($CC$3,0,0,'Données projet'!$E$12+1,1))-AVERAGE(OFFSET($H$3,0,0,'Données projet'!$E$12+1,1))</f>
        <v>373.61861223558259</v>
      </c>
      <c r="CE10" s="59">
        <f t="shared" si="40"/>
        <v>277.62293009761049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5.0894117647058819</v>
      </c>
      <c r="N11" s="13">
        <f>IF('Données projet'!$A$36&gt;35,N10+M11-V10,IF(A11&lt;'Données projet'!$A$36,$K$205^A11,IF(A11='Données projet'!$A$36,'Données projet'!$B$36,N10+M11-V10)))</f>
        <v>3.3621935246252548</v>
      </c>
      <c r="O11" s="13">
        <f>N11*VLOOKUP('Données projet'!$B$9,Paramètres!$A$1:$I$89,3,0)*VLOOKUP('Données projet'!$B$9,Paramètres!$A$1:$I$89,5,0)</f>
        <v>3.0421127010809306</v>
      </c>
      <c r="P11" s="13">
        <f t="shared" si="33"/>
        <v>1.2316455990137962</v>
      </c>
      <c r="Q11" s="20">
        <f t="shared" si="2"/>
        <v>7.4434623726649827</v>
      </c>
      <c r="R11" s="59">
        <f t="shared" si="0"/>
        <v>194.19673523888554</v>
      </c>
      <c r="S11" s="59">
        <f ca="1">AVERAGE(OFFSET($R$3,0,0,'Données projet'!$E$9+1,1))-AVERAGE(OFFSET($H$3,0,0,'Données projet'!$E$9+1,1))</f>
        <v>737.40414421611001</v>
      </c>
      <c r="T11" s="59">
        <f t="shared" si="34"/>
        <v>245.32893490531674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7.2723529411764707</v>
      </c>
      <c r="AI11" s="13">
        <f>IF('Données projet'!$A$62&gt;35,AI10+AH11-AQ10,IF(A11&lt;'Données projet'!$A$62,$AF$205^A11,IF(A11='Données projet'!$A$62,'Données projet'!$B$62,AI10+AH11-AQ10)))</f>
        <v>9.6500348031768652</v>
      </c>
      <c r="AJ11" s="13">
        <f>AI11*VLOOKUP('Données projet'!$B$10,Paramètres!$A$1:$I$89,3,0)*VLOOKUP('Données projet'!$B$10,Paramètres!$A$1:$I$89,5,0)</f>
        <v>5.770720812299766</v>
      </c>
      <c r="AK11" s="13">
        <f t="shared" si="35"/>
        <v>2.168577508198295</v>
      </c>
      <c r="AL11" s="20">
        <f t="shared" si="4"/>
        <v>13.827611241534122</v>
      </c>
      <c r="AM11" s="59">
        <f t="shared" si="5"/>
        <v>200.58088410775468</v>
      </c>
      <c r="AN11" s="59">
        <f ca="1">AVERAGE(OFFSET($AM$3,0,0,'Données projet'!$E$10+1,1))-AVERAGE(OFFSET($H$3,0,0,'Données projet'!$E$10+1,1))</f>
        <v>318.6615972007902</v>
      </c>
      <c r="AO11" s="59">
        <f t="shared" si="36"/>
        <v>326.82168950869504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2.6</v>
      </c>
      <c r="BD11" s="12">
        <f>IF('Données projet'!$A$88&gt;35,BD10+BC11-BL10,IF(A11&lt;'Données projet'!$A$88,$BA$205^A11,IF(A11='Données projet'!$A$88,'Données projet'!$B$88,BD10+BC11-BL10)))</f>
        <v>2.8040185970791605</v>
      </c>
      <c r="BE11" s="13">
        <f>BD11*VLOOKUP('Données projet'!$B$11,Paramètres!$A$1:$I$89,3,0)*VLOOKUP('Données projet'!$B$11,Paramètres!$A$1:$I$89,5,0)</f>
        <v>2.8432748574382689</v>
      </c>
      <c r="BF11" s="13">
        <f t="shared" si="37"/>
        <v>1.1602361584675491</v>
      </c>
      <c r="BG11" s="20">
        <f t="shared" si="7"/>
        <v>6.9727816860359679</v>
      </c>
      <c r="BH11" s="59">
        <f t="shared" si="8"/>
        <v>193.72605455225653</v>
      </c>
      <c r="BI11" s="59">
        <f ca="1">AVERAGE(OFFSET($BH$3,0,0,'Données projet'!$E$11+1,1))-AVERAGE(OFFSET($H$3,0,0,'Données projet'!$E$11+1,1))</f>
        <v>402.96916953216805</v>
      </c>
      <c r="BJ11" s="59">
        <f t="shared" si="38"/>
        <v>164.89273051331318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5.8890909090909096</v>
      </c>
      <c r="BY11" s="12">
        <f>IF('Données projet'!$A$114&gt;35,BY10+BX11-CG10,IF(A11&lt;'Données projet'!$A$114,$BV$205^A11,IF(A11='Données projet'!$A$114,'Données projet'!$B$114,BY10+BX11-CG10)))</f>
        <v>5.8636933564201668</v>
      </c>
      <c r="BZ11" s="13">
        <f>BY11*VLOOKUP('Données projet'!$B$12,Paramètres!$A$1:$I$89,3,0)*VLOOKUP('Données projet'!$B$12,Paramètres!$A$1:$I$89,5,0)</f>
        <v>3.5064886271392601</v>
      </c>
      <c r="CA11" s="13">
        <f t="shared" si="39"/>
        <v>1.3963726956545126</v>
      </c>
      <c r="CB11" s="20">
        <f t="shared" si="10"/>
        <v>8.5391501371991527</v>
      </c>
      <c r="CC11" s="59">
        <f t="shared" si="11"/>
        <v>195.29242300341971</v>
      </c>
      <c r="CD11" s="59">
        <f ca="1">AVERAGE(OFFSET($CC$3,0,0,'Données projet'!$E$12+1,1))-AVERAGE(OFFSET($H$3,0,0,'Données projet'!$E$12+1,1))</f>
        <v>373.61861223558259</v>
      </c>
      <c r="CE11" s="59">
        <f t="shared" si="40"/>
        <v>277.62293009761049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5.0894117647058819</v>
      </c>
      <c r="N12" s="13">
        <f>IF('Données projet'!$A$36&gt;35,N11+M12-V11,IF(A12&lt;'Données projet'!$A$36,$K$205^A12,IF(A12='Données projet'!$A$36,'Données projet'!$B$36,N11+M12-V11)))</f>
        <v>3.9124657238135789</v>
      </c>
      <c r="O12" s="13">
        <f>N12*VLOOKUP('Données projet'!$B$9,Paramètres!$A$1:$I$89,3,0)*VLOOKUP('Données projet'!$B$9,Paramètres!$A$1:$I$89,5,0)</f>
        <v>3.5399989869065265</v>
      </c>
      <c r="P12" s="13">
        <f t="shared" si="33"/>
        <v>1.4081575154303458</v>
      </c>
      <c r="Q12" s="20">
        <f t="shared" si="2"/>
        <v>8.6180392415700524</v>
      </c>
      <c r="R12" s="59">
        <f t="shared" si="0"/>
        <v>197.97599799412612</v>
      </c>
      <c r="S12" s="59">
        <f ca="1">AVERAGE(OFFSET($R$3,0,0,'Données projet'!$E$9+1,1))-AVERAGE(OFFSET($H$3,0,0,'Données projet'!$E$9+1,1))</f>
        <v>737.40414421611001</v>
      </c>
      <c r="T12" s="59">
        <f t="shared" si="34"/>
        <v>245.32893490531674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7.2723529411764707</v>
      </c>
      <c r="AI12" s="13">
        <f>IF('Données projet'!$A$62&gt;35,AI11+AH12-AQ11,IF(A12&lt;'Données projet'!$A$62,$AF$205^A12,IF(A12='Données projet'!$A$62,'Données projet'!$B$62,AI11+AH12-AQ11)))</f>
        <v>12.811352758986937</v>
      </c>
      <c r="AJ12" s="13">
        <f>AI12*VLOOKUP('Données projet'!$B$10,Paramètres!$A$1:$I$89,3,0)*VLOOKUP('Données projet'!$B$10,Paramètres!$A$1:$I$89,5,0)</f>
        <v>7.6611889498741892</v>
      </c>
      <c r="AK12" s="13">
        <f t="shared" si="35"/>
        <v>2.7855833880858762</v>
      </c>
      <c r="AL12" s="20">
        <f t="shared" si="4"/>
        <v>18.194795155280449</v>
      </c>
      <c r="AM12" s="59">
        <f t="shared" si="5"/>
        <v>207.55275390783652</v>
      </c>
      <c r="AN12" s="59">
        <f ca="1">AVERAGE(OFFSET($AM$3,0,0,'Données projet'!$E$10+1,1))-AVERAGE(OFFSET($H$3,0,0,'Données projet'!$E$10+1,1))</f>
        <v>318.6615972007902</v>
      </c>
      <c r="AO12" s="59">
        <f t="shared" si="36"/>
        <v>326.82168950869504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2.6</v>
      </c>
      <c r="BD12" s="12">
        <f>IF('Données projet'!$A$88&gt;35,BD11+BC12-BL11,IF(A12&lt;'Données projet'!$A$88,$BA$205^A12,IF(A12='Données projet'!$A$88,'Données projet'!$B$88,BD11+BC12-BL11)))</f>
        <v>3.1897268994549699</v>
      </c>
      <c r="BE12" s="13">
        <f>BD12*VLOOKUP('Données projet'!$B$11,Paramètres!$A$1:$I$89,3,0)*VLOOKUP('Données projet'!$B$11,Paramètres!$A$1:$I$89,5,0)</f>
        <v>3.2343830760473393</v>
      </c>
      <c r="BF12" s="13">
        <f t="shared" si="37"/>
        <v>1.3001809402215865</v>
      </c>
      <c r="BG12" s="20">
        <f t="shared" si="7"/>
        <v>7.8976989950017114</v>
      </c>
      <c r="BH12" s="59">
        <f t="shared" si="8"/>
        <v>197.25565774755779</v>
      </c>
      <c r="BI12" s="59">
        <f ca="1">AVERAGE(OFFSET($BH$3,0,0,'Données projet'!$E$11+1,1))-AVERAGE(OFFSET($H$3,0,0,'Données projet'!$E$11+1,1))</f>
        <v>402.96916953216805</v>
      </c>
      <c r="BJ12" s="59">
        <f t="shared" si="38"/>
        <v>164.89273051331318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5.8890909090909096</v>
      </c>
      <c r="BY12" s="12">
        <f>IF('Données projet'!$A$114&gt;35,BY11+BX12-CG11,IF(A12&lt;'Données projet'!$A$114,$BV$205^A12,IF(A12='Données projet'!$A$114,'Données projet'!$B$114,BY11+BX12-CG11)))</f>
        <v>7.3146349541476745</v>
      </c>
      <c r="BZ12" s="13">
        <f>BY12*VLOOKUP('Données projet'!$B$12,Paramètres!$A$1:$I$89,3,0)*VLOOKUP('Données projet'!$B$12,Paramètres!$A$1:$I$89,5,0)</f>
        <v>4.3741517025803098</v>
      </c>
      <c r="CA12" s="13">
        <f t="shared" si="39"/>
        <v>1.6976410288053578</v>
      </c>
      <c r="CB12" s="20">
        <f t="shared" si="10"/>
        <v>10.575039007163371</v>
      </c>
      <c r="CC12" s="59">
        <f t="shared" si="11"/>
        <v>199.93299775971946</v>
      </c>
      <c r="CD12" s="59">
        <f ca="1">AVERAGE(OFFSET($CC$3,0,0,'Données projet'!$E$12+1,1))-AVERAGE(OFFSET($H$3,0,0,'Données projet'!$E$12+1,1))</f>
        <v>373.61861223558259</v>
      </c>
      <c r="CE12" s="59">
        <f t="shared" si="40"/>
        <v>277.62293009761049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5.0894117647058819</v>
      </c>
      <c r="N13" s="13">
        <f>IF('Données projet'!$A$36&gt;35,N12+M13-V12,IF(A13&lt;'Données projet'!$A$36,$K$205^A13,IF(A13='Données projet'!$A$36,'Données projet'!$B$36,N12+M13-V12)))</f>
        <v>4.5527980254266449</v>
      </c>
      <c r="O13" s="13">
        <f>N13*VLOOKUP('Données projet'!$B$9,Paramètres!$A$1:$I$89,3,0)*VLOOKUP('Données projet'!$B$9,Paramètres!$A$1:$I$89,5,0)</f>
        <v>4.1193716534060281</v>
      </c>
      <c r="P13" s="13">
        <f t="shared" si="33"/>
        <v>1.6099660404346177</v>
      </c>
      <c r="Q13" s="20">
        <f t="shared" si="2"/>
        <v>9.9785964834391248</v>
      </c>
      <c r="R13" s="59">
        <f t="shared" si="0"/>
        <v>201.91725846848402</v>
      </c>
      <c r="S13" s="59">
        <f ca="1">AVERAGE(OFFSET($R$3,0,0,'Données projet'!$E$9+1,1))-AVERAGE(OFFSET($H$3,0,0,'Données projet'!$E$9+1,1))</f>
        <v>737.40414421611001</v>
      </c>
      <c r="T13" s="59">
        <f t="shared" si="34"/>
        <v>245.32893490531674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7.2723529411764707</v>
      </c>
      <c r="AI13" s="13">
        <f>IF('Données projet'!$A$62&gt;35,AI12+AH13-AQ12,IF(A13&lt;'Données projet'!$A$62,$AF$205^A13,IF(A13='Données projet'!$A$62,'Données projet'!$B$62,AI12+AH13-AQ12)))</f>
        <v>17.008307520421493</v>
      </c>
      <c r="AJ13" s="13">
        <f>AI13*VLOOKUP('Données projet'!$B$10,Paramètres!$A$1:$I$89,3,0)*VLOOKUP('Données projet'!$B$10,Paramètres!$A$1:$I$89,5,0)</f>
        <v>10.170967897212053</v>
      </c>
      <c r="AK13" s="13">
        <f t="shared" si="35"/>
        <v>3.5781404089295137</v>
      </c>
      <c r="AL13" s="20">
        <f t="shared" si="4"/>
        <v>23.946363633196558</v>
      </c>
      <c r="AM13" s="59">
        <f t="shared" si="5"/>
        <v>215.88502561824146</v>
      </c>
      <c r="AN13" s="59">
        <f ca="1">AVERAGE(OFFSET($AM$3,0,0,'Données projet'!$E$10+1,1))-AVERAGE(OFFSET($H$3,0,0,'Données projet'!$E$10+1,1))</f>
        <v>318.6615972007902</v>
      </c>
      <c r="AO13" s="59">
        <f t="shared" si="36"/>
        <v>326.82168950869504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2.6</v>
      </c>
      <c r="BD13" s="12">
        <f>IF('Données projet'!$A$88&gt;35,BD12+BC13-BL12,IF(A13&lt;'Données projet'!$A$88,$BA$205^A13,IF(A13='Données projet'!$A$88,'Données projet'!$B$88,BD12+BC13-BL12)))</f>
        <v>3.6284915170337522</v>
      </c>
      <c r="BE13" s="13">
        <f>BD13*VLOOKUP('Données projet'!$B$11,Paramètres!$A$1:$I$89,3,0)*VLOOKUP('Données projet'!$B$11,Paramètres!$A$1:$I$89,5,0)</f>
        <v>3.6792903982722249</v>
      </c>
      <c r="BF13" s="13">
        <f t="shared" si="37"/>
        <v>1.4570055113161433</v>
      </c>
      <c r="BG13" s="20">
        <f t="shared" si="7"/>
        <v>8.9457153758664063</v>
      </c>
      <c r="BH13" s="59">
        <f t="shared" si="8"/>
        <v>200.88437736091129</v>
      </c>
      <c r="BI13" s="59">
        <f ca="1">AVERAGE(OFFSET($BH$3,0,0,'Données projet'!$E$11+1,1))-AVERAGE(OFFSET($H$3,0,0,'Données projet'!$E$11+1,1))</f>
        <v>402.96916953216805</v>
      </c>
      <c r="BJ13" s="59">
        <f t="shared" si="38"/>
        <v>164.89273051331318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5.8890909090909096</v>
      </c>
      <c r="BY13" s="12">
        <f>IF('Données projet'!$A$114&gt;35,BY12+BX13-CG12,IF(A13&lt;'Données projet'!$A$114,$BV$205^A13,IF(A13='Données projet'!$A$114,'Données projet'!$B$114,BY12+BX13-CG12)))</f>
        <v>9.1246047943242932</v>
      </c>
      <c r="BZ13" s="13">
        <f>BY13*VLOOKUP('Données projet'!$B$12,Paramètres!$A$1:$I$89,3,0)*VLOOKUP('Données projet'!$B$12,Paramètres!$A$1:$I$89,5,0)</f>
        <v>5.456513667005928</v>
      </c>
      <c r="CA13" s="13">
        <f t="shared" si="39"/>
        <v>2.0639082042007839</v>
      </c>
      <c r="CB13" s="20">
        <f t="shared" si="10"/>
        <v>13.098068092351689</v>
      </c>
      <c r="CC13" s="59">
        <f t="shared" si="11"/>
        <v>205.03673007739658</v>
      </c>
      <c r="CD13" s="59">
        <f ca="1">AVERAGE(OFFSET($CC$3,0,0,'Données projet'!$E$12+1,1))-AVERAGE(OFFSET($H$3,0,0,'Données projet'!$E$12+1,1))</f>
        <v>373.61861223558259</v>
      </c>
      <c r="CE13" s="59">
        <f t="shared" si="40"/>
        <v>277.62293009761049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5.0894117647058819</v>
      </c>
      <c r="N14" s="13">
        <f>IF('Données projet'!$A$36&gt;35,N13+M14-V13,IF(A14&lt;'Données projet'!$A$36,$K$205^A14,IF(A14='Données projet'!$A$36,'Données projet'!$B$36,N13+M14-V13)))</f>
        <v>5.2979300838767944</v>
      </c>
      <c r="O14" s="13">
        <f>N14*VLOOKUP('Données projet'!$B$9,Paramètres!$A$1:$I$89,3,0)*VLOOKUP('Données projet'!$B$9,Paramètres!$A$1:$I$89,5,0)</f>
        <v>4.7935671398917234</v>
      </c>
      <c r="P14" s="13">
        <f t="shared" si="33"/>
        <v>1.8406965292945834</v>
      </c>
      <c r="Q14" s="20">
        <f t="shared" si="2"/>
        <v>11.554675890499484</v>
      </c>
      <c r="R14" s="59">
        <f t="shared" si="0"/>
        <v>206.05047449961361</v>
      </c>
      <c r="S14" s="59">
        <f ca="1">AVERAGE(OFFSET($R$3,0,0,'Données projet'!$E$9+1,1))-AVERAGE(OFFSET($H$3,0,0,'Données projet'!$E$9+1,1))</f>
        <v>737.40414421611001</v>
      </c>
      <c r="T14" s="59">
        <f t="shared" si="34"/>
        <v>245.32893490531674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7.2723529411764707</v>
      </c>
      <c r="AI14" s="13">
        <f>IF('Données projet'!$A$62&gt;35,AI13+AH14-AQ13,IF(A14&lt;'Données projet'!$A$62,$AF$205^A14,IF(A14='Données projet'!$A$62,'Données projet'!$B$62,AI13+AH14-AQ13)))</f>
        <v>22.580170115626522</v>
      </c>
      <c r="AJ14" s="13">
        <f>AI14*VLOOKUP('Données projet'!$B$10,Paramètres!$A$1:$I$89,3,0)*VLOOKUP('Données projet'!$B$10,Paramètres!$A$1:$I$89,5,0)</f>
        <v>13.502941729144661</v>
      </c>
      <c r="AK14" s="13">
        <f t="shared" si="35"/>
        <v>4.5961965600361916</v>
      </c>
      <c r="AL14" s="20">
        <f t="shared" si="4"/>
        <v>31.522665853656651</v>
      </c>
      <c r="AM14" s="59">
        <f t="shared" si="5"/>
        <v>226.01846446277079</v>
      </c>
      <c r="AN14" s="59">
        <f ca="1">AVERAGE(OFFSET($AM$3,0,0,'Données projet'!$E$10+1,1))-AVERAGE(OFFSET($H$3,0,0,'Données projet'!$E$10+1,1))</f>
        <v>318.6615972007902</v>
      </c>
      <c r="AO14" s="59">
        <f t="shared" si="36"/>
        <v>326.82168950869504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2.6</v>
      </c>
      <c r="BD14" s="12">
        <f>IF('Données projet'!$A$88&gt;35,BD13+BC14-BL13,IF(A14&lt;'Données projet'!$A$88,$BA$205^A14,IF(A14='Données projet'!$A$88,'Données projet'!$B$88,BD13+BC14-BL13)))</f>
        <v>4.1276106400944768</v>
      </c>
      <c r="BE14" s="13">
        <f>BD14*VLOOKUP('Données projet'!$B$11,Paramètres!$A$1:$I$89,3,0)*VLOOKUP('Données projet'!$B$11,Paramètres!$A$1:$I$89,5,0)</f>
        <v>4.1853971890557995</v>
      </c>
      <c r="BF14" s="13">
        <f t="shared" si="37"/>
        <v>1.6327458696970449</v>
      </c>
      <c r="BG14" s="20">
        <f t="shared" si="7"/>
        <v>10.13326582732787</v>
      </c>
      <c r="BH14" s="59">
        <f t="shared" si="8"/>
        <v>204.62906443644201</v>
      </c>
      <c r="BI14" s="59">
        <f ca="1">AVERAGE(OFFSET($BH$3,0,0,'Données projet'!$E$11+1,1))-AVERAGE(OFFSET($H$3,0,0,'Données projet'!$E$11+1,1))</f>
        <v>402.96916953216805</v>
      </c>
      <c r="BJ14" s="59">
        <f t="shared" si="38"/>
        <v>164.89273051331318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5.8890909090909096</v>
      </c>
      <c r="BY14" s="12">
        <f>IF('Données projet'!$A$114&gt;35,BY13+BX14-CG13,IF(A14&lt;'Données projet'!$A$114,$BV$205^A14,IF(A14='Données projet'!$A$114,'Données projet'!$B$114,BY13+BX14-CG13)))</f>
        <v>11.382442620105763</v>
      </c>
      <c r="BZ14" s="13">
        <f>BY14*VLOOKUP('Données projet'!$B$12,Paramètres!$A$1:$I$89,3,0)*VLOOKUP('Données projet'!$B$12,Paramètres!$A$1:$I$89,5,0)</f>
        <v>6.8067006868232474</v>
      </c>
      <c r="CA14" s="13">
        <f t="shared" si="39"/>
        <v>2.5091977650686839</v>
      </c>
      <c r="CB14" s="20">
        <f t="shared" si="10"/>
        <v>16.225189803711778</v>
      </c>
      <c r="CC14" s="59">
        <f t="shared" si="11"/>
        <v>210.7209884128259</v>
      </c>
      <c r="CD14" s="59">
        <f ca="1">AVERAGE(OFFSET($CC$3,0,0,'Données projet'!$E$12+1,1))-AVERAGE(OFFSET($H$3,0,0,'Données projet'!$E$12+1,1))</f>
        <v>373.61861223558259</v>
      </c>
      <c r="CE14" s="59">
        <f t="shared" si="40"/>
        <v>277.62293009761049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5.0894117647058819</v>
      </c>
      <c r="N15" s="13">
        <f>IF('Données projet'!$A$36&gt;35,N14+M15-V14,IF(A15&lt;'Données projet'!$A$36,$K$205^A15,IF(A15='Données projet'!$A$36,'Données projet'!$B$36,N14+M15-V14)))</f>
        <v>6.1650139138374147</v>
      </c>
      <c r="O15" s="13">
        <f>N15*VLOOKUP('Données projet'!$B$9,Paramètres!$A$1:$I$89,3,0)*VLOOKUP('Données projet'!$B$9,Paramètres!$A$1:$I$89,5,0)</f>
        <v>5.5781045892400929</v>
      </c>
      <c r="P15" s="13">
        <f t="shared" si="33"/>
        <v>2.1044939010281696</v>
      </c>
      <c r="Q15" s="20">
        <f t="shared" si="2"/>
        <v>13.38052570388389</v>
      </c>
      <c r="R15" s="59">
        <f t="shared" si="0"/>
        <v>210.41030315661675</v>
      </c>
      <c r="S15" s="59">
        <f ca="1">AVERAGE(OFFSET($R$3,0,0,'Données projet'!$E$9+1,1))-AVERAGE(OFFSET($H$3,0,0,'Données projet'!$E$9+1,1))</f>
        <v>737.40414421611001</v>
      </c>
      <c r="T15" s="59">
        <f t="shared" si="34"/>
        <v>245.32893490531674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7.2723529411764707</v>
      </c>
      <c r="AI15" s="13">
        <f>IF('Données projet'!$A$62&gt;35,AI14+AH15-AQ14,IF(A15&lt;'Données projet'!$A$62,$AF$205^A15,IF(A15='Données projet'!$A$62,'Données projet'!$B$62,AI14+AH15-AQ14)))</f>
        <v>29.977355585701336</v>
      </c>
      <c r="AJ15" s="13">
        <f>AI15*VLOOKUP('Données projet'!$B$10,Paramètres!$A$1:$I$89,3,0)*VLOOKUP('Données projet'!$B$10,Paramètres!$A$1:$I$89,5,0)</f>
        <v>17.9264586402494</v>
      </c>
      <c r="AK15" s="13">
        <f t="shared" si="35"/>
        <v>5.9039110834693549</v>
      </c>
      <c r="AL15" s="20">
        <f t="shared" si="4"/>
        <v>41.504560602143492</v>
      </c>
      <c r="AM15" s="59">
        <f t="shared" si="5"/>
        <v>238.53433805487637</v>
      </c>
      <c r="AN15" s="59">
        <f ca="1">AVERAGE(OFFSET($AM$3,0,0,'Données projet'!$E$10+1,1))-AVERAGE(OFFSET($H$3,0,0,'Données projet'!$E$10+1,1))</f>
        <v>318.6615972007902</v>
      </c>
      <c r="AO15" s="59">
        <f t="shared" si="36"/>
        <v>326.82168950869504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2.6</v>
      </c>
      <c r="BD15" s="12">
        <f>IF('Données projet'!$A$88&gt;35,BD14+BC15-BL14,IF(A15&lt;'Données projet'!$A$88,$BA$205^A15,IF(A15='Données projet'!$A$88,'Données projet'!$B$88,BD14+BC15-BL14)))</f>
        <v>4.6953863654472077</v>
      </c>
      <c r="BE15" s="13">
        <f>BD15*VLOOKUP('Données projet'!$B$11,Paramètres!$A$1:$I$89,3,0)*VLOOKUP('Données projet'!$B$11,Paramètres!$A$1:$I$89,5,0)</f>
        <v>4.7611217745634695</v>
      </c>
      <c r="BF15" s="13">
        <f t="shared" si="37"/>
        <v>1.8296835902869262</v>
      </c>
      <c r="BG15" s="20">
        <f t="shared" si="7"/>
        <v>11.478986010447771</v>
      </c>
      <c r="BH15" s="59">
        <f t="shared" si="8"/>
        <v>208.50876346318066</v>
      </c>
      <c r="BI15" s="59">
        <f ca="1">AVERAGE(OFFSET($BH$3,0,0,'Données projet'!$E$11+1,1))-AVERAGE(OFFSET($H$3,0,0,'Données projet'!$E$11+1,1))</f>
        <v>402.96916953216805</v>
      </c>
      <c r="BJ15" s="59">
        <f t="shared" si="38"/>
        <v>164.89273051331318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5.8890909090909096</v>
      </c>
      <c r="BY15" s="12">
        <f>IF('Données projet'!$A$114&gt;35,BY14+BX15-CG14,IF(A15&lt;'Données projet'!$A$114,$BV$205^A15,IF(A15='Données projet'!$A$114,'Données projet'!$B$114,BY14+BX15-CG14)))</f>
        <v>14.198971124819497</v>
      </c>
      <c r="BZ15" s="13">
        <f>BY15*VLOOKUP('Données projet'!$B$12,Paramètres!$A$1:$I$89,3,0)*VLOOKUP('Données projet'!$B$12,Paramètres!$A$1:$I$89,5,0)</f>
        <v>8.49098473264206</v>
      </c>
      <c r="CA15" s="13">
        <f t="shared" si="39"/>
        <v>3.0505588433685857</v>
      </c>
      <c r="CB15" s="20">
        <f t="shared" si="10"/>
        <v>20.10152172821854</v>
      </c>
      <c r="CC15" s="59">
        <f t="shared" si="11"/>
        <v>217.1312991809514</v>
      </c>
      <c r="CD15" s="59">
        <f ca="1">AVERAGE(OFFSET($CC$3,0,0,'Données projet'!$E$12+1,1))-AVERAGE(OFFSET($H$3,0,0,'Données projet'!$E$12+1,1))</f>
        <v>373.61861223558259</v>
      </c>
      <c r="CE15" s="59">
        <f t="shared" si="40"/>
        <v>277.62293009761049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5.0894117647058819</v>
      </c>
      <c r="N16" s="13">
        <f>IF('Données projet'!$A$36&gt;35,N15+M16-V15,IF(A16&lt;'Données projet'!$A$36,$K$205^A16,IF(A16='Données projet'!$A$36,'Données projet'!$B$36,N15+M16-V15)))</f>
        <v>7.1740087083211872</v>
      </c>
      <c r="O16" s="13">
        <f>N16*VLOOKUP('Données projet'!$B$9,Paramètres!$A$1:$I$89,3,0)*VLOOKUP('Données projet'!$B$9,Paramètres!$A$1:$I$89,5,0)</f>
        <v>6.4910430792890104</v>
      </c>
      <c r="P16" s="13">
        <f t="shared" si="33"/>
        <v>2.4060970991030577</v>
      </c>
      <c r="Q16" s="20">
        <f t="shared" si="2"/>
        <v>15.495852477366185</v>
      </c>
      <c r="R16" s="59">
        <f t="shared" si="0"/>
        <v>215.036852728985</v>
      </c>
      <c r="S16" s="59">
        <f ca="1">AVERAGE(OFFSET($R$3,0,0,'Données projet'!$E$9+1,1))-AVERAGE(OFFSET($H$3,0,0,'Données projet'!$E$9+1,1))</f>
        <v>737.40414421611001</v>
      </c>
      <c r="T16" s="59">
        <f t="shared" si="34"/>
        <v>245.32893490531674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7.2723529411764707</v>
      </c>
      <c r="AI16" s="13">
        <f>IF('Données projet'!$A$62&gt;35,AI15+AH16-AQ15,IF(A16&lt;'Données projet'!$A$62,$AF$205^A16,IF(A16='Données projet'!$A$62,'Données projet'!$B$62,AI15+AH16-AQ15)))</f>
        <v>39.797833378131948</v>
      </c>
      <c r="AJ16" s="13">
        <f>AI16*VLOOKUP('Données projet'!$B$10,Paramètres!$A$1:$I$89,3,0)*VLOOKUP('Données projet'!$B$10,Paramètres!$A$1:$I$89,5,0)</f>
        <v>23.799104360122907</v>
      </c>
      <c r="AK16" s="13">
        <f t="shared" si="35"/>
        <v>7.583697874147882</v>
      </c>
      <c r="AL16" s="20">
        <f t="shared" si="4"/>
        <v>54.658380558021626</v>
      </c>
      <c r="AM16" s="59">
        <f t="shared" si="5"/>
        <v>254.19938080964045</v>
      </c>
      <c r="AN16" s="59">
        <f ca="1">AVERAGE(OFFSET($AM$3,0,0,'Données projet'!$E$10+1,1))-AVERAGE(OFFSET($H$3,0,0,'Données projet'!$E$10+1,1))</f>
        <v>318.6615972007902</v>
      </c>
      <c r="AO16" s="59">
        <f t="shared" si="36"/>
        <v>326.82168950869504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2.6</v>
      </c>
      <c r="BD16" s="12">
        <f>IF('Données projet'!$A$88&gt;35,BD15+BC16-BL15,IF(A16&lt;'Données projet'!$A$88,$BA$205^A16,IF(A16='Données projet'!$A$88,'Données projet'!$B$88,BD15+BC16-BL15)))</f>
        <v>5.3412627893417097</v>
      </c>
      <c r="BE16" s="13">
        <f>BD16*VLOOKUP('Données projet'!$B$11,Paramètres!$A$1:$I$89,3,0)*VLOOKUP('Données projet'!$B$11,Paramètres!$A$1:$I$89,5,0)</f>
        <v>5.4160404683924943</v>
      </c>
      <c r="BF16" s="13">
        <f t="shared" si="37"/>
        <v>2.0503754458655763</v>
      </c>
      <c r="BG16" s="20">
        <f t="shared" si="7"/>
        <v>13.004007717332804</v>
      </c>
      <c r="BH16" s="59">
        <f t="shared" si="8"/>
        <v>212.54500796895161</v>
      </c>
      <c r="BI16" s="59">
        <f ca="1">AVERAGE(OFFSET($BH$3,0,0,'Données projet'!$E$11+1,1))-AVERAGE(OFFSET($H$3,0,0,'Données projet'!$E$11+1,1))</f>
        <v>402.96916953216805</v>
      </c>
      <c r="BJ16" s="59">
        <f t="shared" si="38"/>
        <v>164.89273051331318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5.8890909090909096</v>
      </c>
      <c r="BY16" s="12">
        <f>IF('Données projet'!$A$114&gt;35,BY15+BX16-CG15,IF(A16&lt;'Données projet'!$A$114,$BV$205^A16,IF(A16='Données projet'!$A$114,'Données projet'!$B$114,BY15+BX16-CG15)))</f>
        <v>17.712435523051596</v>
      </c>
      <c r="BZ16" s="13">
        <f>BY16*VLOOKUP('Données projet'!$B$12,Paramètres!$A$1:$I$89,3,0)*VLOOKUP('Données projet'!$B$12,Paramètres!$A$1:$I$89,5,0)</f>
        <v>10.592036442784856</v>
      </c>
      <c r="CA16" s="13">
        <f t="shared" si="39"/>
        <v>3.708718932562717</v>
      </c>
      <c r="CB16" s="20">
        <f t="shared" si="10"/>
        <v>24.907148945397026</v>
      </c>
      <c r="CC16" s="59">
        <f t="shared" si="11"/>
        <v>224.44814919701582</v>
      </c>
      <c r="CD16" s="59">
        <f ca="1">AVERAGE(OFFSET($CC$3,0,0,'Données projet'!$E$12+1,1))-AVERAGE(OFFSET($H$3,0,0,'Données projet'!$E$12+1,1))</f>
        <v>373.61861223558259</v>
      </c>
      <c r="CE16" s="59">
        <f t="shared" si="40"/>
        <v>277.62293009761049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5.0894117647058819</v>
      </c>
      <c r="N17" s="13">
        <f>IF('Données projet'!$A$36&gt;35,N16+M17-V16,IF(A17&lt;'Données projet'!$A$36,$K$205^A17,IF(A17='Données projet'!$A$36,'Données projet'!$B$36,N16+M17-V16)))</f>
        <v>8.3481402745177196</v>
      </c>
      <c r="O17" s="13">
        <f>N17*VLOOKUP('Données projet'!$B$9,Paramètres!$A$1:$I$89,3,0)*VLOOKUP('Données projet'!$B$9,Paramètres!$A$1:$I$89,5,0)</f>
        <v>7.553397320383632</v>
      </c>
      <c r="P17" s="13">
        <f t="shared" si="33"/>
        <v>2.7509242233886888</v>
      </c>
      <c r="Q17" s="20">
        <f t="shared" si="2"/>
        <v>17.946693355403458</v>
      </c>
      <c r="R17" s="59">
        <f t="shared" si="0"/>
        <v>219.97655512767665</v>
      </c>
      <c r="S17" s="59">
        <f ca="1">AVERAGE(OFFSET($R$3,0,0,'Données projet'!$E$9+1,1))-AVERAGE(OFFSET($H$3,0,0,'Données projet'!$E$9+1,1))</f>
        <v>737.40414421611001</v>
      </c>
      <c r="T17" s="59">
        <f t="shared" si="34"/>
        <v>245.32893490531674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7.2723529411764707</v>
      </c>
      <c r="AI17" s="13">
        <f>IF('Données projet'!$A$62&gt;35,AI16+AH17-AQ16,IF(A17&lt;'Données projet'!$A$62,$AF$205^A17,IF(A17='Données projet'!$A$62,'Données projet'!$B$62,AI16+AH17-AQ16)))</f>
        <v>52.835465658919915</v>
      </c>
      <c r="AJ17" s="13">
        <f>AI17*VLOOKUP('Données projet'!$B$10,Paramètres!$A$1:$I$89,3,0)*VLOOKUP('Données projet'!$B$10,Paramètres!$A$1:$I$89,5,0)</f>
        <v>31.595608464034111</v>
      </c>
      <c r="AK17" s="13">
        <f t="shared" si="35"/>
        <v>9.7414193122567614</v>
      </c>
      <c r="AL17" s="20">
        <f t="shared" si="4"/>
        <v>71.995323377039924</v>
      </c>
      <c r="AM17" s="59">
        <f t="shared" si="5"/>
        <v>274.02518514931313</v>
      </c>
      <c r="AN17" s="59">
        <f ca="1">AVERAGE(OFFSET($AM$3,0,0,'Données projet'!$E$10+1,1))-AVERAGE(OFFSET($H$3,0,0,'Données projet'!$E$10+1,1))</f>
        <v>318.6615972007902</v>
      </c>
      <c r="AO17" s="59">
        <f t="shared" si="36"/>
        <v>326.82168950869504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2.6</v>
      </c>
      <c r="BD17" s="12">
        <f>IF('Données projet'!$A$88&gt;35,BD16+BC17-BL16,IF(A17&lt;'Données projet'!$A$88,$BA$205^A17,IF(A17='Données projet'!$A$88,'Données projet'!$B$88,BD16+BC17-BL16)))</f>
        <v>6.0759830958211571</v>
      </c>
      <c r="BE17" s="13">
        <f>BD17*VLOOKUP('Données projet'!$B$11,Paramètres!$A$1:$I$89,3,0)*VLOOKUP('Données projet'!$B$11,Paramètres!$A$1:$I$89,5,0)</f>
        <v>6.1610468591626537</v>
      </c>
      <c r="BF17" s="13">
        <f t="shared" si="37"/>
        <v>2.2976866007467405</v>
      </c>
      <c r="BG17" s="20">
        <f t="shared" si="7"/>
        <v>14.732294109342194</v>
      </c>
      <c r="BH17" s="59">
        <f t="shared" si="8"/>
        <v>216.7621558816154</v>
      </c>
      <c r="BI17" s="59">
        <f ca="1">AVERAGE(OFFSET($BH$3,0,0,'Données projet'!$E$11+1,1))-AVERAGE(OFFSET($H$3,0,0,'Données projet'!$E$11+1,1))</f>
        <v>402.96916953216805</v>
      </c>
      <c r="BJ17" s="59">
        <f t="shared" si="38"/>
        <v>164.89273051331318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5.8890909090909096</v>
      </c>
      <c r="BY17" s="12">
        <f>IF('Données projet'!$A$114&gt;35,BY16+BX17-CG16,IF(A17&lt;'Données projet'!$A$114,$BV$205^A17,IF(A17='Données projet'!$A$114,'Données projet'!$B$114,BY16+BX17-CG16)))</f>
        <v>22.095289116397044</v>
      </c>
      <c r="BZ17" s="13">
        <f>BY17*VLOOKUP('Données projet'!$B$12,Paramètres!$A$1:$I$89,3,0)*VLOOKUP('Données projet'!$B$12,Paramètres!$A$1:$I$89,5,0)</f>
        <v>13.212982891605433</v>
      </c>
      <c r="CA17" s="13">
        <f t="shared" si="39"/>
        <v>4.508877496544403</v>
      </c>
      <c r="CB17" s="20">
        <f t="shared" si="10"/>
        <v>30.86557350936096</v>
      </c>
      <c r="CC17" s="59">
        <f t="shared" si="11"/>
        <v>232.89543528163415</v>
      </c>
      <c r="CD17" s="59">
        <f ca="1">AVERAGE(OFFSET($CC$3,0,0,'Données projet'!$E$12+1,1))-AVERAGE(OFFSET($H$3,0,0,'Données projet'!$E$12+1,1))</f>
        <v>373.61861223558259</v>
      </c>
      <c r="CE17" s="59">
        <f t="shared" si="40"/>
        <v>277.62293009761049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5.0894117647058819</v>
      </c>
      <c r="N18" s="13">
        <f>IF('Données projet'!$A$36&gt;35,N17+M18-V17,IF(A18&lt;'Données projet'!$A$36,$K$205^A18,IF(A18='Données projet'!$A$36,'Données projet'!$B$36,N17+M18-V17)))</f>
        <v>9.7144356630330186</v>
      </c>
      <c r="O18" s="13">
        <f>N18*VLOOKUP('Données projet'!$B$9,Paramètres!$A$1:$I$89,3,0)*VLOOKUP('Données projet'!$B$9,Paramètres!$A$1:$I$89,5,0)</f>
        <v>8.7896213879122751</v>
      </c>
      <c r="P18" s="13">
        <f t="shared" si="33"/>
        <v>3.1451698626990985</v>
      </c>
      <c r="Q18" s="20">
        <f t="shared" si="2"/>
        <v>20.786428094814809</v>
      </c>
      <c r="R18" s="59">
        <f t="shared" si="0"/>
        <v>225.28317802769584</v>
      </c>
      <c r="S18" s="59">
        <f ca="1">AVERAGE(OFFSET($R$3,0,0,'Données projet'!$E$9+1,1))-AVERAGE(OFFSET($H$3,0,0,'Données projet'!$E$9+1,1))</f>
        <v>737.40414421611001</v>
      </c>
      <c r="T18" s="59">
        <f t="shared" si="34"/>
        <v>245.32893490531674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7.2723529411764707</v>
      </c>
      <c r="AI18" s="13">
        <f>IF('Données projet'!$A$62&gt;35,AI17+AH18-AQ17,IF(A18&lt;'Données projet'!$A$62,$AF$205^A18,IF(A18='Données projet'!$A$62,'Données projet'!$B$62,AI17+AH18-AQ17)))</f>
        <v>70.144181088230326</v>
      </c>
      <c r="AJ18" s="13">
        <f>AI18*VLOOKUP('Données projet'!$B$10,Paramètres!$A$1:$I$89,3,0)*VLOOKUP('Données projet'!$B$10,Paramètres!$A$1:$I$89,5,0)</f>
        <v>41.946220290761737</v>
      </c>
      <c r="AK18" s="13">
        <f t="shared" si="35"/>
        <v>12.51305785014169</v>
      </c>
      <c r="AL18" s="20">
        <f t="shared" si="4"/>
        <v>94.849909428740133</v>
      </c>
      <c r="AM18" s="59">
        <f t="shared" si="5"/>
        <v>299.34665936162116</v>
      </c>
      <c r="AN18" s="59">
        <f ca="1">AVERAGE(OFFSET($AM$3,0,0,'Données projet'!$E$10+1,1))-AVERAGE(OFFSET($H$3,0,0,'Données projet'!$E$10+1,1))</f>
        <v>318.6615972007902</v>
      </c>
      <c r="AO18" s="59">
        <f t="shared" si="36"/>
        <v>326.82168950869504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2.6</v>
      </c>
      <c r="BD18" s="12">
        <f>IF('Données projet'!$A$88&gt;35,BD17+BC18-BL17,IF(A18&lt;'Données projet'!$A$88,$BA$205^A18,IF(A18='Données projet'!$A$88,'Données projet'!$B$88,BD17+BC18-BL17)))</f>
        <v>6.9117682534497433</v>
      </c>
      <c r="BE18" s="13">
        <f>BD18*VLOOKUP('Données projet'!$B$11,Paramètres!$A$1:$I$89,3,0)*VLOOKUP('Données projet'!$B$11,Paramètres!$A$1:$I$89,5,0)</f>
        <v>7.0085330089980404</v>
      </c>
      <c r="BF18" s="13">
        <f t="shared" si="37"/>
        <v>2.5748278081931488</v>
      </c>
      <c r="BG18" s="20">
        <f t="shared" si="7"/>
        <v>16.691020089941318</v>
      </c>
      <c r="BH18" s="59">
        <f t="shared" si="8"/>
        <v>221.18777002282235</v>
      </c>
      <c r="BI18" s="59">
        <f ca="1">AVERAGE(OFFSET($BH$3,0,0,'Données projet'!$E$11+1,1))-AVERAGE(OFFSET($H$3,0,0,'Données projet'!$E$11+1,1))</f>
        <v>402.96916953216805</v>
      </c>
      <c r="BJ18" s="59">
        <f t="shared" si="38"/>
        <v>164.89273051331318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5.8890909090909096</v>
      </c>
      <c r="BY18" s="12">
        <f>IF('Données projet'!$A$114&gt;35,BY17+BX18-CG17,IF(A18&lt;'Données projet'!$A$114,$BV$205^A18,IF(A18='Données projet'!$A$114,'Données projet'!$B$114,BY17+BX18-CG17)))</f>
        <v>27.562657913521289</v>
      </c>
      <c r="BZ18" s="13">
        <f>BY18*VLOOKUP('Données projet'!$B$12,Paramètres!$A$1:$I$89,3,0)*VLOOKUP('Données projet'!$B$12,Paramètres!$A$1:$I$89,5,0)</f>
        <v>16.482469432285733</v>
      </c>
      <c r="CA18" s="13">
        <f t="shared" si="39"/>
        <v>5.4816708002179473</v>
      </c>
      <c r="CB18" s="20">
        <f t="shared" si="10"/>
        <v>38.254210904943911</v>
      </c>
      <c r="CC18" s="59">
        <f t="shared" si="11"/>
        <v>242.75096083782495</v>
      </c>
      <c r="CD18" s="59">
        <f ca="1">AVERAGE(OFFSET($CC$3,0,0,'Données projet'!$E$12+1,1))-AVERAGE(OFFSET($H$3,0,0,'Données projet'!$E$12+1,1))</f>
        <v>373.61861223558259</v>
      </c>
      <c r="CE18" s="59">
        <f t="shared" si="40"/>
        <v>277.62293009761049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5.0894117647058819</v>
      </c>
      <c r="N19" s="13">
        <f>IF('Données projet'!$A$36&gt;35,N18+M19-V18,IF(A19&lt;'Données projet'!$A$36,$K$205^A19,IF(A19='Données projet'!$A$36,'Données projet'!$B$36,N18+M19-V18)))</f>
        <v>11.304345297031993</v>
      </c>
      <c r="O19" s="13">
        <f>N19*VLOOKUP('Données projet'!$B$9,Paramètres!$A$1:$I$89,3,0)*VLOOKUP('Données projet'!$B$9,Paramètres!$A$1:$I$89,5,0)</f>
        <v>10.228171624754548</v>
      </c>
      <c r="P19" s="13">
        <f t="shared" si="33"/>
        <v>3.5959163764406497</v>
      </c>
      <c r="Q19" s="20">
        <f t="shared" si="2"/>
        <v>24.076953268748301</v>
      </c>
      <c r="R19" s="59">
        <f t="shared" si="0"/>
        <v>231.01899919086236</v>
      </c>
      <c r="S19" s="59">
        <f ca="1">AVERAGE(OFFSET($R$3,0,0,'Données projet'!$E$9+1,1))-AVERAGE(OFFSET($H$3,0,0,'Données projet'!$E$9+1,1))</f>
        <v>737.40414421611001</v>
      </c>
      <c r="T19" s="59">
        <f t="shared" si="34"/>
        <v>245.32893490531674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7.2723529411764707</v>
      </c>
      <c r="AI19" s="13">
        <f>IF('Données projet'!$A$62&gt;35,AI18+AH19-AQ18,IF(A19&lt;'Données projet'!$A$62,$AF$205^A19,IF(A19='Données projet'!$A$62,'Données projet'!$B$62,AI18+AH19-AQ18)))</f>
        <v>93.123171702524758</v>
      </c>
      <c r="AJ19" s="13">
        <f>AI19*VLOOKUP('Données projet'!$B$10,Paramètres!$A$1:$I$89,3,0)*VLOOKUP('Données projet'!$B$10,Paramètres!$A$1:$I$89,5,0)</f>
        <v>55.687656678109811</v>
      </c>
      <c r="AK19" s="13">
        <f t="shared" si="35"/>
        <v>16.073285805897523</v>
      </c>
      <c r="AL19" s="20">
        <f t="shared" si="4"/>
        <v>124.98364149297942</v>
      </c>
      <c r="AM19" s="59">
        <f t="shared" si="5"/>
        <v>331.92568741509348</v>
      </c>
      <c r="AN19" s="59">
        <f ca="1">AVERAGE(OFFSET($AM$3,0,0,'Données projet'!$E$10+1,1))-AVERAGE(OFFSET($H$3,0,0,'Données projet'!$E$10+1,1))</f>
        <v>318.6615972007902</v>
      </c>
      <c r="AO19" s="59">
        <f t="shared" si="36"/>
        <v>326.82168950869504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2.6</v>
      </c>
      <c r="BD19" s="12">
        <f>IF('Données projet'!$A$88&gt;35,BD18+BC19-BL18,IF(A19&lt;'Données projet'!$A$88,$BA$205^A19,IF(A19='Données projet'!$A$88,'Données projet'!$B$88,BD18+BC19-BL18)))</f>
        <v>7.8625202927657831</v>
      </c>
      <c r="BE19" s="13">
        <f>BD19*VLOOKUP('Données projet'!$B$11,Paramètres!$A$1:$I$89,3,0)*VLOOKUP('Données projet'!$B$11,Paramètres!$A$1:$I$89,5,0)</f>
        <v>7.9725955768645056</v>
      </c>
      <c r="BF19" s="13">
        <f t="shared" si="37"/>
        <v>2.8853970944906457</v>
      </c>
      <c r="BG19" s="20">
        <f t="shared" si="7"/>
        <v>18.911003902610222</v>
      </c>
      <c r="BH19" s="59">
        <f t="shared" si="8"/>
        <v>225.85304982472428</v>
      </c>
      <c r="BI19" s="59">
        <f ca="1">AVERAGE(OFFSET($BH$3,0,0,'Données projet'!$E$11+1,1))-AVERAGE(OFFSET($H$3,0,0,'Données projet'!$E$11+1,1))</f>
        <v>402.96916953216805</v>
      </c>
      <c r="BJ19" s="59">
        <f t="shared" si="38"/>
        <v>164.89273051331318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5.8890909090909096</v>
      </c>
      <c r="BY19" s="12">
        <f>IF('Données projet'!$A$114&gt;35,BY18+BX19-CG18,IF(A19&lt;'Données projet'!$A$114,$BV$205^A19,IF(A19='Données projet'!$A$114,'Données projet'!$B$114,BY18+BX19-CG18)))</f>
        <v>34.382899778126003</v>
      </c>
      <c r="BZ19" s="13">
        <f>BY19*VLOOKUP('Données projet'!$B$12,Paramètres!$A$1:$I$89,3,0)*VLOOKUP('Données projet'!$B$12,Paramètres!$A$1:$I$89,5,0)</f>
        <v>20.560974067319354</v>
      </c>
      <c r="CA19" s="13">
        <f t="shared" si="39"/>
        <v>6.6643449029146105</v>
      </c>
      <c r="CB19" s="20">
        <f t="shared" si="10"/>
        <v>47.417430539824153</v>
      </c>
      <c r="CC19" s="59">
        <f t="shared" si="11"/>
        <v>254.35947646193821</v>
      </c>
      <c r="CD19" s="59">
        <f ca="1">AVERAGE(OFFSET($CC$3,0,0,'Données projet'!$E$12+1,1))-AVERAGE(OFFSET($H$3,0,0,'Données projet'!$E$12+1,1))</f>
        <v>373.61861223558259</v>
      </c>
      <c r="CE19" s="59">
        <f t="shared" si="40"/>
        <v>277.62293009761049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5.0894117647058819</v>
      </c>
      <c r="N20" s="13">
        <f>IF('Données projet'!$A$36&gt;35,N19+M20-V19,IF(A20&lt;'Données projet'!$A$36,$K$205^A20,IF(A20='Données projet'!$A$36,'Données projet'!$B$36,N19+M20-V19)))</f>
        <v>13.154466921924275</v>
      </c>
      <c r="O20" s="13">
        <f>N20*VLOOKUP('Données projet'!$B$9,Paramètres!$A$1:$I$89,3,0)*VLOOKUP('Données projet'!$B$9,Paramètres!$A$1:$I$89,5,0)</f>
        <v>11.902161670957083</v>
      </c>
      <c r="P20" s="13">
        <f t="shared" si="33"/>
        <v>4.1112611244651047</v>
      </c>
      <c r="Q20" s="20">
        <f t="shared" si="2"/>
        <v>27.890044702026973</v>
      </c>
      <c r="R20" s="59">
        <f t="shared" si="0"/>
        <v>237.25616901789971</v>
      </c>
      <c r="S20" s="59">
        <f ca="1">AVERAGE(OFFSET($R$3,0,0,'Données projet'!$E$9+1,1))-AVERAGE(OFFSET($H$3,0,0,'Données projet'!$E$9+1,1))</f>
        <v>737.40414421611001</v>
      </c>
      <c r="T20" s="59">
        <f t="shared" si="34"/>
        <v>245.32893490531674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>
        <f>VLOOKUP(A20,'Données projet'!$A$61:$I$81,2,0)</f>
        <v>123.63</v>
      </c>
      <c r="AG20" s="12">
        <f>VLOOKUP(A20,'Données projet'!$A$61:$I$81,9,0)</f>
        <v>7.2723529411764707</v>
      </c>
      <c r="AH20" s="12">
        <f t="array" ref="AH20">INDEX(AG:AG,MIN(IF(ISNUMBER(AG20:AG216),ROW(AG20:AG216),"")))</f>
        <v>7.2723529411764707</v>
      </c>
      <c r="AI20" s="13">
        <f>IF('Données projet'!$A$62&gt;35,AI19+AH20-AQ19,IF(A20&lt;'Données projet'!$A$62,$AF$205^A20,IF(A20='Données projet'!$A$62,'Données projet'!$B$62,AI19+AH20-AQ19)))</f>
        <v>123.63</v>
      </c>
      <c r="AJ20" s="13">
        <f>AI20*VLOOKUP('Données projet'!$B$10,Paramètres!$A$1:$I$89,3,0)*VLOOKUP('Données projet'!$B$10,Paramètres!$A$1:$I$89,5,0)</f>
        <v>73.93074</v>
      </c>
      <c r="AK20" s="13">
        <f t="shared" si="35"/>
        <v>20.646473443351134</v>
      </c>
      <c r="AL20" s="20">
        <f t="shared" si="4"/>
        <v>164.72198008050322</v>
      </c>
      <c r="AM20" s="59">
        <f t="shared" si="5"/>
        <v>374.08810439637591</v>
      </c>
      <c r="AN20" s="59">
        <f ca="1">AVERAGE(OFFSET($AM$3,0,0,'Données projet'!$E$10+1,1))-AVERAGE(OFFSET($H$3,0,0,'Données projet'!$E$10+1,1))</f>
        <v>318.6615972007902</v>
      </c>
      <c r="AO20" s="59">
        <f t="shared" si="36"/>
        <v>326.82168950869504</v>
      </c>
      <c r="AP20" s="15">
        <f>IF(ISNA(VLOOKUP(A20,'Données projet'!$A$61:$I$81,3,0)),0,VLOOKUP(A20,'Données projet'!$A$61:$I$81,3,0))</f>
        <v>1</v>
      </c>
      <c r="AQ20" s="15">
        <f>IF(ISNA(VLOOKUP(A20,'Données projet'!$A$61:$I$81,4,0)),0,VLOOKUP(A20,'Données projet'!$A$61:$I$81,4,0))</f>
        <v>40.76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0.22500000000000001</v>
      </c>
      <c r="AT20" s="16">
        <f>IF(ISNA(VLOOKUP(A20,'Données projet'!$A$61:$I$81,7,0)),0%,VLOOKUP(A20,'Données projet'!$A$61:$I$81,7,0))</f>
        <v>0.5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7.2465764072429151</v>
      </c>
      <c r="AW20" s="21">
        <f>EXP(-LN(2)/2)*AW19+(1-EXP(-LN(2)/2))/(LN(2)/2)*AQ20*AT20*VLOOKUP('Données projet'!$B$10,Paramètres!$A$1:$I$89,3,0)*0.475*44/12</f>
        <v>13.798786745706444</v>
      </c>
      <c r="AX20" s="21">
        <f t="shared" si="6"/>
        <v>21.04536315294936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2.6</v>
      </c>
      <c r="BD20" s="12">
        <f>IF('Données projet'!$A$88&gt;35,BD19+BC20-BL19,IF(A20&lt;'Données projet'!$A$88,$BA$205^A20,IF(A20='Données projet'!$A$88,'Données projet'!$B$88,BD19+BC20-BL19)))</f>
        <v>8.9440535456753842</v>
      </c>
      <c r="BE20" s="13">
        <f>BD20*VLOOKUP('Données projet'!$B$11,Paramètres!$A$1:$I$89,3,0)*VLOOKUP('Données projet'!$B$11,Paramètres!$A$1:$I$89,5,0)</f>
        <v>9.0692702953148405</v>
      </c>
      <c r="BF20" s="13">
        <f t="shared" si="37"/>
        <v>3.233426470851029</v>
      </c>
      <c r="BG20" s="20">
        <f t="shared" si="7"/>
        <v>21.427196867738889</v>
      </c>
      <c r="BH20" s="59">
        <f t="shared" si="8"/>
        <v>230.79332118361162</v>
      </c>
      <c r="BI20" s="59">
        <f ca="1">AVERAGE(OFFSET($BH$3,0,0,'Données projet'!$E$11+1,1))-AVERAGE(OFFSET($H$3,0,0,'Données projet'!$E$11+1,1))</f>
        <v>402.96916953216805</v>
      </c>
      <c r="BJ20" s="59">
        <f t="shared" si="38"/>
        <v>164.89273051331318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5.8890909090909096</v>
      </c>
      <c r="BY20" s="12">
        <f>IF('Données projet'!$A$114&gt;35,BY19+BX20-CG19,IF(A20&lt;'Données projet'!$A$114,$BV$205^A20,IF(A20='Données projet'!$A$114,'Données projet'!$B$114,BY19+BX20-CG19)))</f>
        <v>42.890776385274457</v>
      </c>
      <c r="BZ20" s="13">
        <f>BY20*VLOOKUP('Données projet'!$B$12,Paramètres!$A$1:$I$89,3,0)*VLOOKUP('Données projet'!$B$12,Paramètres!$A$1:$I$89,5,0)</f>
        <v>25.648684278394128</v>
      </c>
      <c r="CA20" s="13">
        <f t="shared" si="39"/>
        <v>8.1021817259143134</v>
      </c>
      <c r="CB20" s="20">
        <f t="shared" si="10"/>
        <v>58.782758290837201</v>
      </c>
      <c r="CC20" s="59">
        <f t="shared" si="11"/>
        <v>268.14888260670995</v>
      </c>
      <c r="CD20" s="59">
        <f ca="1">AVERAGE(OFFSET($CC$3,0,0,'Données projet'!$E$12+1,1))-AVERAGE(OFFSET($H$3,0,0,'Données projet'!$E$12+1,1))</f>
        <v>373.61861223558259</v>
      </c>
      <c r="CE20" s="59">
        <f t="shared" si="40"/>
        <v>277.62293009761049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5.0894117647058819</v>
      </c>
      <c r="N21" s="13">
        <f>IF('Données projet'!$A$36&gt;35,N20+M21-V20,IF(A21&lt;'Données projet'!$A$36,$K$205^A21,IF(A21='Données projet'!$A$36,'Données projet'!$B$36,N20+M21-V20)))</f>
        <v>15.307388040016111</v>
      </c>
      <c r="O21" s="13">
        <f>N21*VLOOKUP('Données projet'!$B$9,Paramètres!$A$1:$I$89,3,0)*VLOOKUP('Données projet'!$B$9,Paramètres!$A$1:$I$89,5,0)</f>
        <v>13.850124698606576</v>
      </c>
      <c r="P21" s="13">
        <f t="shared" si="33"/>
        <v>4.7004619307272835</v>
      </c>
      <c r="Q21" s="20">
        <f t="shared" si="2"/>
        <v>32.30893837942314</v>
      </c>
      <c r="R21" s="59">
        <f t="shared" si="0"/>
        <v>244.07829157142623</v>
      </c>
      <c r="S21" s="59">
        <f ca="1">AVERAGE(OFFSET($R$3,0,0,'Données projet'!$E$9+1,1))-AVERAGE(OFFSET($H$3,0,0,'Données projet'!$E$9+1,1))</f>
        <v>737.40414421611001</v>
      </c>
      <c r="T21" s="59">
        <f t="shared" si="34"/>
        <v>245.32893490531674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17.723333333333333</v>
      </c>
      <c r="AI21" s="13">
        <f>IF('Données projet'!$A$62&gt;35,AI20+AH21-AQ20,IF(A21&lt;'Données projet'!$A$62,$AF$205^A21,IF(A21='Données projet'!$A$62,'Données projet'!$B$62,AI20+AH21-AQ20)))</f>
        <v>100.59333333333333</v>
      </c>
      <c r="AJ21" s="13">
        <f>AI21*VLOOKUP('Données projet'!$B$10,Paramètres!$A$1:$I$89,3,0)*VLOOKUP('Données projet'!$B$10,Paramètres!$A$1:$I$89,5,0)</f>
        <v>60.154813333333337</v>
      </c>
      <c r="AK21" s="13">
        <f t="shared" si="35"/>
        <v>17.207404808204505</v>
      </c>
      <c r="AL21" s="20">
        <f t="shared" si="4"/>
        <v>134.73919659651173</v>
      </c>
      <c r="AM21" s="59">
        <f t="shared" si="5"/>
        <v>346.50854978851487</v>
      </c>
      <c r="AN21" s="59">
        <f ca="1">AVERAGE(OFFSET($AM$3,0,0,'Données projet'!$E$10+1,1))-AVERAGE(OFFSET($H$3,0,0,'Données projet'!$E$10+1,1))</f>
        <v>318.6615972007902</v>
      </c>
      <c r="AO21" s="59">
        <f t="shared" si="36"/>
        <v>326.82168950869504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7.0484183943059664</v>
      </c>
      <c r="AW21" s="21">
        <f>EXP(-LN(2)/2)*AW20+(1-EXP(-LN(2)/2))/(LN(2)/2)*AQ21*AT21*VLOOKUP('Données projet'!$B$10,Paramètres!$A$1:$I$89,3,0)*0.475*44/12</f>
        <v>9.7572156800360794</v>
      </c>
      <c r="AX21" s="21">
        <f t="shared" si="6"/>
        <v>16.805634074342045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2.6</v>
      </c>
      <c r="BD21" s="12">
        <f>IF('Données projet'!$A$88&gt;35,BD20+BC21-BL20,IF(A21&lt;'Données projet'!$A$88,$BA$205^A21,IF(A21='Données projet'!$A$88,'Données projet'!$B$88,BD20+BC21-BL20)))</f>
        <v>10.174357693106616</v>
      </c>
      <c r="BE21" s="13">
        <f>BD21*VLOOKUP('Données projet'!$B$11,Paramètres!$A$1:$I$89,3,0)*VLOOKUP('Données projet'!$B$11,Paramètres!$A$1:$I$89,5,0)</f>
        <v>10.316798700810109</v>
      </c>
      <c r="BF21" s="13">
        <f t="shared" si="37"/>
        <v>3.6234342795876939</v>
      </c>
      <c r="BG21" s="20">
        <f t="shared" si="7"/>
        <v>24.27923910752617</v>
      </c>
      <c r="BH21" s="59">
        <f t="shared" si="8"/>
        <v>236.04859229952928</v>
      </c>
      <c r="BI21" s="59">
        <f ca="1">AVERAGE(OFFSET($BH$3,0,0,'Données projet'!$E$11+1,1))-AVERAGE(OFFSET($H$3,0,0,'Données projet'!$E$11+1,1))</f>
        <v>402.96916953216805</v>
      </c>
      <c r="BJ21" s="59">
        <f t="shared" si="38"/>
        <v>164.89273051331318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5.8890909090909096</v>
      </c>
      <c r="BY21" s="12">
        <f>IF('Données projet'!$A$114&gt;35,BY20+BX21-CG20,IF(A21&lt;'Données projet'!$A$114,$BV$205^A21,IF(A21='Données projet'!$A$114,'Données projet'!$B$114,BY20+BX21-CG20)))</f>
        <v>53.503884512438958</v>
      </c>
      <c r="BZ21" s="13">
        <f>BY21*VLOOKUP('Données projet'!$B$12,Paramètres!$A$1:$I$89,3,0)*VLOOKUP('Données projet'!$B$12,Paramètres!$A$1:$I$89,5,0)</f>
        <v>31.995322938438498</v>
      </c>
      <c r="CA21" s="13">
        <f t="shared" si="39"/>
        <v>9.8502327949788757</v>
      </c>
      <c r="CB21" s="20">
        <f t="shared" si="10"/>
        <v>72.881009569035243</v>
      </c>
      <c r="CC21" s="59">
        <f t="shared" si="11"/>
        <v>284.65036276103837</v>
      </c>
      <c r="CD21" s="59">
        <f ca="1">AVERAGE(OFFSET($CC$3,0,0,'Données projet'!$E$12+1,1))-AVERAGE(OFFSET($H$3,0,0,'Données projet'!$E$12+1,1))</f>
        <v>373.61861223558259</v>
      </c>
      <c r="CE21" s="59">
        <f t="shared" si="40"/>
        <v>277.62293009761049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5.0894117647058819</v>
      </c>
      <c r="N22" s="13">
        <f>IF('Données projet'!$A$36&gt;35,N21+M22-V21,IF(A22&lt;'Données projet'!$A$36,$K$205^A22,IF(A22='Données projet'!$A$36,'Données projet'!$B$36,N21+M22-V21)))</f>
        <v>17.812666221927888</v>
      </c>
      <c r="O22" s="13">
        <f>N22*VLOOKUP('Données projet'!$B$9,Paramètres!$A$1:$I$89,3,0)*VLOOKUP('Données projet'!$B$9,Paramètres!$A$1:$I$89,5,0)</f>
        <v>16.11690039760035</v>
      </c>
      <c r="P22" s="13">
        <f t="shared" si="33"/>
        <v>5.374103393904722</v>
      </c>
      <c r="Q22" s="20">
        <f t="shared" si="2"/>
        <v>37.430164936871329</v>
      </c>
      <c r="R22" s="59">
        <f t="shared" si="0"/>
        <v>251.58225917989486</v>
      </c>
      <c r="S22" s="59">
        <f ca="1">AVERAGE(OFFSET($R$3,0,0,'Données projet'!$E$9+1,1))-AVERAGE(OFFSET($H$3,0,0,'Données projet'!$E$9+1,1))</f>
        <v>737.40414421611001</v>
      </c>
      <c r="T22" s="59">
        <f t="shared" si="34"/>
        <v>245.32893490531674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17.723333333333333</v>
      </c>
      <c r="AI22" s="13">
        <f>IF('Données projet'!$A$62&gt;35,AI21+AH22-AQ21,IF(A22&lt;'Données projet'!$A$62,$AF$205^A22,IF(A22='Données projet'!$A$62,'Données projet'!$B$62,AI21+AH22-AQ21)))</f>
        <v>118.31666666666666</v>
      </c>
      <c r="AJ22" s="13">
        <f>AI22*VLOOKUP('Données projet'!$B$10,Paramètres!$A$1:$I$89,3,0)*VLOOKUP('Données projet'!$B$10,Paramètres!$A$1:$I$89,5,0)</f>
        <v>70.753366666666665</v>
      </c>
      <c r="AK22" s="13">
        <f t="shared" si="35"/>
        <v>19.860428347269767</v>
      </c>
      <c r="AL22" s="20">
        <f t="shared" si="4"/>
        <v>157.81902631593928</v>
      </c>
      <c r="AM22" s="59">
        <f t="shared" si="5"/>
        <v>371.97112055896281</v>
      </c>
      <c r="AN22" s="59">
        <f ca="1">AVERAGE(OFFSET($AM$3,0,0,'Données projet'!$E$10+1,1))-AVERAGE(OFFSET($H$3,0,0,'Données projet'!$E$10+1,1))</f>
        <v>318.6615972007902</v>
      </c>
      <c r="AO22" s="59">
        <f t="shared" si="36"/>
        <v>326.82168950869504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6.8556790226534554</v>
      </c>
      <c r="AW22" s="21">
        <f>EXP(-LN(2)/2)*AW21+(1-EXP(-LN(2)/2))/(LN(2)/2)*AQ22*AT22*VLOOKUP('Données projet'!$B$10,Paramètres!$A$1:$I$89,3,0)*0.475*44/12</f>
        <v>6.8993933728532228</v>
      </c>
      <c r="AX22" s="21">
        <f t="shared" si="6"/>
        <v>13.755072395506678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2.6</v>
      </c>
      <c r="BD22" s="12">
        <f>IF('Données projet'!$A$88&gt;35,BD21+BC22-BL21,IF(A22&lt;'Données projet'!$A$88,$BA$205^A22,IF(A22='Données projet'!$A$88,'Données projet'!$B$88,BD21+BC22-BL21)))</f>
        <v>11.573896996326729</v>
      </c>
      <c r="BE22" s="13">
        <f>BD22*VLOOKUP('Données projet'!$B$11,Paramètres!$A$1:$I$89,3,0)*VLOOKUP('Données projet'!$B$11,Paramètres!$A$1:$I$89,5,0)</f>
        <v>11.735931554275304</v>
      </c>
      <c r="BF22" s="13">
        <f t="shared" si="37"/>
        <v>4.0604838541559918</v>
      </c>
      <c r="BG22" s="20">
        <f t="shared" si="7"/>
        <v>27.512090169684502</v>
      </c>
      <c r="BH22" s="59">
        <f t="shared" si="8"/>
        <v>241.66418441270804</v>
      </c>
      <c r="BI22" s="59">
        <f ca="1">AVERAGE(OFFSET($BH$3,0,0,'Données projet'!$E$11+1,1))-AVERAGE(OFFSET($H$3,0,0,'Données projet'!$E$11+1,1))</f>
        <v>402.96916953216805</v>
      </c>
      <c r="BJ22" s="59">
        <f t="shared" si="38"/>
        <v>164.89273051331318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5.8890909090909096</v>
      </c>
      <c r="BY22" s="12">
        <f>IF('Données projet'!$A$114&gt;35,BY21+BX22-CG21,IF(A22&lt;'Données projet'!$A$114,$BV$205^A22,IF(A22='Données projet'!$A$114,'Données projet'!$B$114,BY21+BX22-CG21)))</f>
        <v>66.743153171347927</v>
      </c>
      <c r="BZ22" s="13">
        <f>BY22*VLOOKUP('Données projet'!$B$12,Paramètres!$A$1:$I$89,3,0)*VLOOKUP('Données projet'!$B$12,Paramètres!$A$1:$I$89,5,0)</f>
        <v>39.912405596466066</v>
      </c>
      <c r="CA22" s="13">
        <f t="shared" si="39"/>
        <v>11.975427038984135</v>
      </c>
      <c r="CB22" s="20">
        <f t="shared" si="10"/>
        <v>90.371308506742437</v>
      </c>
      <c r="CC22" s="59">
        <f t="shared" si="11"/>
        <v>304.52340274976598</v>
      </c>
      <c r="CD22" s="59">
        <f ca="1">AVERAGE(OFFSET($CC$3,0,0,'Données projet'!$E$12+1,1))-AVERAGE(OFFSET($H$3,0,0,'Données projet'!$E$12+1,1))</f>
        <v>373.61861223558259</v>
      </c>
      <c r="CE22" s="59">
        <f t="shared" si="40"/>
        <v>277.62293009761049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5.0894117647058819</v>
      </c>
      <c r="N23" s="13">
        <f>IF('Données projet'!$A$36&gt;35,N22+M23-V22,IF(A23&lt;'Données projet'!$A$36,$K$205^A23,IF(A23='Données projet'!$A$36,'Données projet'!$B$36,N22+M23-V22)))</f>
        <v>20.727969860328756</v>
      </c>
      <c r="O23" s="13">
        <f>N23*VLOOKUP('Données projet'!$B$9,Paramètres!$A$1:$I$89,3,0)*VLOOKUP('Données projet'!$B$9,Paramètres!$A$1:$I$89,5,0)</f>
        <v>18.754667129625457</v>
      </c>
      <c r="P23" s="13">
        <f t="shared" si="33"/>
        <v>6.1442870326384318</v>
      </c>
      <c r="Q23" s="20">
        <f t="shared" si="2"/>
        <v>43.365678499276271</v>
      </c>
      <c r="R23" s="59">
        <f t="shared" si="0"/>
        <v>259.88038138617196</v>
      </c>
      <c r="S23" s="59">
        <f ca="1">AVERAGE(OFFSET($R$3,0,0,'Données projet'!$E$9+1,1))-AVERAGE(OFFSET($H$3,0,0,'Données projet'!$E$9+1,1))</f>
        <v>737.40414421611001</v>
      </c>
      <c r="T23" s="59">
        <f t="shared" si="34"/>
        <v>245.32893490531674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17.723333333333333</v>
      </c>
      <c r="AI23" s="13">
        <f>IF('Données projet'!$A$62&gt;35,AI22+AH23-AQ22,IF(A23&lt;'Données projet'!$A$62,$AF$205^A23,IF(A23='Données projet'!$A$62,'Données projet'!$B$62,AI22+AH23-AQ22)))</f>
        <v>136.04</v>
      </c>
      <c r="AJ23" s="13">
        <f>AI23*VLOOKUP('Données projet'!$B$10,Paramètres!$A$1:$I$89,3,0)*VLOOKUP('Données projet'!$B$10,Paramètres!$A$1:$I$89,5,0)</f>
        <v>81.351920000000007</v>
      </c>
      <c r="AK23" s="13">
        <f t="shared" si="35"/>
        <v>22.467412518703416</v>
      </c>
      <c r="AL23" s="20">
        <f t="shared" si="4"/>
        <v>180.81867080340842</v>
      </c>
      <c r="AM23" s="59">
        <f t="shared" si="5"/>
        <v>397.33337369030414</v>
      </c>
      <c r="AN23" s="59">
        <f ca="1">AVERAGE(OFFSET($AM$3,0,0,'Données projet'!$E$10+1,1))-AVERAGE(OFFSET($H$3,0,0,'Données projet'!$E$10+1,1))</f>
        <v>318.6615972007902</v>
      </c>
      <c r="AO23" s="59">
        <f t="shared" si="36"/>
        <v>326.82168950869504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6.668210119254506</v>
      </c>
      <c r="AW23" s="21">
        <f>EXP(-LN(2)/2)*AW22+(1-EXP(-LN(2)/2))/(LN(2)/2)*AQ23*AT23*VLOOKUP('Données projet'!$B$10,Paramètres!$A$1:$I$89,3,0)*0.475*44/12</f>
        <v>4.8786078400180406</v>
      </c>
      <c r="AX23" s="21">
        <f t="shared" si="6"/>
        <v>11.546817959272547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2.6</v>
      </c>
      <c r="BD23" s="12">
        <f>IF('Données projet'!$A$88&gt;35,BD22+BC23-BL22,IF(A23&lt;'Données projet'!$A$88,$BA$205^A23,IF(A23='Données projet'!$A$88,'Données projet'!$B$88,BD22+BC23-BL22)))</f>
        <v>13.165950689185898</v>
      </c>
      <c r="BE23" s="13">
        <f>BD23*VLOOKUP('Données projet'!$B$11,Paramètres!$A$1:$I$89,3,0)*VLOOKUP('Données projet'!$B$11,Paramètres!$A$1:$I$89,5,0)</f>
        <v>13.350273998834501</v>
      </c>
      <c r="BF23" s="13">
        <f t="shared" si="37"/>
        <v>4.5502492546208373</v>
      </c>
      <c r="BG23" s="20">
        <f t="shared" si="7"/>
        <v>31.176744666434715</v>
      </c>
      <c r="BH23" s="59">
        <f t="shared" si="8"/>
        <v>247.69144755333042</v>
      </c>
      <c r="BI23" s="59">
        <f ca="1">AVERAGE(OFFSET($BH$3,0,0,'Données projet'!$E$11+1,1))-AVERAGE(OFFSET($H$3,0,0,'Données projet'!$E$11+1,1))</f>
        <v>402.96916953216805</v>
      </c>
      <c r="BJ23" s="59">
        <f t="shared" si="38"/>
        <v>164.89273051331318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5.8890909090909096</v>
      </c>
      <c r="BY23" s="12">
        <f>IF('Données projet'!$A$114&gt;35,BY22+BX23-CG22,IF(A23&lt;'Données projet'!$A$114,$BV$205^A23,IF(A23='Données projet'!$A$114,'Données projet'!$B$114,BY22+BX23-CG22)))</f>
        <v>83.25841265260587</v>
      </c>
      <c r="BZ23" s="13">
        <f>BY23*VLOOKUP('Données projet'!$B$12,Paramètres!$A$1:$I$89,3,0)*VLOOKUP('Données projet'!$B$12,Paramètres!$A$1:$I$89,5,0)</f>
        <v>49.788530766258319</v>
      </c>
      <c r="CA23" s="13">
        <f t="shared" si="39"/>
        <v>14.559133347501747</v>
      </c>
      <c r="CB23" s="20">
        <f t="shared" si="10"/>
        <v>112.07218166479875</v>
      </c>
      <c r="CC23" s="59">
        <f t="shared" si="11"/>
        <v>328.58688455169448</v>
      </c>
      <c r="CD23" s="59">
        <f ca="1">AVERAGE(OFFSET($CC$3,0,0,'Données projet'!$E$12+1,1))-AVERAGE(OFFSET($H$3,0,0,'Données projet'!$E$12+1,1))</f>
        <v>373.61861223558259</v>
      </c>
      <c r="CE23" s="59">
        <f t="shared" si="40"/>
        <v>277.62293009761049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5.0894117647058819</v>
      </c>
      <c r="N24" s="13">
        <f>IF('Données projet'!$A$36&gt;35,N23+M24-V23,IF(A24&lt;'Données projet'!$A$36,$K$205^A24,IF(A24='Données projet'!$A$36,'Données projet'!$B$36,N23+M24-V23)))</f>
        <v>24.120405624722682</v>
      </c>
      <c r="O24" s="13">
        <f>N24*VLOOKUP('Données projet'!$B$9,Paramètres!$A$1:$I$89,3,0)*VLOOKUP('Données projet'!$B$9,Paramètres!$A$1:$I$89,5,0)</f>
        <v>21.824143009249081</v>
      </c>
      <c r="P24" s="13">
        <f t="shared" si="33"/>
        <v>7.0248486812269384</v>
      </c>
      <c r="Q24" s="20">
        <f t="shared" si="2"/>
        <v>50.245327194245732</v>
      </c>
      <c r="R24" s="59">
        <f t="shared" si="0"/>
        <v>269.10285557012014</v>
      </c>
      <c r="S24" s="59">
        <f ca="1">AVERAGE(OFFSET($R$3,0,0,'Données projet'!$E$9+1,1))-AVERAGE(OFFSET($H$3,0,0,'Données projet'!$E$9+1,1))</f>
        <v>737.40414421611001</v>
      </c>
      <c r="T24" s="59">
        <f t="shared" si="34"/>
        <v>245.32893490531674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17.723333333333333</v>
      </c>
      <c r="AI24" s="13">
        <f>IF('Données projet'!$A$62&gt;35,AI23+AH24-AQ23,IF(A24&lt;'Données projet'!$A$62,$AF$205^A24,IF(A24='Données projet'!$A$62,'Données projet'!$B$62,AI23+AH24-AQ23)))</f>
        <v>153.76333333333332</v>
      </c>
      <c r="AJ24" s="13">
        <f>AI24*VLOOKUP('Données projet'!$B$10,Paramètres!$A$1:$I$89,3,0)*VLOOKUP('Données projet'!$B$10,Paramètres!$A$1:$I$89,5,0)</f>
        <v>91.950473333333335</v>
      </c>
      <c r="AK24" s="13">
        <f t="shared" si="35"/>
        <v>25.035043598101286</v>
      </c>
      <c r="AL24" s="20">
        <f t="shared" si="4"/>
        <v>203.74977532224861</v>
      </c>
      <c r="AM24" s="59">
        <f t="shared" si="5"/>
        <v>422.60730369812302</v>
      </c>
      <c r="AN24" s="59">
        <f ca="1">AVERAGE(OFFSET($AM$3,0,0,'Données projet'!$E$10+1,1))-AVERAGE(OFFSET($H$3,0,0,'Données projet'!$E$10+1,1))</f>
        <v>318.6615972007902</v>
      </c>
      <c r="AO24" s="59">
        <f t="shared" si="36"/>
        <v>326.82168950869504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6.4858675628775622</v>
      </c>
      <c r="AW24" s="21">
        <f>EXP(-LN(2)/2)*AW23+(1-EXP(-LN(2)/2))/(LN(2)/2)*AQ24*AT24*VLOOKUP('Données projet'!$B$10,Paramètres!$A$1:$I$89,3,0)*0.475*44/12</f>
        <v>3.4496966864266123</v>
      </c>
      <c r="AX24" s="21">
        <f t="shared" si="6"/>
        <v>9.9355642493041749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2.6</v>
      </c>
      <c r="BD24" s="12">
        <f>IF('Données projet'!$A$88&gt;35,BD23+BC24-BL23,IF(A24&lt;'Données projet'!$A$88,$BA$205^A24,IF(A24='Données projet'!$A$88,'Données projet'!$B$88,BD23+BC24-BL23)))</f>
        <v>14.977000193201063</v>
      </c>
      <c r="BE24" s="13">
        <f>BD24*VLOOKUP('Données projet'!$B$11,Paramètres!$A$1:$I$89,3,0)*VLOOKUP('Données projet'!$B$11,Paramètres!$A$1:$I$89,5,0)</f>
        <v>15.186678195905881</v>
      </c>
      <c r="BF24" s="13">
        <f t="shared" si="37"/>
        <v>5.0990889319719166</v>
      </c>
      <c r="BG24" s="20">
        <f t="shared" si="7"/>
        <v>35.331044414387158</v>
      </c>
      <c r="BH24" s="59">
        <f t="shared" si="8"/>
        <v>254.18857279026153</v>
      </c>
      <c r="BI24" s="59">
        <f ca="1">AVERAGE(OFFSET($BH$3,0,0,'Données projet'!$E$11+1,1))-AVERAGE(OFFSET($H$3,0,0,'Données projet'!$E$11+1,1))</f>
        <v>402.96916953216805</v>
      </c>
      <c r="BJ24" s="59">
        <f t="shared" si="38"/>
        <v>164.89273051331318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5.8890909090909096</v>
      </c>
      <c r="BY24" s="12">
        <f>IF('Données projet'!$A$114&gt;35,BY23+BX24-CG23,IF(A24&lt;'Données projet'!$A$114,$BV$205^A24,IF(A24='Données projet'!$A$114,'Données projet'!$B$114,BY23+BX24-CG23)))</f>
        <v>103.86029050253822</v>
      </c>
      <c r="BZ24" s="13">
        <f>BY24*VLOOKUP('Données projet'!$B$12,Paramètres!$A$1:$I$89,3,0)*VLOOKUP('Données projet'!$B$12,Paramètres!$A$1:$I$89,5,0)</f>
        <v>62.108453720517858</v>
      </c>
      <c r="CA24" s="13">
        <f t="shared" si="39"/>
        <v>17.700276001875135</v>
      </c>
      <c r="CB24" s="20">
        <f t="shared" si="10"/>
        <v>139.00020426650113</v>
      </c>
      <c r="CC24" s="59">
        <f t="shared" si="11"/>
        <v>357.85773264237548</v>
      </c>
      <c r="CD24" s="59">
        <f ca="1">AVERAGE(OFFSET($CC$3,0,0,'Données projet'!$E$12+1,1))-AVERAGE(OFFSET($H$3,0,0,'Données projet'!$E$12+1,1))</f>
        <v>373.61861223558259</v>
      </c>
      <c r="CE24" s="59">
        <f t="shared" si="40"/>
        <v>277.62293009761049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5.0894117647058819</v>
      </c>
      <c r="N25" s="13">
        <f>IF('Données projet'!$A$36&gt;35,N24+M25-V24,IF(A25&lt;'Données projet'!$A$36,$K$205^A25,IF(A25='Données projet'!$A$36,'Données projet'!$B$36,N24+M25-V24)))</f>
        <v>28.068063173646774</v>
      </c>
      <c r="O25" s="13">
        <f>N25*VLOOKUP('Données projet'!$B$9,Paramètres!$A$1:$I$89,3,0)*VLOOKUP('Données projet'!$B$9,Paramètres!$A$1:$I$89,5,0)</f>
        <v>25.395983559515599</v>
      </c>
      <c r="P25" s="13">
        <f t="shared" si="33"/>
        <v>8.0316070411419194</v>
      </c>
      <c r="Q25" s="20">
        <f t="shared" si="2"/>
        <v>58.219720296145177</v>
      </c>
      <c r="R25" s="59">
        <f t="shared" si="0"/>
        <v>279.40063419961359</v>
      </c>
      <c r="S25" s="59">
        <f ca="1">AVERAGE(OFFSET($R$3,0,0,'Données projet'!$E$9+1,1))-AVERAGE(OFFSET($H$3,0,0,'Données projet'!$E$9+1,1))</f>
        <v>737.40414421611001</v>
      </c>
      <c r="T25" s="59">
        <f t="shared" si="34"/>
        <v>245.32893490531674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17.723333333333333</v>
      </c>
      <c r="AI25" s="13">
        <f>IF('Données projet'!$A$62&gt;35,AI24+AH25-AQ24,IF(A25&lt;'Données projet'!$A$62,$AF$205^A25,IF(A25='Données projet'!$A$62,'Données projet'!$B$62,AI24+AH25-AQ24)))</f>
        <v>171.48666666666665</v>
      </c>
      <c r="AJ25" s="13">
        <f>AI25*VLOOKUP('Données projet'!$B$10,Paramètres!$A$1:$I$89,3,0)*VLOOKUP('Données projet'!$B$10,Paramètres!$A$1:$I$89,5,0)</f>
        <v>102.54902666666666</v>
      </c>
      <c r="AK25" s="13">
        <f t="shared" si="35"/>
        <v>27.568375527731654</v>
      </c>
      <c r="AL25" s="20">
        <f t="shared" si="4"/>
        <v>226.62114215524375</v>
      </c>
      <c r="AM25" s="59">
        <f t="shared" si="5"/>
        <v>447.80205605871214</v>
      </c>
      <c r="AN25" s="59">
        <f ca="1">AVERAGE(OFFSET($AM$3,0,0,'Données projet'!$E$10+1,1))-AVERAGE(OFFSET($H$3,0,0,'Données projet'!$E$10+1,1))</f>
        <v>318.6615972007902</v>
      </c>
      <c r="AO25" s="59">
        <f t="shared" si="36"/>
        <v>326.82168950869504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6.3085111732937236</v>
      </c>
      <c r="AW25" s="21">
        <f>EXP(-LN(2)/2)*AW24+(1-EXP(-LN(2)/2))/(LN(2)/2)*AQ25*AT25*VLOOKUP('Données projet'!$B$10,Paramètres!$A$1:$I$89,3,0)*0.475*44/12</f>
        <v>2.4393039200090207</v>
      </c>
      <c r="AX25" s="21">
        <f t="shared" si="6"/>
        <v>8.7478150933027443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2.6</v>
      </c>
      <c r="BD25" s="12">
        <f>IF('Données projet'!$A$88&gt;35,BD24+BC25-BL24,IF(A25&lt;'Données projet'!$A$88,$BA$205^A25,IF(A25='Données projet'!$A$88,'Données projet'!$B$88,BD24+BC25-BL24)))</f>
        <v>17.037169596221137</v>
      </c>
      <c r="BE25" s="13">
        <f>BD25*VLOOKUP('Données projet'!$B$11,Paramètres!$A$1:$I$89,3,0)*VLOOKUP('Données projet'!$B$11,Paramètres!$A$1:$I$89,5,0)</f>
        <v>17.275689970568234</v>
      </c>
      <c r="BF25" s="13">
        <f t="shared" si="37"/>
        <v>5.7141282776442308</v>
      </c>
      <c r="BG25" s="20">
        <f t="shared" si="7"/>
        <v>40.040600115636714</v>
      </c>
      <c r="BH25" s="59">
        <f t="shared" si="8"/>
        <v>261.22151401910509</v>
      </c>
      <c r="BI25" s="59">
        <f ca="1">AVERAGE(OFFSET($BH$3,0,0,'Données projet'!$E$11+1,1))-AVERAGE(OFFSET($H$3,0,0,'Données projet'!$E$11+1,1))</f>
        <v>402.96916953216805</v>
      </c>
      <c r="BJ25" s="59">
        <f t="shared" si="38"/>
        <v>164.89273051331318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>
        <f>VLOOKUP(A25,'Données projet'!$A$113:$I$133,2,0)</f>
        <v>129.56</v>
      </c>
      <c r="BW25" s="12">
        <f>VLOOKUP(A25,'Données projet'!$A$113:$I$133,9,0)</f>
        <v>5.8890909090909096</v>
      </c>
      <c r="BX25" s="12">
        <f t="array" ref="BX25">INDEX(BW:BW,MIN(IF(ISNUMBER(BW25:BW221),ROW(BW25:BW221),"")))</f>
        <v>5.8890909090909096</v>
      </c>
      <c r="BY25" s="12">
        <f>IF('Données projet'!$A$114&gt;35,BY24+BX25-CG24,IF(A25&lt;'Données projet'!$A$114,$BV$205^A25,IF(A25='Données projet'!$A$114,'Données projet'!$B$114,BY24+BX25-CG24)))</f>
        <v>129.56</v>
      </c>
      <c r="BZ25" s="13">
        <f>BY25*VLOOKUP('Données projet'!$B$12,Paramètres!$A$1:$I$89,3,0)*VLOOKUP('Données projet'!$B$12,Paramètres!$A$1:$I$89,5,0)</f>
        <v>77.476880000000008</v>
      </c>
      <c r="CA25" s="13">
        <f t="shared" si="39"/>
        <v>21.519122262611628</v>
      </c>
      <c r="CB25" s="20">
        <f t="shared" si="10"/>
        <v>172.4180372740486</v>
      </c>
      <c r="CC25" s="59">
        <f t="shared" si="11"/>
        <v>393.59895117751699</v>
      </c>
      <c r="CD25" s="59">
        <f ca="1">AVERAGE(OFFSET($CC$3,0,0,'Données projet'!$E$12+1,1))-AVERAGE(OFFSET($H$3,0,0,'Données projet'!$E$12+1,1))</f>
        <v>373.61861223558259</v>
      </c>
      <c r="CE25" s="59">
        <f t="shared" si="40"/>
        <v>277.62293009761049</v>
      </c>
      <c r="CF25" s="15">
        <f>IF(ISNA(VLOOKUP(A25,'Données projet'!$A$113:$I$133,3,0)),0,VLOOKUP(A25,'Données projet'!$A$113:$I$133,3,0))</f>
        <v>1</v>
      </c>
      <c r="CG25" s="15">
        <f>IF(ISNA(VLOOKUP(A25,'Données projet'!$A$113:$I$133,4,0)),0,VLOOKUP(A25,'Données projet'!$A$113:$I$133,4,0))</f>
        <v>52.620000000000005</v>
      </c>
      <c r="CH25" s="16">
        <f>IF(ISNA(VLOOKUP(A25,'Données projet'!$A$113:$I$133,5,0)),0%,VLOOKUP(A25,'Données projet'!$A$113:$I$133,5,0)*VLOOKUP('Données projet'!$B$12,Paramètres!$A$1:$I$89,7,0))</f>
        <v>0.1125</v>
      </c>
      <c r="CI25" s="16">
        <f>IF(ISNA(VLOOKUP(A25,'Données projet'!$A$113:$I$133,6,0)),0%,VLOOKUP(A25,'Données projet'!$A$113:$I$133,6,0)*VLOOKUP('Données projet'!$B$12,Paramètres!$A$1:$I$89,7,0))</f>
        <v>0.16650000000000001</v>
      </c>
      <c r="CJ25" s="16">
        <f>IF(ISNA(VLOOKUP(A25,'Données projet'!$A$113:$I$133,7,0)),0%,VLOOKUP(A25,'Données projet'!$A$113:$I$133,7,0))</f>
        <v>0.38</v>
      </c>
      <c r="CK25" s="21">
        <f>EXP(-LN(2)/35)*CK24+(1-EXP(-LN(2)/35))/(LN(2)/35)*CG25*CH25*VLOOKUP('Données projet'!$B$12,Paramètres!$A$1:$I$89,3,0)*0.475*44/12</f>
        <v>4.6960521011827554</v>
      </c>
      <c r="CL25" s="21">
        <f>EXP(-LN(2)/25)*CL24+(1-EXP(-LN(2)/25))/(LN(2)/25)*Calculateur!CG25*Calculateur!CI25*VLOOKUP('Données projet'!$B$12,Paramètres!$A$1:$I$89,3,0)*0.475*44/12</f>
        <v>6.9227916929919147</v>
      </c>
      <c r="CM25" s="21">
        <f>EXP(-LN(2)/2)*CM24+(1-EXP(-LN(2)/2))/(LN(2)/2)*CG25*CJ25*VLOOKUP('Données projet'!$B$12,Paramètres!$A$1:$I$89,3,0)*0.475*44/12</f>
        <v>13.538519148795281</v>
      </c>
      <c r="CN25" s="22">
        <f t="shared" si="12"/>
        <v>25.15736294296995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5.0894117647058819</v>
      </c>
      <c r="N26" s="13">
        <f>IF('Données projet'!$A$36&gt;35,N25+M26-V25,IF(A26&lt;'Données projet'!$A$36,$K$205^A26,IF(A26='Données projet'!$A$36,'Données projet'!$B$36,N25+M26-V25)))</f>
        <v>32.66181268163826</v>
      </c>
      <c r="O26" s="13">
        <f>N26*VLOOKUP('Données projet'!$B$9,Paramètres!$A$1:$I$89,3,0)*VLOOKUP('Données projet'!$B$9,Paramètres!$A$1:$I$89,5,0)</f>
        <v>29.552408114346299</v>
      </c>
      <c r="P26" s="13">
        <f t="shared" si="33"/>
        <v>9.1826478534273477</v>
      </c>
      <c r="Q26" s="20">
        <f t="shared" si="2"/>
        <v>67.463555810539106</v>
      </c>
      <c r="R26" s="59">
        <f t="shared" si="0"/>
        <v>290.94875252008558</v>
      </c>
      <c r="S26" s="59">
        <f ca="1">AVERAGE(OFFSET($R$3,0,0,'Données projet'!$E$9+1,1))-AVERAGE(OFFSET($H$3,0,0,'Données projet'!$E$9+1,1))</f>
        <v>737.40414421611001</v>
      </c>
      <c r="T26" s="59">
        <f t="shared" si="34"/>
        <v>245.32893490531674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>
        <f>VLOOKUP(A26,'Données projet'!$A$61:$I$81,2,0)</f>
        <v>189.21</v>
      </c>
      <c r="AG26" s="12">
        <f>VLOOKUP(A26,'Données projet'!$A$61:$I$81,9,0)</f>
        <v>17.723333333333333</v>
      </c>
      <c r="AH26" s="12">
        <f t="array" ref="AH26">INDEX(AG:AG,MIN(IF(ISNUMBER(AG26:AG222),ROW(AG26:AG222),"")))</f>
        <v>17.723333333333333</v>
      </c>
      <c r="AI26" s="13">
        <f>IF('Données projet'!$A$62&gt;35,AI25+AH26-AQ25,IF(A26&lt;'Données projet'!$A$62,$AF$205^A26,IF(A26='Données projet'!$A$62,'Données projet'!$B$62,AI25+AH26-AQ25)))</f>
        <v>189.20999999999998</v>
      </c>
      <c r="AJ26" s="13">
        <f>AI26*VLOOKUP('Données projet'!$B$10,Paramètres!$A$1:$I$89,3,0)*VLOOKUP('Données projet'!$B$10,Paramètres!$A$1:$I$89,5,0)</f>
        <v>113.14757999999999</v>
      </c>
      <c r="AK26" s="13">
        <f t="shared" si="35"/>
        <v>30.071356907423628</v>
      </c>
      <c r="AL26" s="20">
        <f t="shared" si="4"/>
        <v>249.43964844709612</v>
      </c>
      <c r="AM26" s="59">
        <f t="shared" si="5"/>
        <v>472.92484515664262</v>
      </c>
      <c r="AN26" s="59">
        <f ca="1">AVERAGE(OFFSET($AM$3,0,0,'Données projet'!$E$10+1,1))-AVERAGE(OFFSET($H$3,0,0,'Données projet'!$E$10+1,1))</f>
        <v>318.6615972007902</v>
      </c>
      <c r="AO26" s="59">
        <f t="shared" si="36"/>
        <v>326.82168950869504</v>
      </c>
      <c r="AP26" s="15">
        <f>IF(ISNA(VLOOKUP(A26,'Données projet'!$A$61:$I$81,3,0)),0,VLOOKUP(A26,'Données projet'!$A$61:$I$81,3,0))</f>
        <v>2</v>
      </c>
      <c r="AQ26" s="15">
        <f>IF(ISNA(VLOOKUP(A26,'Données projet'!$A$61:$I$81,4,0)),0,VLOOKUP(A26,'Données projet'!$A$61:$I$81,4,0))</f>
        <v>57.75</v>
      </c>
      <c r="AR26" s="16">
        <f>IF(ISNA(VLOOKUP(A26,'Données projet'!$A$61:$I$81,5,0)),0%,VLOOKUP(A26,'Données projet'!$A$61:$I$81,5,0)*VLOOKUP('Données projet'!$B$10,Paramètres!$A$1:$I$89,7,0))</f>
        <v>0.1125</v>
      </c>
      <c r="AS26" s="16">
        <f>IF(ISNA(VLOOKUP(A26,'Données projet'!$A$61:$I$81,6,0)),0%,VLOOKUP(A26,'Données projet'!$A$61:$I$81,6,0)*VLOOKUP('Données projet'!$B$10,Paramètres!$A$1:$I$89,7,0))</f>
        <v>0.16650000000000001</v>
      </c>
      <c r="AT26" s="16">
        <f>IF(ISNA(VLOOKUP(A26,'Données projet'!$A$61:$I$81,7,0)),0%,VLOOKUP(A26,'Données projet'!$A$61:$I$81,7,0))</f>
        <v>0.38</v>
      </c>
      <c r="AU26" s="21">
        <f>EXP(-LN(2)/35)*AU25+(1-EXP(-LN(2)/35))/(LN(2)/35)*AQ26*AR26*VLOOKUP('Données projet'!$B$10,Paramètres!$A$1:$I$89,3,0)*0.475*44/12</f>
        <v>5.1538770209673901</v>
      </c>
      <c r="AV26" s="21">
        <f>EXP(-LN(2)/25)*AV25+(1-EXP(-LN(2)/25))/(LN(2)/25)*Calculateur!AQ26*Calculateur!AS26*VLOOKUP('Données projet'!$B$10,Paramètres!$A$1:$I$89,3,0)*0.475*44/12</f>
        <v>13.733709283674836</v>
      </c>
      <c r="AW26" s="21">
        <f>EXP(-LN(2)/2)*AW25+(1-EXP(-LN(2)/2))/(LN(2)/2)*AQ26*AT26*VLOOKUP('Données projet'!$B$10,Paramètres!$A$1:$I$89,3,0)*0.475*44/12</f>
        <v>16.583257329205846</v>
      </c>
      <c r="AX26" s="21">
        <f t="shared" si="6"/>
        <v>35.470843633848077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2.6</v>
      </c>
      <c r="BD26" s="12">
        <f>IF('Données projet'!$A$88&gt;35,BD25+BC26-BL25,IF(A26&lt;'Données projet'!$A$88,$BA$205^A26,IF(A26='Données projet'!$A$88,'Données projet'!$B$88,BD25+BC26-BL25)))</f>
        <v>19.38072672137443</v>
      </c>
      <c r="BE26" s="13">
        <f>BD26*VLOOKUP('Données projet'!$B$11,Paramètres!$A$1:$I$89,3,0)*VLOOKUP('Données projet'!$B$11,Paramètres!$A$1:$I$89,5,0)</f>
        <v>19.652056895473674</v>
      </c>
      <c r="BF26" s="13">
        <f t="shared" si="37"/>
        <v>6.4033521299552083</v>
      </c>
      <c r="BG26" s="20">
        <f t="shared" si="7"/>
        <v>45.379837385955305</v>
      </c>
      <c r="BH26" s="59">
        <f t="shared" si="8"/>
        <v>268.86503409550181</v>
      </c>
      <c r="BI26" s="59">
        <f ca="1">AVERAGE(OFFSET($BH$3,0,0,'Données projet'!$E$11+1,1))-AVERAGE(OFFSET($H$3,0,0,'Données projet'!$E$11+1,1))</f>
        <v>402.96916953216805</v>
      </c>
      <c r="BJ26" s="59">
        <f t="shared" si="38"/>
        <v>164.89273051331318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15.782</v>
      </c>
      <c r="BY26" s="12">
        <f>IF('Données projet'!$A$114&gt;35,BY25+BX26-CG25,IF(A26&lt;'Données projet'!$A$114,$BV$205^A26,IF(A26='Données projet'!$A$114,'Données projet'!$B$114,BY25+BX26-CG25)))</f>
        <v>92.722000000000008</v>
      </c>
      <c r="BZ26" s="13">
        <f>BY26*VLOOKUP('Données projet'!$B$12,Paramètres!$A$1:$I$89,3,0)*VLOOKUP('Données projet'!$B$12,Paramètres!$A$1:$I$89,5,0)</f>
        <v>55.447756000000005</v>
      </c>
      <c r="CA26" s="13">
        <f t="shared" si="39"/>
        <v>16.012087139856263</v>
      </c>
      <c r="CB26" s="20">
        <f t="shared" si="10"/>
        <v>124.45922680191636</v>
      </c>
      <c r="CC26" s="59">
        <f t="shared" si="11"/>
        <v>347.94442351146284</v>
      </c>
      <c r="CD26" s="59">
        <f ca="1">AVERAGE(OFFSET($CC$3,0,0,'Données projet'!$E$12+1,1))-AVERAGE(OFFSET($H$3,0,0,'Données projet'!$E$12+1,1))</f>
        <v>373.61861223558259</v>
      </c>
      <c r="CE26" s="59">
        <f t="shared" si="40"/>
        <v>277.62293009761049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4.6039653837875161</v>
      </c>
      <c r="CL26" s="21">
        <f>EXP(-LN(2)/25)*CL25+(1-EXP(-LN(2)/25))/(LN(2)/25)*Calculateur!CG26*Calculateur!CI26*VLOOKUP('Données projet'!$B$12,Paramètres!$A$1:$I$89,3,0)*0.475*44/12</f>
        <v>6.733487590093258</v>
      </c>
      <c r="CM26" s="21">
        <f>EXP(-LN(2)/2)*CM25+(1-EXP(-LN(2)/2))/(LN(2)/2)*CG26*CJ26*VLOOKUP('Données projet'!$B$12,Paramètres!$A$1:$I$89,3,0)*0.475*44/12</f>
        <v>9.5731786973370685</v>
      </c>
      <c r="CN26" s="22">
        <f t="shared" si="12"/>
        <v>20.910631671217843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5.0894117647058819</v>
      </c>
      <c r="N27" s="13">
        <f>IF('Données projet'!$A$36&gt;35,N26+M27-V26,IF(A27&lt;'Données projet'!$A$36,$K$205^A27,IF(A27='Données projet'!$A$36,'Données projet'!$B$36,N26+M27-V26)))</f>
        <v>38.007396557808917</v>
      </c>
      <c r="O27" s="13">
        <f>N27*VLOOKUP('Données projet'!$B$9,Paramètres!$A$1:$I$89,3,0)*VLOOKUP('Données projet'!$B$9,Paramètres!$A$1:$I$89,5,0)</f>
        <v>34.389092405505508</v>
      </c>
      <c r="P27" s="13">
        <f t="shared" si="33"/>
        <v>10.498648796949267</v>
      </c>
      <c r="Q27" s="20">
        <f t="shared" si="2"/>
        <v>78.179482594275399</v>
      </c>
      <c r="R27" s="59">
        <f t="shared" si="0"/>
        <v>303.95019077789522</v>
      </c>
      <c r="S27" s="59">
        <f ca="1">AVERAGE(OFFSET($R$3,0,0,'Données projet'!$E$9+1,1))-AVERAGE(OFFSET($H$3,0,0,'Données projet'!$E$9+1,1))</f>
        <v>737.40414421611001</v>
      </c>
      <c r="T27" s="59">
        <f t="shared" si="34"/>
        <v>245.32893490531674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18.574999999999999</v>
      </c>
      <c r="AI27" s="13">
        <f>IF('Données projet'!$A$62&gt;35,AI26+AH27-AQ26,IF(A27&lt;'Données projet'!$A$62,$AF$205^A27,IF(A27='Données projet'!$A$62,'Données projet'!$B$62,AI26+AH27-AQ26)))</f>
        <v>150.03499999999997</v>
      </c>
      <c r="AJ27" s="13">
        <f>AI27*VLOOKUP('Données projet'!$B$10,Paramètres!$A$1:$I$89,3,0)*VLOOKUP('Données projet'!$B$10,Paramètres!$A$1:$I$89,5,0)</f>
        <v>89.720929999999996</v>
      </c>
      <c r="AK27" s="13">
        <f t="shared" si="35"/>
        <v>24.497907869653854</v>
      </c>
      <c r="AL27" s="20">
        <f t="shared" si="4"/>
        <v>198.93114262298045</v>
      </c>
      <c r="AM27" s="59">
        <f t="shared" si="5"/>
        <v>424.70185080660025</v>
      </c>
      <c r="AN27" s="59">
        <f ca="1">AVERAGE(OFFSET($AM$3,0,0,'Données projet'!$E$10+1,1))-AVERAGE(OFFSET($H$3,0,0,'Données projet'!$E$10+1,1))</f>
        <v>318.6615972007902</v>
      </c>
      <c r="AO27" s="59">
        <f t="shared" si="36"/>
        <v>326.82168950869504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5.0528126361408026</v>
      </c>
      <c r="AV27" s="21">
        <f>EXP(-LN(2)/25)*AV26+(1-EXP(-LN(2)/25))/(LN(2)/25)*Calculateur!AQ27*Calculateur!AS27*VLOOKUP('Données projet'!$B$10,Paramètres!$A$1:$I$89,3,0)*0.475*44/12</f>
        <v>13.358160281088365</v>
      </c>
      <c r="AW27" s="21">
        <f>EXP(-LN(2)/2)*AW26+(1-EXP(-LN(2)/2))/(LN(2)/2)*AQ27*AT27*VLOOKUP('Données projet'!$B$10,Paramètres!$A$1:$I$89,3,0)*0.475*44/12</f>
        <v>11.726133711642969</v>
      </c>
      <c r="AX27" s="21">
        <f t="shared" si="6"/>
        <v>30.137106628872136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2.6</v>
      </c>
      <c r="BD27" s="12">
        <f>IF('Données projet'!$A$88&gt;35,BD26+BC27-BL26,IF(A27&lt;'Données projet'!$A$88,$BA$205^A27,IF(A27='Données projet'!$A$88,'Données projet'!$B$88,BD26+BC27-BL26)))</f>
        <v>22.046653120827543</v>
      </c>
      <c r="BE27" s="13">
        <f>BD27*VLOOKUP('Données projet'!$B$11,Paramètres!$A$1:$I$89,3,0)*VLOOKUP('Données projet'!$B$11,Paramètres!$A$1:$I$89,5,0)</f>
        <v>22.355306264519129</v>
      </c>
      <c r="BF27" s="13">
        <f t="shared" si="37"/>
        <v>7.1757084384367769</v>
      </c>
      <c r="BG27" s="20">
        <f t="shared" si="7"/>
        <v>51.433183940981536</v>
      </c>
      <c r="BH27" s="59">
        <f t="shared" si="8"/>
        <v>277.20389212460134</v>
      </c>
      <c r="BI27" s="59">
        <f ca="1">AVERAGE(OFFSET($BH$3,0,0,'Données projet'!$E$11+1,1))-AVERAGE(OFFSET($H$3,0,0,'Données projet'!$E$11+1,1))</f>
        <v>402.96916953216805</v>
      </c>
      <c r="BJ27" s="59">
        <f t="shared" si="38"/>
        <v>164.89273051331318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15.782</v>
      </c>
      <c r="BY27" s="12">
        <f>IF('Données projet'!$A$114&gt;35,BY26+BX27-CG26,IF(A27&lt;'Données projet'!$A$114,$BV$205^A27,IF(A27='Données projet'!$A$114,'Données projet'!$B$114,BY26+BX27-CG26)))</f>
        <v>108.504</v>
      </c>
      <c r="BZ27" s="13">
        <f>BY27*VLOOKUP('Données projet'!$B$12,Paramètres!$A$1:$I$89,3,0)*VLOOKUP('Données projet'!$B$12,Paramètres!$A$1:$I$89,5,0)</f>
        <v>64.88539200000001</v>
      </c>
      <c r="CA27" s="13">
        <f t="shared" si="39"/>
        <v>18.397766162676771</v>
      </c>
      <c r="CB27" s="20">
        <f t="shared" si="10"/>
        <v>145.05150046666205</v>
      </c>
      <c r="CC27" s="59">
        <f t="shared" si="11"/>
        <v>370.82220865028182</v>
      </c>
      <c r="CD27" s="59">
        <f ca="1">AVERAGE(OFFSET($CC$3,0,0,'Données projet'!$E$12+1,1))-AVERAGE(OFFSET($H$3,0,0,'Données projet'!$E$12+1,1))</f>
        <v>373.61861223558259</v>
      </c>
      <c r="CE27" s="59">
        <f t="shared" si="40"/>
        <v>277.62293009761049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4.5136844307530462</v>
      </c>
      <c r="CL27" s="21">
        <f>EXP(-LN(2)/25)*CL26+(1-EXP(-LN(2)/25))/(LN(2)/25)*Calculateur!CG27*Calculateur!CI27*VLOOKUP('Données projet'!$B$12,Paramètres!$A$1:$I$89,3,0)*0.475*44/12</f>
        <v>6.5493600178434352</v>
      </c>
      <c r="CM27" s="21">
        <f>EXP(-LN(2)/2)*CM26+(1-EXP(-LN(2)/2))/(LN(2)/2)*CG27*CJ27*VLOOKUP('Données projet'!$B$12,Paramètres!$A$1:$I$89,3,0)*0.475*44/12</f>
        <v>6.7692595743976414</v>
      </c>
      <c r="CN27" s="22">
        <f t="shared" si="12"/>
        <v>17.832304022994123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5.0894117647058819</v>
      </c>
      <c r="N28" s="13">
        <f>IF('Données projet'!$A$36&gt;35,N27+M28-V27,IF(A28&lt;'Données projet'!$A$36,$K$205^A28,IF(A28='Données projet'!$A$36,'Données projet'!$B$36,N27+M28-V27)))</f>
        <v>44.227863504790903</v>
      </c>
      <c r="O28" s="13">
        <f>N28*VLOOKUP('Données projet'!$B$9,Paramètres!$A$1:$I$89,3,0)*VLOOKUP('Données projet'!$B$9,Paramètres!$A$1:$I$89,5,0)</f>
        <v>40.017370899134811</v>
      </c>
      <c r="P28" s="13">
        <f t="shared" si="33"/>
        <v>12.003250949076193</v>
      </c>
      <c r="Q28" s="20">
        <f t="shared" si="2"/>
        <v>90.60258305230083</v>
      </c>
      <c r="R28" s="59">
        <f t="shared" si="0"/>
        <v>318.64035701863293</v>
      </c>
      <c r="S28" s="59">
        <f ca="1">AVERAGE(OFFSET($R$3,0,0,'Données projet'!$E$9+1,1))-AVERAGE(OFFSET($H$3,0,0,'Données projet'!$E$9+1,1))</f>
        <v>737.40414421611001</v>
      </c>
      <c r="T28" s="59">
        <f t="shared" si="34"/>
        <v>245.32893490531674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18.574999999999999</v>
      </c>
      <c r="AI28" s="13">
        <f>IF('Données projet'!$A$62&gt;35,AI27+AH28-AQ27,IF(A28&lt;'Données projet'!$A$62,$AF$205^A28,IF(A28='Données projet'!$A$62,'Données projet'!$B$62,AI27+AH28-AQ27)))</f>
        <v>168.60999999999996</v>
      </c>
      <c r="AJ28" s="13">
        <f>AI28*VLOOKUP('Données projet'!$B$10,Paramètres!$A$1:$I$89,3,0)*VLOOKUP('Données projet'!$B$10,Paramètres!$A$1:$I$89,5,0)</f>
        <v>100.82877999999998</v>
      </c>
      <c r="AK28" s="13">
        <f t="shared" si="35"/>
        <v>27.159348009418192</v>
      </c>
      <c r="AL28" s="20">
        <f t="shared" si="4"/>
        <v>222.91265628306999</v>
      </c>
      <c r="AM28" s="59">
        <f t="shared" si="5"/>
        <v>450.95043024940207</v>
      </c>
      <c r="AN28" s="59">
        <f ca="1">AVERAGE(OFFSET($AM$3,0,0,'Données projet'!$E$10+1,1))-AVERAGE(OFFSET($H$3,0,0,'Données projet'!$E$10+1,1))</f>
        <v>318.6615972007902</v>
      </c>
      <c r="AO28" s="59">
        <f t="shared" si="36"/>
        <v>326.82168950869504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4.9537300622574758</v>
      </c>
      <c r="AV28" s="21">
        <f>EXP(-LN(2)/25)*AV27+(1-EXP(-LN(2)/25))/(LN(2)/25)*Calculateur!AQ28*Calculateur!AS28*VLOOKUP('Données projet'!$B$10,Paramètres!$A$1:$I$89,3,0)*0.475*44/12</f>
        <v>12.992880685726885</v>
      </c>
      <c r="AW28" s="21">
        <f>EXP(-LN(2)/2)*AW27+(1-EXP(-LN(2)/2))/(LN(2)/2)*AQ28*AT28*VLOOKUP('Données projet'!$B$10,Paramètres!$A$1:$I$89,3,0)*0.475*44/12</f>
        <v>8.2916286646029249</v>
      </c>
      <c r="AX28" s="21">
        <f t="shared" si="6"/>
        <v>26.238239412587284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2.6</v>
      </c>
      <c r="BD28" s="12">
        <f>IF('Données projet'!$A$88&gt;35,BD27+BC28-BL27,IF(A28&lt;'Données projet'!$A$88,$BA$205^A28,IF(A28='Données projet'!$A$88,'Données projet'!$B$88,BD27+BC28-BL27)))</f>
        <v>25.079292475345582</v>
      </c>
      <c r="BE28" s="13">
        <f>BD28*VLOOKUP('Données projet'!$B$11,Paramètres!$A$1:$I$89,3,0)*VLOOKUP('Données projet'!$B$11,Paramètres!$A$1:$I$89,5,0)</f>
        <v>25.430402570000421</v>
      </c>
      <c r="BF28" s="13">
        <f t="shared" si="37"/>
        <v>8.0412244318996944</v>
      </c>
      <c r="BG28" s="20">
        <f t="shared" si="7"/>
        <v>58.296417028309371</v>
      </c>
      <c r="BH28" s="59">
        <f t="shared" si="8"/>
        <v>286.33419099464146</v>
      </c>
      <c r="BI28" s="59">
        <f ca="1">AVERAGE(OFFSET($BH$3,0,0,'Données projet'!$E$11+1,1))-AVERAGE(OFFSET($H$3,0,0,'Données projet'!$E$11+1,1))</f>
        <v>402.96916953216805</v>
      </c>
      <c r="BJ28" s="59">
        <f t="shared" si="38"/>
        <v>164.89273051331318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15.782</v>
      </c>
      <c r="BY28" s="12">
        <f>IF('Données projet'!$A$114&gt;35,BY27+BX28-CG27,IF(A28&lt;'Données projet'!$A$114,$BV$205^A28,IF(A28='Données projet'!$A$114,'Données projet'!$B$114,BY27+BX28-CG27)))</f>
        <v>124.286</v>
      </c>
      <c r="BZ28" s="13">
        <f>BY28*VLOOKUP('Données projet'!$B$12,Paramètres!$A$1:$I$89,3,0)*VLOOKUP('Données projet'!$B$12,Paramètres!$A$1:$I$89,5,0)</f>
        <v>74.323028000000008</v>
      </c>
      <c r="CA28" s="13">
        <f t="shared" si="39"/>
        <v>20.743244990540482</v>
      </c>
      <c r="CB28" s="20">
        <f t="shared" si="10"/>
        <v>165.57375879185801</v>
      </c>
      <c r="CC28" s="59">
        <f t="shared" si="11"/>
        <v>393.61153275819015</v>
      </c>
      <c r="CD28" s="59">
        <f ca="1">AVERAGE(OFFSET($CC$3,0,0,'Données projet'!$E$12+1,1))-AVERAGE(OFFSET($H$3,0,0,'Données projet'!$E$12+1,1))</f>
        <v>373.61861223558259</v>
      </c>
      <c r="CE28" s="59">
        <f t="shared" si="40"/>
        <v>277.62293009761049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4.4251738321416383</v>
      </c>
      <c r="CL28" s="21">
        <f>EXP(-LN(2)/25)*CL27+(1-EXP(-LN(2)/25))/(LN(2)/25)*Calculateur!CG28*Calculateur!CI28*VLOOKUP('Données projet'!$B$12,Paramètres!$A$1:$I$89,3,0)*0.475*44/12</f>
        <v>6.370267423739632</v>
      </c>
      <c r="CM28" s="21">
        <f>EXP(-LN(2)/2)*CM27+(1-EXP(-LN(2)/2))/(LN(2)/2)*CG28*CJ28*VLOOKUP('Données projet'!$B$12,Paramètres!$A$1:$I$89,3,0)*0.475*44/12</f>
        <v>4.7865893486685351</v>
      </c>
      <c r="CN28" s="22">
        <f t="shared" si="12"/>
        <v>15.582030604549805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5.0894117647058819</v>
      </c>
      <c r="N29" s="13">
        <f>IF('Données projet'!$A$36&gt;35,N28+M29-V28,IF(A29&lt;'Données projet'!$A$36,$K$205^A29,IF(A29='Données projet'!$A$36,'Données projet'!$B$36,N28+M29-V28)))</f>
        <v>51.466400947068237</v>
      </c>
      <c r="O29" s="13">
        <f>N29*VLOOKUP('Données projet'!$B$9,Paramètres!$A$1:$I$89,3,0)*VLOOKUP('Données projet'!$B$9,Paramètres!$A$1:$I$89,5,0)</f>
        <v>46.566799576907343</v>
      </c>
      <c r="P29" s="13">
        <f t="shared" si="33"/>
        <v>13.723483481832947</v>
      </c>
      <c r="Q29" s="20">
        <f t="shared" si="2"/>
        <v>105.005576327306</v>
      </c>
      <c r="R29" s="59">
        <f t="shared" si="0"/>
        <v>335.29229037649617</v>
      </c>
      <c r="S29" s="59">
        <f ca="1">AVERAGE(OFFSET($R$3,0,0,'Données projet'!$E$9+1,1))-AVERAGE(OFFSET($H$3,0,0,'Données projet'!$E$9+1,1))</f>
        <v>737.40414421611001</v>
      </c>
      <c r="T29" s="59">
        <f t="shared" si="34"/>
        <v>245.32893490531674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18.574999999999999</v>
      </c>
      <c r="AI29" s="13">
        <f>IF('Données projet'!$A$62&gt;35,AI28+AH29-AQ28,IF(A29&lt;'Données projet'!$A$62,$AF$205^A29,IF(A29='Données projet'!$A$62,'Données projet'!$B$62,AI28+AH29-AQ28)))</f>
        <v>187.18499999999995</v>
      </c>
      <c r="AJ29" s="13">
        <f>AI29*VLOOKUP('Données projet'!$B$10,Paramètres!$A$1:$I$89,3,0)*VLOOKUP('Données projet'!$B$10,Paramètres!$A$1:$I$89,5,0)</f>
        <v>111.93662999999998</v>
      </c>
      <c r="AK29" s="13">
        <f t="shared" si="35"/>
        <v>29.786805206543743</v>
      </c>
      <c r="AL29" s="20">
        <f t="shared" si="4"/>
        <v>246.83498298473026</v>
      </c>
      <c r="AM29" s="59">
        <f t="shared" si="5"/>
        <v>477.12169703392044</v>
      </c>
      <c r="AN29" s="59">
        <f ca="1">AVERAGE(OFFSET($AM$3,0,0,'Données projet'!$E$10+1,1))-AVERAGE(OFFSET($H$3,0,0,'Données projet'!$E$10+1,1))</f>
        <v>318.6615972007902</v>
      </c>
      <c r="AO29" s="59">
        <f t="shared" si="36"/>
        <v>326.82168950869504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4.8565904372135984</v>
      </c>
      <c r="AV29" s="21">
        <f>EXP(-LN(2)/25)*AV28+(1-EXP(-LN(2)/25))/(LN(2)/25)*Calculateur!AQ29*Calculateur!AS29*VLOOKUP('Données projet'!$B$10,Paramètres!$A$1:$I$89,3,0)*0.475*44/12</f>
        <v>12.637589680109784</v>
      </c>
      <c r="AW29" s="21">
        <f>EXP(-LN(2)/2)*AW28+(1-EXP(-LN(2)/2))/(LN(2)/2)*AQ29*AT29*VLOOKUP('Données projet'!$B$10,Paramètres!$A$1:$I$89,3,0)*0.475*44/12</f>
        <v>5.8630668558214865</v>
      </c>
      <c r="AX29" s="21">
        <f t="shared" si="6"/>
        <v>23.357246973144868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2.6</v>
      </c>
      <c r="BD29" s="12">
        <f>IF('Données projet'!$A$88&gt;35,BD28+BC29-BL28,IF(A29&lt;'Données projet'!$A$88,$BA$205^A29,IF(A29='Données projet'!$A$88,'Données projet'!$B$88,BD28+BC29-BL28)))</f>
        <v>28.529088184806376</v>
      </c>
      <c r="BE29" s="13">
        <f>BD29*VLOOKUP('Données projet'!$B$11,Paramètres!$A$1:$I$89,3,0)*VLOOKUP('Données projet'!$B$11,Paramètres!$A$1:$I$89,5,0)</f>
        <v>28.928495419393666</v>
      </c>
      <c r="BF29" s="13">
        <f t="shared" si="37"/>
        <v>9.0111367983990966</v>
      </c>
      <c r="BG29" s="20">
        <f t="shared" si="7"/>
        <v>66.078192779322393</v>
      </c>
      <c r="BH29" s="59">
        <f t="shared" si="8"/>
        <v>296.36490682851257</v>
      </c>
      <c r="BI29" s="59">
        <f ca="1">AVERAGE(OFFSET($BH$3,0,0,'Données projet'!$E$11+1,1))-AVERAGE(OFFSET($H$3,0,0,'Données projet'!$E$11+1,1))</f>
        <v>402.96916953216805</v>
      </c>
      <c r="BJ29" s="59">
        <f t="shared" si="38"/>
        <v>164.89273051331318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15.782</v>
      </c>
      <c r="BY29" s="12">
        <f>IF('Données projet'!$A$114&gt;35,BY28+BX29-CG28,IF(A29&lt;'Données projet'!$A$114,$BV$205^A29,IF(A29='Données projet'!$A$114,'Données projet'!$B$114,BY28+BX29-CG28)))</f>
        <v>140.06800000000001</v>
      </c>
      <c r="BZ29" s="13">
        <f>BY29*VLOOKUP('Données projet'!$B$12,Paramètres!$A$1:$I$89,3,0)*VLOOKUP('Données projet'!$B$12,Paramètres!$A$1:$I$89,5,0)</f>
        <v>83.76066400000002</v>
      </c>
      <c r="CA29" s="13">
        <f t="shared" si="39"/>
        <v>23.054213321234659</v>
      </c>
      <c r="CB29" s="20">
        <f t="shared" si="10"/>
        <v>186.0359113344837</v>
      </c>
      <c r="CC29" s="59">
        <f t="shared" si="11"/>
        <v>416.32262538367388</v>
      </c>
      <c r="CD29" s="59">
        <f ca="1">AVERAGE(OFFSET($CC$3,0,0,'Données projet'!$E$12+1,1))-AVERAGE(OFFSET($H$3,0,0,'Données projet'!$E$12+1,1))</f>
        <v>373.61861223558259</v>
      </c>
      <c r="CE29" s="59">
        <f t="shared" si="40"/>
        <v>277.62293009761049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4.3383988723828653</v>
      </c>
      <c r="CL29" s="21">
        <f>EXP(-LN(2)/25)*CL28+(1-EXP(-LN(2)/25))/(LN(2)/25)*Calculateur!CG29*Calculateur!CI29*VLOOKUP('Données projet'!$B$12,Paramètres!$A$1:$I$89,3,0)*0.475*44/12</f>
        <v>6.1960721260396676</v>
      </c>
      <c r="CM29" s="21">
        <f>EXP(-LN(2)/2)*CM28+(1-EXP(-LN(2)/2))/(LN(2)/2)*CG29*CJ29*VLOOKUP('Données projet'!$B$12,Paramètres!$A$1:$I$89,3,0)*0.475*44/12</f>
        <v>3.3846297871988211</v>
      </c>
      <c r="CN29" s="22">
        <f t="shared" si="12"/>
        <v>13.919100785621353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5.0894117647058819</v>
      </c>
      <c r="N30" s="13">
        <f>IF('Données projet'!$A$36&gt;35,N29+M30-V29,IF(A30&lt;'Données projet'!$A$36,$K$205^A30,IF(A30='Données projet'!$A$36,'Données projet'!$B$36,N29+M30-V29)))</f>
        <v>59.889631027676955</v>
      </c>
      <c r="O30" s="13">
        <f>N30*VLOOKUP('Données projet'!$B$9,Paramètres!$A$1:$I$89,3,0)*VLOOKUP('Données projet'!$B$9,Paramètres!$A$1:$I$89,5,0)</f>
        <v>54.188138153842111</v>
      </c>
      <c r="P30" s="13">
        <f t="shared" si="33"/>
        <v>15.690249222910433</v>
      </c>
      <c r="Q30" s="20">
        <f t="shared" si="2"/>
        <v>121.70485801451069</v>
      </c>
      <c r="R30" s="59">
        <f t="shared" si="0"/>
        <v>354.22270088707421</v>
      </c>
      <c r="S30" s="59">
        <f ca="1">AVERAGE(OFFSET($R$3,0,0,'Données projet'!$E$9+1,1))-AVERAGE(OFFSET($H$3,0,0,'Données projet'!$E$9+1,1))</f>
        <v>737.40414421611001</v>
      </c>
      <c r="T30" s="59">
        <f t="shared" si="34"/>
        <v>245.32893490531674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18.574999999999999</v>
      </c>
      <c r="AI30" s="13">
        <f>IF('Données projet'!$A$62&gt;35,AI29+AH30-AQ29,IF(A30&lt;'Données projet'!$A$62,$AF$205^A30,IF(A30='Données projet'!$A$62,'Données projet'!$B$62,AI29+AH30-AQ29)))</f>
        <v>205.75999999999993</v>
      </c>
      <c r="AJ30" s="13">
        <f>AI30*VLOOKUP('Données projet'!$B$10,Paramètres!$A$1:$I$89,3,0)*VLOOKUP('Données projet'!$B$10,Paramètres!$A$1:$I$89,5,0)</f>
        <v>123.04447999999998</v>
      </c>
      <c r="AK30" s="13">
        <f t="shared" si="35"/>
        <v>32.384035548852211</v>
      </c>
      <c r="AL30" s="20">
        <f t="shared" si="4"/>
        <v>270.70466458091755</v>
      </c>
      <c r="AM30" s="59">
        <f t="shared" si="5"/>
        <v>503.22250745348106</v>
      </c>
      <c r="AN30" s="59">
        <f ca="1">AVERAGE(OFFSET($AM$3,0,0,'Données projet'!$E$10+1,1))-AVERAGE(OFFSET($H$3,0,0,'Données projet'!$E$10+1,1))</f>
        <v>318.6615972007902</v>
      </c>
      <c r="AO30" s="59">
        <f t="shared" si="36"/>
        <v>326.82168950869504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4.7613556609675109</v>
      </c>
      <c r="AV30" s="21">
        <f>EXP(-LN(2)/25)*AV29+(1-EXP(-LN(2)/25))/(LN(2)/25)*Calculateur!AQ30*Calculateur!AS30*VLOOKUP('Données projet'!$B$10,Paramètres!$A$1:$I$89,3,0)*0.475*44/12</f>
        <v>12.292014125725224</v>
      </c>
      <c r="AW30" s="21">
        <f>EXP(-LN(2)/2)*AW29+(1-EXP(-LN(2)/2))/(LN(2)/2)*AQ30*AT30*VLOOKUP('Données projet'!$B$10,Paramètres!$A$1:$I$89,3,0)*0.475*44/12</f>
        <v>4.1458143323014633</v>
      </c>
      <c r="AX30" s="21">
        <f t="shared" si="6"/>
        <v>21.199184118994197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2.6</v>
      </c>
      <c r="BD30" s="12">
        <f>IF('Données projet'!$A$88&gt;35,BD29+BC30-BL29,IF(A30&lt;'Données projet'!$A$88,$BA$205^A30,IF(A30='Données projet'!$A$88,'Données projet'!$B$88,BD29+BC30-BL29)))</f>
        <v>32.453422418378786</v>
      </c>
      <c r="BE30" s="13">
        <f>BD30*VLOOKUP('Données projet'!$B$11,Paramètres!$A$1:$I$89,3,0)*VLOOKUP('Données projet'!$B$11,Paramètres!$A$1:$I$89,5,0)</f>
        <v>32.90777033223609</v>
      </c>
      <c r="BF30" s="13">
        <f t="shared" si="37"/>
        <v>10.098037567181688</v>
      </c>
      <c r="BG30" s="20">
        <f t="shared" si="7"/>
        <v>74.901782091485956</v>
      </c>
      <c r="BH30" s="59">
        <f t="shared" si="8"/>
        <v>307.41962496404949</v>
      </c>
      <c r="BI30" s="59">
        <f ca="1">AVERAGE(OFFSET($BH$3,0,0,'Données projet'!$E$11+1,1))-AVERAGE(OFFSET($H$3,0,0,'Données projet'!$E$11+1,1))</f>
        <v>402.96916953216805</v>
      </c>
      <c r="BJ30" s="59">
        <f t="shared" si="38"/>
        <v>164.89273051331318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>
        <f>VLOOKUP(A30,'Données projet'!$A$113:$I$133,2,0)</f>
        <v>155.85</v>
      </c>
      <c r="BW30" s="12">
        <f>VLOOKUP(A30,'Données projet'!$A$113:$I$133,9,0)</f>
        <v>15.782</v>
      </c>
      <c r="BX30" s="12">
        <f t="array" ref="BX30">INDEX(BW:BW,MIN(IF(ISNUMBER(BW30:BW226),ROW(BW30:BW226),"")))</f>
        <v>15.782</v>
      </c>
      <c r="BY30" s="12">
        <f>IF('Données projet'!$A$114&gt;35,BY29+BX30-CG29,IF(A30&lt;'Données projet'!$A$114,$BV$205^A30,IF(A30='Données projet'!$A$114,'Données projet'!$B$114,BY29+BX30-CG29)))</f>
        <v>155.85000000000002</v>
      </c>
      <c r="BZ30" s="13">
        <f>BY30*VLOOKUP('Données projet'!$B$12,Paramètres!$A$1:$I$89,3,0)*VLOOKUP('Données projet'!$B$12,Paramètres!$A$1:$I$89,5,0)</f>
        <v>93.198300000000032</v>
      </c>
      <c r="CA30" s="13">
        <f t="shared" si="39"/>
        <v>25.335003309876146</v>
      </c>
      <c r="CB30" s="20">
        <f t="shared" si="10"/>
        <v>206.44550326470099</v>
      </c>
      <c r="CC30" s="59">
        <f t="shared" si="11"/>
        <v>438.96334613726447</v>
      </c>
      <c r="CD30" s="59">
        <f ca="1">AVERAGE(OFFSET($CC$3,0,0,'Données projet'!$E$12+1,1))-AVERAGE(OFFSET($H$3,0,0,'Données projet'!$E$12+1,1))</f>
        <v>373.61861223558259</v>
      </c>
      <c r="CE30" s="59">
        <f t="shared" si="40"/>
        <v>277.62293009761049</v>
      </c>
      <c r="CF30" s="15">
        <f>IF(ISNA(VLOOKUP(A30,'Données projet'!$A$113:$I$133,3,0)),0,VLOOKUP(A30,'Données projet'!$A$113:$I$133,3,0))</f>
        <v>2</v>
      </c>
      <c r="CG30" s="15">
        <f>IF(ISNA(VLOOKUP(A30,'Données projet'!$A$113:$I$133,4,0)),0,VLOOKUP(A30,'Données projet'!$A$113:$I$133,4,0))</f>
        <v>37.929999999999993</v>
      </c>
      <c r="CH30" s="16">
        <f>IF(ISNA(VLOOKUP(A30,'Données projet'!$A$113:$I$133,5,0)),0%,VLOOKUP(A30,'Données projet'!$A$113:$I$133,5,0)*VLOOKUP('Données projet'!$B$12,Paramètres!$A$1:$I$89,7,0))</f>
        <v>0.1125</v>
      </c>
      <c r="CI30" s="16">
        <f>IF(ISNA(VLOOKUP(A30,'Données projet'!$A$113:$I$133,6,0)),0%,VLOOKUP(A30,'Données projet'!$A$113:$I$133,6,0)*VLOOKUP('Données projet'!$B$12,Paramètres!$A$1:$I$89,7,0))</f>
        <v>0.16650000000000001</v>
      </c>
      <c r="CJ30" s="16">
        <f>IF(ISNA(VLOOKUP(A30,'Données projet'!$A$113:$I$133,7,0)),0%,VLOOKUP(A30,'Données projet'!$A$113:$I$133,7,0))</f>
        <v>0.38</v>
      </c>
      <c r="CK30" s="21">
        <f>EXP(-LN(2)/35)*CK29+(1-EXP(-LN(2)/35))/(LN(2)/35)*CG30*CH30*VLOOKUP('Données projet'!$B$12,Paramètres!$A$1:$I$89,3,0)*0.475*44/12</f>
        <v>7.6383740951040968</v>
      </c>
      <c r="CL30" s="21">
        <f>EXP(-LN(2)/25)*CL29+(1-EXP(-LN(2)/25))/(LN(2)/25)*Calculateur!CG30*Calculateur!CI30*VLOOKUP('Données projet'!$B$12,Paramètres!$A$1:$I$89,3,0)*0.475*44/12</f>
        <v>11.016786329451062</v>
      </c>
      <c r="CM30" s="21">
        <f>EXP(-LN(2)/2)*CM29+(1-EXP(-LN(2)/2))/(LN(2)/2)*CG30*CJ30*VLOOKUP('Données projet'!$B$12,Paramètres!$A$1:$I$89,3,0)*0.475*44/12</f>
        <v>12.152246238640709</v>
      </c>
      <c r="CN30" s="22">
        <f t="shared" si="12"/>
        <v>30.80740666319587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5.0894117647058819</v>
      </c>
      <c r="N31" s="13">
        <f>IF('Données projet'!$A$36&gt;35,N30+M31-V30,IF(A31&lt;'Données projet'!$A$36,$K$205^A31,IF(A31='Données projet'!$A$36,'Données projet'!$B$36,N30+M31-V30)))</f>
        <v>69.691446043024783</v>
      </c>
      <c r="O31" s="13">
        <f>N31*VLOOKUP('Données projet'!$B$9,Paramètres!$A$1:$I$89,3,0)*VLOOKUP('Données projet'!$B$9,Paramètres!$A$1:$I$89,5,0)</f>
        <v>63.056820379728819</v>
      </c>
      <c r="P31" s="13">
        <f t="shared" si="33"/>
        <v>17.938879804310467</v>
      </c>
      <c r="Q31" s="20">
        <f t="shared" si="2"/>
        <v>141.06751115386842</v>
      </c>
      <c r="R31" s="59">
        <f t="shared" si="0"/>
        <v>375.79898057585251</v>
      </c>
      <c r="S31" s="59">
        <f ca="1">AVERAGE(OFFSET($R$3,0,0,'Données projet'!$E$9+1,1))-AVERAGE(OFFSET($H$3,0,0,'Données projet'!$E$9+1,1))</f>
        <v>737.40414421611001</v>
      </c>
      <c r="T31" s="59">
        <f t="shared" si="34"/>
        <v>245.32893490531674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18.574999999999999</v>
      </c>
      <c r="AI31" s="13">
        <f>IF('Données projet'!$A$62&gt;35,AI30+AH31-AQ30,IF(A31&lt;'Données projet'!$A$62,$AF$205^A31,IF(A31='Données projet'!$A$62,'Données projet'!$B$62,AI30+AH31-AQ30)))</f>
        <v>224.33499999999992</v>
      </c>
      <c r="AJ31" s="13">
        <f>AI31*VLOOKUP('Données projet'!$B$10,Paramètres!$A$1:$I$89,3,0)*VLOOKUP('Données projet'!$B$10,Paramètres!$A$1:$I$89,5,0)</f>
        <v>134.15232999999995</v>
      </c>
      <c r="AK31" s="13">
        <f t="shared" si="35"/>
        <v>34.954078085802898</v>
      </c>
      <c r="AL31" s="20">
        <f t="shared" si="4"/>
        <v>294.52699408277329</v>
      </c>
      <c r="AM31" s="59">
        <f t="shared" si="5"/>
        <v>529.2584635047574</v>
      </c>
      <c r="AN31" s="59">
        <f ca="1">AVERAGE(OFFSET($AM$3,0,0,'Données projet'!$E$10+1,1))-AVERAGE(OFFSET($H$3,0,0,'Données projet'!$E$10+1,1))</f>
        <v>318.6615972007902</v>
      </c>
      <c r="AO31" s="59">
        <f t="shared" si="36"/>
        <v>326.82168950869504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4.6679883805961309</v>
      </c>
      <c r="AV31" s="21">
        <f>EXP(-LN(2)/25)*AV30+(1-EXP(-LN(2)/25))/(LN(2)/25)*Calculateur!AQ31*Calculateur!AS31*VLOOKUP('Données projet'!$B$10,Paramètres!$A$1:$I$89,3,0)*0.475*44/12</f>
        <v>11.955888353048339</v>
      </c>
      <c r="AW31" s="21">
        <f>EXP(-LN(2)/2)*AW30+(1-EXP(-LN(2)/2))/(LN(2)/2)*AQ31*AT31*VLOOKUP('Données projet'!$B$10,Paramètres!$A$1:$I$89,3,0)*0.475*44/12</f>
        <v>2.9315334279107437</v>
      </c>
      <c r="AX31" s="21">
        <f t="shared" si="6"/>
        <v>19.555410161555212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2.6</v>
      </c>
      <c r="BD31" s="12">
        <f>IF('Données projet'!$A$88&gt;35,BD30+BC31-BL30,IF(A31&lt;'Données projet'!$A$88,$BA$205^A31,IF(A31='Données projet'!$A$88,'Données projet'!$B$88,BD30+BC31-BL30)))</f>
        <v>36.917570580704442</v>
      </c>
      <c r="BE31" s="13">
        <f>BD31*VLOOKUP('Données projet'!$B$11,Paramètres!$A$1:$I$89,3,0)*VLOOKUP('Données projet'!$B$11,Paramètres!$A$1:$I$89,5,0)</f>
        <v>37.434416568834308</v>
      </c>
      <c r="BF31" s="13">
        <f t="shared" si="37"/>
        <v>11.316037586548296</v>
      </c>
      <c r="BG31" s="20">
        <f t="shared" si="7"/>
        <v>84.907040987291367</v>
      </c>
      <c r="BH31" s="59">
        <f t="shared" si="8"/>
        <v>319.63851040927545</v>
      </c>
      <c r="BI31" s="59">
        <f ca="1">AVERAGE(OFFSET($BH$3,0,0,'Données projet'!$E$11+1,1))-AVERAGE(OFFSET($H$3,0,0,'Données projet'!$E$11+1,1))</f>
        <v>402.96916953216805</v>
      </c>
      <c r="BJ31" s="59">
        <f t="shared" si="38"/>
        <v>164.89273051331318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16.621666666666666</v>
      </c>
      <c r="BY31" s="12">
        <f>IF('Données projet'!$A$114&gt;35,BY30+BX31-CG30,IF(A31&lt;'Données projet'!$A$114,$BV$205^A31,IF(A31='Données projet'!$A$114,'Données projet'!$B$114,BY30+BX31-CG30)))</f>
        <v>134.54166666666669</v>
      </c>
      <c r="BZ31" s="13">
        <f>BY31*VLOOKUP('Données projet'!$B$12,Paramètres!$A$1:$I$89,3,0)*VLOOKUP('Données projet'!$B$12,Paramètres!$A$1:$I$89,5,0)</f>
        <v>80.455916666666681</v>
      </c>
      <c r="CA31" s="13">
        <f t="shared" si="39"/>
        <v>22.248621228387805</v>
      </c>
      <c r="CB31" s="20">
        <f t="shared" si="10"/>
        <v>178.8770701672199</v>
      </c>
      <c r="CC31" s="59">
        <f t="shared" si="11"/>
        <v>413.60853958920399</v>
      </c>
      <c r="CD31" s="59">
        <f ca="1">AVERAGE(OFFSET($CC$3,0,0,'Données projet'!$E$12+1,1))-AVERAGE(OFFSET($H$3,0,0,'Données projet'!$E$12+1,1))</f>
        <v>373.61861223558259</v>
      </c>
      <c r="CE31" s="59">
        <f t="shared" si="40"/>
        <v>277.62293009761049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7.4885902380472702</v>
      </c>
      <c r="CL31" s="21">
        <f>EXP(-LN(2)/25)*CL30+(1-EXP(-LN(2)/25))/(LN(2)/25)*Calculateur!CG31*Calculateur!CI31*VLOOKUP('Données projet'!$B$12,Paramètres!$A$1:$I$89,3,0)*0.475*44/12</f>
        <v>10.715531727924608</v>
      </c>
      <c r="CM31" s="21">
        <f>EXP(-LN(2)/2)*CM30+(1-EXP(-LN(2)/2))/(LN(2)/2)*CG31*CJ31*VLOOKUP('Données projet'!$B$12,Paramètres!$A$1:$I$89,3,0)*0.475*44/12</f>
        <v>8.5929357219915623</v>
      </c>
      <c r="CN31" s="22">
        <f t="shared" si="12"/>
        <v>26.797057687963441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5.0894117647058819</v>
      </c>
      <c r="N32" s="13">
        <f>IF('Données projet'!$A$36&gt;35,N31+M32-V31,IF(A32&lt;'Données projet'!$A$36,$K$205^A32,IF(A32='Données projet'!$A$36,'Données projet'!$B$36,N31+M32-V31)))</f>
        <v>81.097471602777176</v>
      </c>
      <c r="O32" s="13">
        <f>N32*VLOOKUP('Données projet'!$B$9,Paramètres!$A$1:$I$89,3,0)*VLOOKUP('Données projet'!$B$9,Paramètres!$A$1:$I$89,5,0)</f>
        <v>73.37699230619279</v>
      </c>
      <c r="P32" s="13">
        <f t="shared" si="33"/>
        <v>20.509770371499922</v>
      </c>
      <c r="Q32" s="20">
        <f t="shared" si="2"/>
        <v>163.51944499698146</v>
      </c>
      <c r="R32" s="59">
        <f t="shared" si="0"/>
        <v>400.4473423197573</v>
      </c>
      <c r="S32" s="59">
        <f ca="1">AVERAGE(OFFSET($R$3,0,0,'Données projet'!$E$9+1,1))-AVERAGE(OFFSET($H$3,0,0,'Données projet'!$E$9+1,1))</f>
        <v>737.40414421611001</v>
      </c>
      <c r="T32" s="59">
        <f t="shared" si="34"/>
        <v>245.32893490531674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>
        <f>VLOOKUP(A32,'Données projet'!$A$61:$I$81,2,0)</f>
        <v>242.91</v>
      </c>
      <c r="AG32" s="12">
        <f>VLOOKUP(A32,'Données projet'!$A$61:$I$81,9,0)</f>
        <v>18.574999999999999</v>
      </c>
      <c r="AH32" s="12">
        <f t="array" ref="AH32">INDEX(AG:AG,MIN(IF(ISNUMBER(AG32:AG228),ROW(AG32:AG228),"")))</f>
        <v>18.574999999999999</v>
      </c>
      <c r="AI32" s="13">
        <f>IF('Données projet'!$A$62&gt;35,AI31+AH32-AQ31,IF(A32&lt;'Données projet'!$A$62,$AF$205^A32,IF(A32='Données projet'!$A$62,'Données projet'!$B$62,AI31+AH32-AQ31)))</f>
        <v>242.90999999999991</v>
      </c>
      <c r="AJ32" s="13">
        <f>AI32*VLOOKUP('Données projet'!$B$10,Paramètres!$A$1:$I$89,3,0)*VLOOKUP('Données projet'!$B$10,Paramètres!$A$1:$I$89,5,0)</f>
        <v>145.26017999999996</v>
      </c>
      <c r="AK32" s="13">
        <f t="shared" si="35"/>
        <v>37.499439910321875</v>
      </c>
      <c r="AL32" s="20">
        <f t="shared" si="4"/>
        <v>318.30633801047719</v>
      </c>
      <c r="AM32" s="59">
        <f t="shared" si="5"/>
        <v>555.23423533325308</v>
      </c>
      <c r="AN32" s="59">
        <f ca="1">AVERAGE(OFFSET($AM$3,0,0,'Données projet'!$E$10+1,1))-AVERAGE(OFFSET($H$3,0,0,'Données projet'!$E$10+1,1))</f>
        <v>318.6615972007902</v>
      </c>
      <c r="AO32" s="59">
        <f t="shared" si="36"/>
        <v>326.82168950869504</v>
      </c>
      <c r="AP32" s="15">
        <f>IF(ISNA(VLOOKUP(A32,'Données projet'!$A$61:$I$81,3,0)),0,VLOOKUP(A32,'Données projet'!$A$61:$I$81,3,0))</f>
        <v>3</v>
      </c>
      <c r="AQ32" s="15">
        <f>IF(ISNA(VLOOKUP(A32,'Données projet'!$A$61:$I$81,4,0)),0,VLOOKUP(A32,'Données projet'!$A$61:$I$81,4,0))</f>
        <v>54.64</v>
      </c>
      <c r="AR32" s="16">
        <f>IF(ISNA(VLOOKUP(A32,'Données projet'!$A$61:$I$81,5,0)),0%,VLOOKUP(A32,'Données projet'!$A$61:$I$81,5,0)*VLOOKUP('Données projet'!$B$10,Paramètres!$A$1:$I$89,7,0))</f>
        <v>0.27</v>
      </c>
      <c r="AS32" s="16">
        <f>IF(ISNA(VLOOKUP(A32,'Données projet'!$A$61:$I$81,6,0)),0%,VLOOKUP(A32,'Données projet'!$A$61:$I$81,6,0)*VLOOKUP('Données projet'!$B$10,Paramètres!$A$1:$I$89,7,0))</f>
        <v>9.0000000000000011E-2</v>
      </c>
      <c r="AT32" s="16">
        <f>IF(ISNA(VLOOKUP(A32,'Données projet'!$A$61:$I$81,7,0)),0%,VLOOKUP(A32,'Données projet'!$A$61:$I$81,7,0))</f>
        <v>0.2</v>
      </c>
      <c r="AU32" s="21">
        <f>EXP(-LN(2)/35)*AU31+(1-EXP(-LN(2)/35))/(LN(2)/35)*AQ32*AR32*VLOOKUP('Données projet'!$B$10,Paramètres!$A$1:$I$89,3,0)*0.475*44/12</f>
        <v>16.279634954373069</v>
      </c>
      <c r="AV32" s="21">
        <f>EXP(-LN(2)/25)*AV31+(1-EXP(-LN(2)/25))/(LN(2)/25)*Calculateur!AQ32*Calculateur!AS32*VLOOKUP('Données projet'!$B$10,Paramètres!$A$1:$I$89,3,0)*0.475*44/12</f>
        <v>15.514654986661084</v>
      </c>
      <c r="AW32" s="21">
        <f>EXP(-LN(2)/2)*AW31+(1-EXP(-LN(2)/2))/(LN(2)/2)*AQ32*AT32*VLOOKUP('Données projet'!$B$10,Paramètres!$A$1:$I$89,3,0)*0.475*44/12</f>
        <v>9.4719818254775259</v>
      </c>
      <c r="AX32" s="21">
        <f t="shared" si="6"/>
        <v>41.266271766511679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2.6</v>
      </c>
      <c r="BD32" s="12">
        <f>IF('Données projet'!$A$88&gt;35,BD31+BC32-BL31,IF(A32&lt;'Données projet'!$A$88,$BA$205^A32,IF(A32='Données projet'!$A$88,'Données projet'!$B$88,BD31+BC32-BL31)))</f>
        <v>41.995787070193963</v>
      </c>
      <c r="BE32" s="13">
        <f>BD32*VLOOKUP('Données projet'!$B$11,Paramètres!$A$1:$I$89,3,0)*VLOOKUP('Données projet'!$B$11,Paramètres!$A$1:$I$89,5,0)</f>
        <v>42.583728089176681</v>
      </c>
      <c r="BF32" s="13">
        <f t="shared" si="37"/>
        <v>12.680949720007103</v>
      </c>
      <c r="BG32" s="20">
        <f t="shared" si="7"/>
        <v>96.25264718432841</v>
      </c>
      <c r="BH32" s="59">
        <f t="shared" si="8"/>
        <v>333.18054450710423</v>
      </c>
      <c r="BI32" s="59">
        <f ca="1">AVERAGE(OFFSET($BH$3,0,0,'Données projet'!$E$11+1,1))-AVERAGE(OFFSET($H$3,0,0,'Données projet'!$E$11+1,1))</f>
        <v>402.96916953216805</v>
      </c>
      <c r="BJ32" s="59">
        <f t="shared" si="38"/>
        <v>164.89273051331318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16.621666666666666</v>
      </c>
      <c r="BY32" s="12">
        <f>IF('Données projet'!$A$114&gt;35,BY31+BX32-CG31,IF(A32&lt;'Données projet'!$A$114,$BV$205^A32,IF(A32='Données projet'!$A$114,'Données projet'!$B$114,BY31+BX32-CG31)))</f>
        <v>151.16333333333336</v>
      </c>
      <c r="BZ32" s="13">
        <f>BY32*VLOOKUP('Données projet'!$B$12,Paramètres!$A$1:$I$89,3,0)*VLOOKUP('Données projet'!$B$12,Paramètres!$A$1:$I$89,5,0)</f>
        <v>90.395673333333363</v>
      </c>
      <c r="CA32" s="13">
        <f t="shared" si="39"/>
        <v>24.660627497212822</v>
      </c>
      <c r="CB32" s="20">
        <f t="shared" si="10"/>
        <v>200.38972394653459</v>
      </c>
      <c r="CC32" s="59">
        <f t="shared" si="11"/>
        <v>437.31762126931039</v>
      </c>
      <c r="CD32" s="59">
        <f ca="1">AVERAGE(OFFSET($CC$3,0,0,'Données projet'!$E$12+1,1))-AVERAGE(OFFSET($H$3,0,0,'Données projet'!$E$12+1,1))</f>
        <v>373.61861223558259</v>
      </c>
      <c r="CE32" s="59">
        <f t="shared" si="40"/>
        <v>277.62293009761049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7.3417435510681965</v>
      </c>
      <c r="CL32" s="21">
        <f>EXP(-LN(2)/25)*CL31+(1-EXP(-LN(2)/25))/(LN(2)/25)*Calculateur!CG32*Calculateur!CI32*VLOOKUP('Données projet'!$B$12,Paramètres!$A$1:$I$89,3,0)*0.475*44/12</f>
        <v>10.422514949319186</v>
      </c>
      <c r="CM32" s="21">
        <f>EXP(-LN(2)/2)*CM31+(1-EXP(-LN(2)/2))/(LN(2)/2)*CG32*CJ32*VLOOKUP('Données projet'!$B$12,Paramètres!$A$1:$I$89,3,0)*0.475*44/12</f>
        <v>6.0761231193203562</v>
      </c>
      <c r="CN32" s="22">
        <f t="shared" si="12"/>
        <v>23.840381619707742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5.0894117647058819</v>
      </c>
      <c r="N33" s="13">
        <f>IF('Données projet'!$A$36&gt;35,N32+M33-V32,IF(A33&lt;'Données projet'!$A$36,$K$205^A33,IF(A33='Données projet'!$A$36,'Données projet'!$B$36,N32+M33-V32)))</f>
        <v>94.370260251207753</v>
      </c>
      <c r="O33" s="13">
        <f>N33*VLOOKUP('Données projet'!$B$9,Paramètres!$A$1:$I$89,3,0)*VLOOKUP('Données projet'!$B$9,Paramètres!$A$1:$I$89,5,0)</f>
        <v>85.386211475292768</v>
      </c>
      <c r="P33" s="13">
        <f t="shared" si="33"/>
        <v>23.449105255199921</v>
      </c>
      <c r="Q33" s="20">
        <f t="shared" si="2"/>
        <v>189.5548433056081</v>
      </c>
      <c r="R33" s="59">
        <f t="shared" si="0"/>
        <v>428.66226823865009</v>
      </c>
      <c r="S33" s="59">
        <f ca="1">AVERAGE(OFFSET($R$3,0,0,'Données projet'!$E$9+1,1))-AVERAGE(OFFSET($H$3,0,0,'Données projet'!$E$9+1,1))</f>
        <v>737.40414421611001</v>
      </c>
      <c r="T33" s="59">
        <f t="shared" si="34"/>
        <v>245.32893490531674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17.75714285714286</v>
      </c>
      <c r="AI33" s="13">
        <f>IF('Données projet'!$A$62&gt;35,AI32+AH33-AQ32,IF(A33&lt;'Données projet'!$A$62,$AF$205^A33,IF(A33='Données projet'!$A$62,'Données projet'!$B$62,AI32+AH33-AQ32)))</f>
        <v>206.02714285714279</v>
      </c>
      <c r="AJ33" s="13">
        <f>AI33*VLOOKUP('Données projet'!$B$10,Paramètres!$A$1:$I$89,3,0)*VLOOKUP('Données projet'!$B$10,Paramètres!$A$1:$I$89,5,0)</f>
        <v>123.2042314285714</v>
      </c>
      <c r="AK33" s="13">
        <f t="shared" si="35"/>
        <v>32.42118363878923</v>
      </c>
      <c r="AL33" s="20">
        <f t="shared" si="4"/>
        <v>271.0475979089864</v>
      </c>
      <c r="AM33" s="59">
        <f t="shared" si="5"/>
        <v>510.15502284202842</v>
      </c>
      <c r="AN33" s="59">
        <f ca="1">AVERAGE(OFFSET($AM$3,0,0,'Données projet'!$E$10+1,1))-AVERAGE(OFFSET($H$3,0,0,'Données projet'!$E$10+1,1))</f>
        <v>318.6615972007902</v>
      </c>
      <c r="AO33" s="59">
        <f t="shared" si="36"/>
        <v>326.82168950869504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15.960401242514669</v>
      </c>
      <c r="AV33" s="21">
        <f>EXP(-LN(2)/25)*AV32+(1-EXP(-LN(2)/25))/(LN(2)/25)*Calculateur!AQ33*Calculateur!AS33*VLOOKUP('Données projet'!$B$10,Paramètres!$A$1:$I$89,3,0)*0.475*44/12</f>
        <v>15.09040593017059</v>
      </c>
      <c r="AW33" s="21">
        <f>EXP(-LN(2)/2)*AW32+(1-EXP(-LN(2)/2))/(LN(2)/2)*AQ33*AT33*VLOOKUP('Données projet'!$B$10,Paramètres!$A$1:$I$89,3,0)*0.475*44/12</f>
        <v>6.6977025800708923</v>
      </c>
      <c r="AX33" s="21">
        <f t="shared" si="6"/>
        <v>37.748509752756149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2.6</v>
      </c>
      <c r="BD33" s="12">
        <f>IF('Données projet'!$A$88&gt;35,BD32+BC33-BL32,IF(A33&lt;'Données projet'!$A$88,$BA$205^A33,IF(A33='Données projet'!$A$88,'Données projet'!$B$88,BD32+BC33-BL32)))</f>
        <v>47.772540389395715</v>
      </c>
      <c r="BE33" s="13">
        <f>BD33*VLOOKUP('Données projet'!$B$11,Paramètres!$A$1:$I$89,3,0)*VLOOKUP('Données projet'!$B$11,Paramètres!$A$1:$I$89,5,0)</f>
        <v>48.441355954847261</v>
      </c>
      <c r="BF33" s="13">
        <f t="shared" si="37"/>
        <v>14.210494139088354</v>
      </c>
      <c r="BG33" s="20">
        <f t="shared" si="7"/>
        <v>109.11863891360453</v>
      </c>
      <c r="BH33" s="59">
        <f t="shared" si="8"/>
        <v>348.22606384664653</v>
      </c>
      <c r="BI33" s="59">
        <f ca="1">AVERAGE(OFFSET($BH$3,0,0,'Données projet'!$E$11+1,1))-AVERAGE(OFFSET($H$3,0,0,'Données projet'!$E$11+1,1))</f>
        <v>402.96916953216805</v>
      </c>
      <c r="BJ33" s="59">
        <f t="shared" si="38"/>
        <v>164.89273051331318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16.621666666666666</v>
      </c>
      <c r="BY33" s="12">
        <f>IF('Données projet'!$A$114&gt;35,BY32+BX33-CG32,IF(A33&lt;'Données projet'!$A$114,$BV$205^A33,IF(A33='Données projet'!$A$114,'Données projet'!$B$114,BY32+BX33-CG32)))</f>
        <v>167.78500000000003</v>
      </c>
      <c r="BZ33" s="13">
        <f>BY33*VLOOKUP('Données projet'!$B$12,Paramètres!$A$1:$I$89,3,0)*VLOOKUP('Données projet'!$B$12,Paramètres!$A$1:$I$89,5,0)</f>
        <v>100.33543000000002</v>
      </c>
      <c r="CA33" s="13">
        <f t="shared" si="39"/>
        <v>27.041893539465132</v>
      </c>
      <c r="CB33" s="20">
        <f t="shared" si="10"/>
        <v>221.84883849790182</v>
      </c>
      <c r="CC33" s="59">
        <f t="shared" si="11"/>
        <v>460.95626343094381</v>
      </c>
      <c r="CD33" s="59">
        <f ca="1">AVERAGE(OFFSET($CC$3,0,0,'Données projet'!$E$12+1,1))-AVERAGE(OFFSET($H$3,0,0,'Données projet'!$E$12+1,1))</f>
        <v>373.61861223558259</v>
      </c>
      <c r="CE33" s="59">
        <f t="shared" si="40"/>
        <v>277.62293009761049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7.1977764380531477</v>
      </c>
      <c r="CL33" s="21">
        <f>EXP(-LN(2)/25)*CL32+(1-EXP(-LN(2)/25))/(LN(2)/25)*Calculateur!CG33*Calculateur!CI33*VLOOKUP('Données projet'!$B$12,Paramètres!$A$1:$I$89,3,0)*0.475*44/12</f>
        <v>10.137510729933814</v>
      </c>
      <c r="CM33" s="21">
        <f>EXP(-LN(2)/2)*CM32+(1-EXP(-LN(2)/2))/(LN(2)/2)*CG33*CJ33*VLOOKUP('Données projet'!$B$12,Paramètres!$A$1:$I$89,3,0)*0.475*44/12</f>
        <v>4.296467860995782</v>
      </c>
      <c r="CN33" s="22">
        <f t="shared" si="12"/>
        <v>21.631755028982745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5.0894117647058819</v>
      </c>
      <c r="N34" s="13">
        <f>IF('Données projet'!$A$36&gt;35,N33+M34-V33,IF(A34&lt;'Données projet'!$A$36,$K$205^A34,IF(A34='Données projet'!$A$36,'Données projet'!$B$36,N33+M34-V33)))</f>
        <v>109.81533510072718</v>
      </c>
      <c r="O34" s="13">
        <f>N34*VLOOKUP('Données projet'!$B$9,Paramètres!$A$1:$I$89,3,0)*VLOOKUP('Données projet'!$B$9,Paramètres!$A$1:$I$89,5,0)</f>
        <v>99.360915199137949</v>
      </c>
      <c r="P34" s="13">
        <f t="shared" si="33"/>
        <v>26.809687642018758</v>
      </c>
      <c r="Q34" s="20">
        <f t="shared" si="2"/>
        <v>219.74713328168124</v>
      </c>
      <c r="R34" s="59">
        <f t="shared" si="0"/>
        <v>459.7952564944988</v>
      </c>
      <c r="S34" s="59">
        <f ca="1">AVERAGE(OFFSET($R$3,0,0,'Données projet'!$E$9+1,1))-AVERAGE(OFFSET($H$3,0,0,'Données projet'!$E$9+1,1))</f>
        <v>737.40414421611001</v>
      </c>
      <c r="T34" s="59">
        <f t="shared" si="34"/>
        <v>245.32893490531674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17.75714285714286</v>
      </c>
      <c r="AI34" s="13">
        <f>IF('Données projet'!$A$62&gt;35,AI33+AH34-AQ33,IF(A34&lt;'Données projet'!$A$62,$AF$205^A34,IF(A34='Données projet'!$A$62,'Données projet'!$B$62,AI33+AH34-AQ33)))</f>
        <v>223.78428571428566</v>
      </c>
      <c r="AJ34" s="13">
        <f>AI34*VLOOKUP('Données projet'!$B$10,Paramètres!$A$1:$I$89,3,0)*VLOOKUP('Données projet'!$B$10,Paramètres!$A$1:$I$89,5,0)</f>
        <v>133.82300285714282</v>
      </c>
      <c r="AK34" s="13">
        <f t="shared" si="35"/>
        <v>34.878247402883147</v>
      </c>
      <c r="AL34" s="20">
        <f t="shared" si="4"/>
        <v>293.82134420287861</v>
      </c>
      <c r="AM34" s="59">
        <f t="shared" si="5"/>
        <v>533.86946741569614</v>
      </c>
      <c r="AN34" s="59">
        <f ca="1">AVERAGE(OFFSET($AM$3,0,0,'Données projet'!$E$10+1,1))-AVERAGE(OFFSET($H$3,0,0,'Données projet'!$E$10+1,1))</f>
        <v>318.6615972007902</v>
      </c>
      <c r="AO34" s="59">
        <f t="shared" si="36"/>
        <v>326.82168950869504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15.647427509032473</v>
      </c>
      <c r="AV34" s="21">
        <f>EXP(-LN(2)/25)*AV33+(1-EXP(-LN(2)/25))/(LN(2)/25)*Calculateur!AQ34*Calculateur!AS34*VLOOKUP('Données projet'!$B$10,Paramètres!$A$1:$I$89,3,0)*0.475*44/12</f>
        <v>14.677757986440117</v>
      </c>
      <c r="AW34" s="21">
        <f>EXP(-LN(2)/2)*AW33+(1-EXP(-LN(2)/2))/(LN(2)/2)*AQ34*AT34*VLOOKUP('Données projet'!$B$10,Paramètres!$A$1:$I$89,3,0)*0.475*44/12</f>
        <v>4.7359909127387638</v>
      </c>
      <c r="AX34" s="21">
        <f t="shared" si="6"/>
        <v>35.061176408211352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2.6</v>
      </c>
      <c r="BD34" s="12">
        <f>IF('Données projet'!$A$88&gt;35,BD33+BC34-BL33,IF(A34&lt;'Données projet'!$A$88,$BA$205^A34,IF(A34='Données projet'!$A$88,'Données projet'!$B$88,BD33+BC34-BL33)))</f>
        <v>54.343918151642924</v>
      </c>
      <c r="BE34" s="13">
        <f>BD34*VLOOKUP('Données projet'!$B$11,Paramètres!$A$1:$I$89,3,0)*VLOOKUP('Données projet'!$B$11,Paramètres!$A$1:$I$89,5,0)</f>
        <v>55.104733005765929</v>
      </c>
      <c r="BF34" s="13">
        <f t="shared" si="37"/>
        <v>15.924528378064688</v>
      </c>
      <c r="BG34" s="20">
        <f t="shared" si="7"/>
        <v>123.70929691017166</v>
      </c>
      <c r="BH34" s="59">
        <f t="shared" si="8"/>
        <v>363.75742012298923</v>
      </c>
      <c r="BI34" s="59">
        <f ca="1">AVERAGE(OFFSET($BH$3,0,0,'Données projet'!$E$11+1,1))-AVERAGE(OFFSET($H$3,0,0,'Données projet'!$E$11+1,1))</f>
        <v>402.96916953216805</v>
      </c>
      <c r="BJ34" s="59">
        <f t="shared" si="38"/>
        <v>164.89273051331318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16.621666666666666</v>
      </c>
      <c r="BY34" s="12">
        <f>IF('Données projet'!$A$114&gt;35,BY33+BX34-CG33,IF(A34&lt;'Données projet'!$A$114,$BV$205^A34,IF(A34='Données projet'!$A$114,'Données projet'!$B$114,BY33+BX34-CG33)))</f>
        <v>184.40666666666669</v>
      </c>
      <c r="BZ34" s="13">
        <f>BY34*VLOOKUP('Données projet'!$B$12,Paramètres!$A$1:$I$89,3,0)*VLOOKUP('Données projet'!$B$12,Paramètres!$A$1:$I$89,5,0)</f>
        <v>110.27518666666668</v>
      </c>
      <c r="CA34" s="13">
        <f t="shared" si="39"/>
        <v>29.395811266319566</v>
      </c>
      <c r="CB34" s="20">
        <f t="shared" si="10"/>
        <v>243.26032139995104</v>
      </c>
      <c r="CC34" s="59">
        <f t="shared" si="11"/>
        <v>483.3084446127686</v>
      </c>
      <c r="CD34" s="59">
        <f ca="1">AVERAGE(OFFSET($CC$3,0,0,'Données projet'!$E$12+1,1))-AVERAGE(OFFSET($H$3,0,0,'Données projet'!$E$12+1,1))</f>
        <v>373.61861223558259</v>
      </c>
      <c r="CE34" s="59">
        <f t="shared" si="40"/>
        <v>277.62293009761049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7.0566324323130551</v>
      </c>
      <c r="CL34" s="21">
        <f>EXP(-LN(2)/25)*CL33+(1-EXP(-LN(2)/25))/(LN(2)/25)*Calculateur!CG34*Calculateur!CI34*VLOOKUP('Données projet'!$B$12,Paramètres!$A$1:$I$89,3,0)*0.475*44/12</f>
        <v>9.860299965915253</v>
      </c>
      <c r="CM34" s="21">
        <f>EXP(-LN(2)/2)*CM33+(1-EXP(-LN(2)/2))/(LN(2)/2)*CG34*CJ34*VLOOKUP('Données projet'!$B$12,Paramètres!$A$1:$I$89,3,0)*0.475*44/12</f>
        <v>3.0380615596601785</v>
      </c>
      <c r="CN34" s="22">
        <f t="shared" si="12"/>
        <v>19.954993957888487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5.0894117647058819</v>
      </c>
      <c r="N35" s="13">
        <f>IF('Données projet'!$A$36&gt;35,N34+M35-V34,IF(A35&lt;'Données projet'!$A$36,$K$205^A35,IF(A35='Données projet'!$A$36,'Données projet'!$B$36,N34+M35-V34)))</f>
        <v>127.78822259452934</v>
      </c>
      <c r="O35" s="13">
        <f>N35*VLOOKUP('Données projet'!$B$9,Paramètres!$A$1:$I$89,3,0)*VLOOKUP('Données projet'!$B$9,Paramètres!$A$1:$I$89,5,0)</f>
        <v>115.62278380353014</v>
      </c>
      <c r="P35" s="13">
        <f t="shared" si="33"/>
        <v>30.651888148407128</v>
      </c>
      <c r="Q35" s="20">
        <f t="shared" ref="Q35:Q66" si="53">(O35+P35)*0.475*44/12</f>
        <v>254.76172031629076</v>
      </c>
      <c r="R35" s="59">
        <f t="shared" si="0"/>
        <v>495.73422279681608</v>
      </c>
      <c r="S35" s="59">
        <f ca="1">AVERAGE(OFFSET($R$3,0,0,'Données projet'!$E$9+1,1))-AVERAGE(OFFSET($H$3,0,0,'Données projet'!$E$9+1,1))</f>
        <v>737.40414421611001</v>
      </c>
      <c r="T35" s="59">
        <f t="shared" si="34"/>
        <v>245.32893490531674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17.75714285714286</v>
      </c>
      <c r="AI35" s="13">
        <f>IF('Données projet'!$A$62&gt;35,AI34+AH35-AQ34,IF(A35&lt;'Données projet'!$A$62,$AF$205^A35,IF(A35='Données projet'!$A$62,'Données projet'!$B$62,AI34+AH35-AQ34)))</f>
        <v>241.54142857142853</v>
      </c>
      <c r="AJ35" s="13">
        <f>AI35*VLOOKUP('Données projet'!$B$10,Paramètres!$A$1:$I$89,3,0)*VLOOKUP('Données projet'!$B$10,Paramètres!$A$1:$I$89,5,0)</f>
        <v>144.44177428571427</v>
      </c>
      <c r="AK35" s="13">
        <f t="shared" si="35"/>
        <v>37.312696517129453</v>
      </c>
      <c r="AL35" s="20">
        <f t="shared" si="4"/>
        <v>316.55570331495284</v>
      </c>
      <c r="AM35" s="59">
        <f t="shared" si="5"/>
        <v>557.52820579547813</v>
      </c>
      <c r="AN35" s="59">
        <f ca="1">AVERAGE(OFFSET($AM$3,0,0,'Données projet'!$E$10+1,1))-AVERAGE(OFFSET($H$3,0,0,'Données projet'!$E$10+1,1))</f>
        <v>318.6615972007902</v>
      </c>
      <c r="AO35" s="59">
        <f t="shared" si="36"/>
        <v>326.82168950869504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15.340590999568736</v>
      </c>
      <c r="AV35" s="21">
        <f>EXP(-LN(2)/25)*AV34+(1-EXP(-LN(2)/25))/(LN(2)/25)*Calculateur!AQ35*Calculateur!AS35*VLOOKUP('Données projet'!$B$10,Paramètres!$A$1:$I$89,3,0)*0.475*44/12</f>
        <v>14.276393922431167</v>
      </c>
      <c r="AW35" s="21">
        <f>EXP(-LN(2)/2)*AW34+(1-EXP(-LN(2)/2))/(LN(2)/2)*AQ35*AT35*VLOOKUP('Données projet'!$B$10,Paramètres!$A$1:$I$89,3,0)*0.475*44/12</f>
        <v>3.3488512900354466</v>
      </c>
      <c r="AX35" s="21">
        <f t="shared" si="6"/>
        <v>32.965836212035349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2.6</v>
      </c>
      <c r="BD35" s="12">
        <f>IF('Données projet'!$A$88&gt;35,BD34+BC35-BL34,IF(A35&lt;'Données projet'!$A$88,$BA$205^A35,IF(A35='Données projet'!$A$88,'Données projet'!$B$88,BD34+BC35-BL34)))</f>
        <v>61.819225354153737</v>
      </c>
      <c r="BE35" s="13">
        <f>BD35*VLOOKUP('Données projet'!$B$11,Paramètres!$A$1:$I$89,3,0)*VLOOKUP('Données projet'!$B$11,Paramètres!$A$1:$I$89,5,0)</f>
        <v>62.684694509111893</v>
      </c>
      <c r="BF35" s="13">
        <f t="shared" si="37"/>
        <v>17.845305137295959</v>
      </c>
      <c r="BG35" s="20">
        <f t="shared" si="7"/>
        <v>140.25641605082697</v>
      </c>
      <c r="BH35" s="59">
        <f t="shared" si="8"/>
        <v>381.22891853135229</v>
      </c>
      <c r="BI35" s="59">
        <f ca="1">AVERAGE(OFFSET($BH$3,0,0,'Données projet'!$E$11+1,1))-AVERAGE(OFFSET($H$3,0,0,'Données projet'!$E$11+1,1))</f>
        <v>402.96916953216805</v>
      </c>
      <c r="BJ35" s="59">
        <f t="shared" si="38"/>
        <v>164.89273051331318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16.621666666666666</v>
      </c>
      <c r="BY35" s="12">
        <f>IF('Données projet'!$A$114&gt;35,BY34+BX35-CG34,IF(A35&lt;'Données projet'!$A$114,$BV$205^A35,IF(A35='Données projet'!$A$114,'Données projet'!$B$114,BY34+BX35-CG34)))</f>
        <v>201.02833333333336</v>
      </c>
      <c r="BZ35" s="13">
        <f>BY35*VLOOKUP('Données projet'!$B$12,Paramètres!$A$1:$I$89,3,0)*VLOOKUP('Données projet'!$B$12,Paramètres!$A$1:$I$89,5,0)</f>
        <v>120.21494333333335</v>
      </c>
      <c r="CA35" s="13">
        <f t="shared" si="39"/>
        <v>31.725126074196275</v>
      </c>
      <c r="CB35" s="20">
        <f t="shared" si="10"/>
        <v>264.62895421811407</v>
      </c>
      <c r="CC35" s="59">
        <f t="shared" si="11"/>
        <v>505.60145669863937</v>
      </c>
      <c r="CD35" s="59">
        <f ca="1">AVERAGE(OFFSET($CC$3,0,0,'Données projet'!$E$12+1,1))-AVERAGE(OFFSET($H$3,0,0,'Données projet'!$E$12+1,1))</f>
        <v>373.61861223558259</v>
      </c>
      <c r="CE35" s="59">
        <f t="shared" si="40"/>
        <v>277.62293009761049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6.9182561744361832</v>
      </c>
      <c r="CL35" s="21">
        <f>EXP(-LN(2)/25)*CL34+(1-EXP(-LN(2)/25))/(LN(2)/25)*Calculateur!CG35*Calculateur!CI35*VLOOKUP('Données projet'!$B$12,Paramètres!$A$1:$I$89,3,0)*0.475*44/12</f>
        <v>9.5906695448166612</v>
      </c>
      <c r="CM35" s="21">
        <f>EXP(-LN(2)/2)*CM34+(1-EXP(-LN(2)/2))/(LN(2)/2)*CG35*CJ35*VLOOKUP('Données projet'!$B$12,Paramètres!$A$1:$I$89,3,0)*0.475*44/12</f>
        <v>2.1482339304978915</v>
      </c>
      <c r="CN35" s="22">
        <f t="shared" si="12"/>
        <v>18.657159649750735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5.0894117647058819</v>
      </c>
      <c r="N36" s="13">
        <f>IF('Données projet'!$A$36&gt;35,N35+M36-V35,IF(A36&lt;'Données projet'!$A$36,$K$205^A36,IF(A36='Données projet'!$A$36,'Données projet'!$B$36,N35+M36-V35)))</f>
        <v>148.70263628381758</v>
      </c>
      <c r="O36" s="13">
        <f>N36*VLOOKUP('Données projet'!$B$9,Paramètres!$A$1:$I$89,3,0)*VLOOKUP('Données projet'!$B$9,Paramètres!$A$1:$I$89,5,0)</f>
        <v>134.54614530959816</v>
      </c>
      <c r="P36" s="13">
        <f t="shared" si="33"/>
        <v>35.044729338432354</v>
      </c>
      <c r="Q36" s="20">
        <f t="shared" si="53"/>
        <v>295.37077334531978</v>
      </c>
      <c r="R36" s="59">
        <f t="shared" si="0"/>
        <v>537.25161917986054</v>
      </c>
      <c r="S36" s="59">
        <f ca="1">AVERAGE(OFFSET($R$3,0,0,'Données projet'!$E$9+1,1))-AVERAGE(OFFSET($H$3,0,0,'Données projet'!$E$9+1,1))</f>
        <v>737.40414421611001</v>
      </c>
      <c r="T36" s="59">
        <f t="shared" si="34"/>
        <v>245.32893490531674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17.75714285714286</v>
      </c>
      <c r="AI36" s="13">
        <f>IF('Données projet'!$A$62&gt;35,AI35+AH36-AQ35,IF(A36&lt;'Données projet'!$A$62,$AF$205^A36,IF(A36='Données projet'!$A$62,'Données projet'!$B$62,AI35+AH36-AQ35)))</f>
        <v>259.29857142857139</v>
      </c>
      <c r="AJ36" s="13">
        <f>AI36*VLOOKUP('Données projet'!$B$10,Paramètres!$A$1:$I$89,3,0)*VLOOKUP('Données projet'!$B$10,Paramètres!$A$1:$I$89,5,0)</f>
        <v>155.06054571428569</v>
      </c>
      <c r="AK36" s="13">
        <f t="shared" si="35"/>
        <v>39.726382578280969</v>
      </c>
      <c r="AL36" s="20">
        <f t="shared" si="4"/>
        <v>339.25390010955363</v>
      </c>
      <c r="AM36" s="59">
        <f t="shared" si="5"/>
        <v>581.13474594409433</v>
      </c>
      <c r="AN36" s="59">
        <f ca="1">AVERAGE(OFFSET($AM$3,0,0,'Données projet'!$E$10+1,1))-AVERAGE(OFFSET($H$3,0,0,'Données projet'!$E$10+1,1))</f>
        <v>318.6615972007902</v>
      </c>
      <c r="AO36" s="59">
        <f t="shared" si="36"/>
        <v>326.82168950869504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15.039771366903793</v>
      </c>
      <c r="AV36" s="21">
        <f>EXP(-LN(2)/25)*AV35+(1-EXP(-LN(2)/25))/(LN(2)/25)*Calculateur!AQ36*Calculateur!AS36*VLOOKUP('Données projet'!$B$10,Paramètres!$A$1:$I$89,3,0)*0.475*44/12</f>
        <v>13.886005179859358</v>
      </c>
      <c r="AW36" s="21">
        <f>EXP(-LN(2)/2)*AW35+(1-EXP(-LN(2)/2))/(LN(2)/2)*AQ36*AT36*VLOOKUP('Données projet'!$B$10,Paramètres!$A$1:$I$89,3,0)*0.475*44/12</f>
        <v>2.3679954563693819</v>
      </c>
      <c r="AX36" s="21">
        <f t="shared" si="6"/>
        <v>31.293772003132535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2.6</v>
      </c>
      <c r="BD36" s="12">
        <f>IF('Données projet'!$A$88&gt;35,BD35+BC36-BL35,IF(A36&lt;'Données projet'!$A$88,$BA$205^A36,IF(A36='Données projet'!$A$88,'Données projet'!$B$88,BD35+BC36-BL35)))</f>
        <v>70.322802502456469</v>
      </c>
      <c r="BE36" s="13">
        <f>BD36*VLOOKUP('Données projet'!$B$11,Paramètres!$A$1:$I$89,3,0)*VLOOKUP('Données projet'!$B$11,Paramètres!$A$1:$I$89,5,0)</f>
        <v>71.307321737490867</v>
      </c>
      <c r="BF36" s="13">
        <f t="shared" si="37"/>
        <v>19.997761182168439</v>
      </c>
      <c r="BG36" s="20">
        <f t="shared" si="7"/>
        <v>159.02301941840662</v>
      </c>
      <c r="BH36" s="59">
        <f t="shared" si="8"/>
        <v>400.90386525294736</v>
      </c>
      <c r="BI36" s="59">
        <f ca="1">AVERAGE(OFFSET($BH$3,0,0,'Données projet'!$E$11+1,1))-AVERAGE(OFFSET($H$3,0,0,'Données projet'!$E$11+1,1))</f>
        <v>402.96916953216805</v>
      </c>
      <c r="BJ36" s="59">
        <f t="shared" si="38"/>
        <v>164.89273051331318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>
        <f>VLOOKUP(A36,'Données projet'!$A$113:$I$133,2,0)</f>
        <v>217.65</v>
      </c>
      <c r="BW36" s="12">
        <f>VLOOKUP(A36,'Données projet'!$A$113:$I$133,9,0)</f>
        <v>16.621666666666666</v>
      </c>
      <c r="BX36" s="12">
        <f t="array" ref="BX36">INDEX(BW:BW,MIN(IF(ISNUMBER(BW36:BW232),ROW(BW36:BW232),"")))</f>
        <v>16.621666666666666</v>
      </c>
      <c r="BY36" s="12">
        <f>IF('Données projet'!$A$114&gt;35,BY35+BX36-CG35,IF(A36&lt;'Données projet'!$A$114,$BV$205^A36,IF(A36='Données projet'!$A$114,'Données projet'!$B$114,BY35+BX36-CG35)))</f>
        <v>217.65000000000003</v>
      </c>
      <c r="BZ36" s="13">
        <f>BY36*VLOOKUP('Données projet'!$B$12,Paramètres!$A$1:$I$89,3,0)*VLOOKUP('Données projet'!$B$12,Paramètres!$A$1:$I$89,5,0)</f>
        <v>130.15470000000002</v>
      </c>
      <c r="CA36" s="13">
        <f t="shared" si="39"/>
        <v>34.032103485601695</v>
      </c>
      <c r="CB36" s="20">
        <f t="shared" si="10"/>
        <v>285.95868273742298</v>
      </c>
      <c r="CC36" s="59">
        <f t="shared" si="11"/>
        <v>527.83952857196368</v>
      </c>
      <c r="CD36" s="59">
        <f ca="1">AVERAGE(OFFSET($CC$3,0,0,'Données projet'!$E$12+1,1))-AVERAGE(OFFSET($H$3,0,0,'Données projet'!$E$12+1,1))</f>
        <v>373.61861223558259</v>
      </c>
      <c r="CE36" s="59">
        <f t="shared" si="40"/>
        <v>277.62293009761049</v>
      </c>
      <c r="CF36" s="15">
        <f>IF(ISNA(VLOOKUP(A36,'Données projet'!$A$113:$I$133,3,0)),0,VLOOKUP(A36,'Données projet'!$A$113:$I$133,3,0))</f>
        <v>3</v>
      </c>
      <c r="CG36" s="15">
        <f>IF(ISNA(VLOOKUP(A36,'Données projet'!$A$113:$I$133,4,0)),0,VLOOKUP(A36,'Données projet'!$A$113:$I$133,4,0))</f>
        <v>50.460000000000008</v>
      </c>
      <c r="CH36" s="16">
        <f>IF(ISNA(VLOOKUP(A36,'Données projet'!$A$113:$I$133,5,0)),0%,VLOOKUP(A36,'Données projet'!$A$113:$I$133,5,0)*VLOOKUP('Données projet'!$B$12,Paramètres!$A$1:$I$89,7,0))</f>
        <v>0.1125</v>
      </c>
      <c r="CI36" s="16">
        <f>IF(ISNA(VLOOKUP(A36,'Données projet'!$A$113:$I$133,6,0)),0%,VLOOKUP(A36,'Données projet'!$A$113:$I$133,6,0)*VLOOKUP('Données projet'!$B$12,Paramètres!$A$1:$I$89,7,0))</f>
        <v>0.16650000000000001</v>
      </c>
      <c r="CJ36" s="16">
        <f>IF(ISNA(VLOOKUP(A36,'Données projet'!$A$113:$I$133,7,0)),0%,VLOOKUP(A36,'Données projet'!$A$113:$I$133,7,0))</f>
        <v>0.38</v>
      </c>
      <c r="CK36" s="21">
        <f>EXP(-LN(2)/35)*CK35+(1-EXP(-LN(2)/35))/(LN(2)/35)*CG36*CH36*VLOOKUP('Données projet'!$B$12,Paramètres!$A$1:$I$89,3,0)*0.475*44/12</f>
        <v>11.285877104480107</v>
      </c>
      <c r="CL36" s="21">
        <f>EXP(-LN(2)/25)*CL35+(1-EXP(-LN(2)/25))/(LN(2)/25)*Calculateur!CG36*Calculateur!CI36*VLOOKUP('Données projet'!$B$12,Paramètres!$A$1:$I$89,3,0)*0.475*44/12</f>
        <v>15.967029985418133</v>
      </c>
      <c r="CM36" s="21">
        <f>EXP(-LN(2)/2)*CM35+(1-EXP(-LN(2)/2))/(LN(2)/2)*CG36*CJ36*VLOOKUP('Données projet'!$B$12,Paramètres!$A$1:$I$89,3,0)*0.475*44/12</f>
        <v>14.501806839279157</v>
      </c>
      <c r="CN36" s="22">
        <f t="shared" si="12"/>
        <v>41.754713929177399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173.04</v>
      </c>
      <c r="L37" s="12">
        <f>VLOOKUP(A37,'Données projet'!$A$35:$I$55,9,0)</f>
        <v>5.0894117647058819</v>
      </c>
      <c r="M37" s="12">
        <f t="array" ref="M37">INDEX(L:L,MIN(IF(ISNUMBER(L37:L233),ROW(L37:L233),"")))</f>
        <v>5.0894117647058819</v>
      </c>
      <c r="N37" s="13">
        <f>IF('Données projet'!$A$36&gt;35,N36+M37-V36,IF(A37&lt;'Données projet'!$A$36,$K$205^A37,IF(A37='Données projet'!$A$36,'Données projet'!$B$36,N36+M37-V36)))</f>
        <v>173.04</v>
      </c>
      <c r="O37" s="13">
        <f>N37*VLOOKUP('Données projet'!$B$9,Paramètres!$A$1:$I$89,3,0)*VLOOKUP('Données projet'!$B$9,Paramètres!$A$1:$I$89,5,0)</f>
        <v>156.56659199999999</v>
      </c>
      <c r="P37" s="13">
        <f t="shared" si="33"/>
        <v>40.067125668008877</v>
      </c>
      <c r="Q37" s="20">
        <f t="shared" si="53"/>
        <v>342.47039160511548</v>
      </c>
      <c r="R37" s="59">
        <f t="shared" si="0"/>
        <v>585.24382306723101</v>
      </c>
      <c r="S37" s="59">
        <f ca="1">AVERAGE(OFFSET($R$3,0,0,'Données projet'!$E$9+1,1))-AVERAGE(OFFSET($H$3,0,0,'Données projet'!$E$9+1,1))</f>
        <v>737.40414421611001</v>
      </c>
      <c r="T37" s="59">
        <f t="shared" si="34"/>
        <v>245.32893490531674</v>
      </c>
      <c r="U37" s="15">
        <f>IF(ISNA(VLOOKUP(A37,'Données projet'!$A$35:$I$55,3,0)),0,VLOOKUP(A37,'Données projet'!$A$35:$I$55,3,0))</f>
        <v>1</v>
      </c>
      <c r="V37" s="15">
        <f>IF(ISNA(VLOOKUP(A37,'Données projet'!$A$35:$I$55,4,0)),0,VLOOKUP(A37,'Données projet'!$A$35:$I$55,4,0))</f>
        <v>36.679999999999978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0.34400000000000003</v>
      </c>
      <c r="Y37" s="16">
        <f>IF(ISNA(VLOOKUP(A37,'Données projet'!$A$35:$I$55,7,0)),0%,VLOOKUP(A37,'Données projet'!$A$35:$I$55,7,0))</f>
        <v>0.2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12.571124101178455</v>
      </c>
      <c r="AB37" s="21">
        <f>EXP(-LN(2)/2)*AB36+(1-EXP(-LN(2)/2))/(LN(2)/2)*V37*Y37*VLOOKUP('Données projet'!$B$9,Paramètres!$A$1:$I$89,3,0)*0.475*44/12</f>
        <v>6.2627663255292276</v>
      </c>
      <c r="AC37" s="22">
        <f t="shared" si="3"/>
        <v>18.833890426707683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17.75714285714286</v>
      </c>
      <c r="AI37" s="13">
        <f>IF('Données projet'!$A$62&gt;35,AI36+AH37-AQ36,IF(A37&lt;'Données projet'!$A$62,$AF$205^A37,IF(A37='Données projet'!$A$62,'Données projet'!$B$62,AI36+AH37-AQ36)))</f>
        <v>277.05571428571426</v>
      </c>
      <c r="AJ37" s="13">
        <f>AI37*VLOOKUP('Données projet'!$B$10,Paramètres!$A$1:$I$89,3,0)*VLOOKUP('Données projet'!$B$10,Paramètres!$A$1:$I$89,5,0)</f>
        <v>165.67931714285714</v>
      </c>
      <c r="AK37" s="13">
        <f t="shared" si="35"/>
        <v>42.120889227882159</v>
      </c>
      <c r="AL37" s="20">
        <f t="shared" si="4"/>
        <v>361.91869276237094</v>
      </c>
      <c r="AM37" s="59">
        <f t="shared" si="5"/>
        <v>604.69212422448652</v>
      </c>
      <c r="AN37" s="59">
        <f ca="1">AVERAGE(OFFSET($AM$3,0,0,'Données projet'!$E$10+1,1))-AVERAGE(OFFSET($H$3,0,0,'Données projet'!$E$10+1,1))</f>
        <v>318.6615972007902</v>
      </c>
      <c r="AO37" s="59">
        <f t="shared" si="36"/>
        <v>326.82168950869504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14.74485062375355</v>
      </c>
      <c r="AV37" s="21">
        <f>EXP(-LN(2)/25)*AV36+(1-EXP(-LN(2)/25))/(LN(2)/25)*Calculateur!AQ37*Calculateur!AS37*VLOOKUP('Données projet'!$B$10,Paramètres!$A$1:$I$89,3,0)*0.475*44/12</f>
        <v>13.506291637982828</v>
      </c>
      <c r="AW37" s="21">
        <f>EXP(-LN(2)/2)*AW36+(1-EXP(-LN(2)/2))/(LN(2)/2)*AQ37*AT37*VLOOKUP('Données projet'!$B$10,Paramètres!$A$1:$I$89,3,0)*0.475*44/12</f>
        <v>1.6744256450177233</v>
      </c>
      <c r="AX37" s="21">
        <f t="shared" si="6"/>
        <v>29.9255679067541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2.6</v>
      </c>
      <c r="BD37" s="12">
        <f>IF('Données projet'!$A$88&gt;35,BD36+BC37-BL36,IF(A37&lt;'Données projet'!$A$88,$BA$205^A37,IF(A37='Données projet'!$A$88,'Données projet'!$B$88,BD36+BC37-BL36)))</f>
        <v>79.996093827908425</v>
      </c>
      <c r="BE37" s="13">
        <f>BD37*VLOOKUP('Données projet'!$B$11,Paramètres!$A$1:$I$89,3,0)*VLOOKUP('Données projet'!$B$11,Paramètres!$A$1:$I$89,5,0)</f>
        <v>81.116039141499144</v>
      </c>
      <c r="BF37" s="13">
        <f t="shared" si="37"/>
        <v>22.409841088300919</v>
      </c>
      <c r="BG37" s="20">
        <f t="shared" si="7"/>
        <v>180.30757473356843</v>
      </c>
      <c r="BH37" s="59">
        <f t="shared" si="8"/>
        <v>423.08100619568404</v>
      </c>
      <c r="BI37" s="59">
        <f ca="1">AVERAGE(OFFSET($BH$3,0,0,'Données projet'!$E$11+1,1))-AVERAGE(OFFSET($H$3,0,0,'Données projet'!$E$11+1,1))</f>
        <v>402.96916953216805</v>
      </c>
      <c r="BJ37" s="59">
        <f t="shared" si="38"/>
        <v>164.89273051331318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16.693750000000001</v>
      </c>
      <c r="BY37" s="12">
        <f>IF('Données projet'!$A$114&gt;35,BY36+BX37-CG36,IF(A37&lt;'Données projet'!$A$114,$BV$205^A37,IF(A37='Données projet'!$A$114,'Données projet'!$B$114,BY36+BX37-CG36)))</f>
        <v>183.88375000000002</v>
      </c>
      <c r="BZ37" s="13">
        <f>BY37*VLOOKUP('Données projet'!$B$12,Paramètres!$A$1:$I$89,3,0)*VLOOKUP('Données projet'!$B$12,Paramètres!$A$1:$I$89,5,0)</f>
        <v>109.96248250000002</v>
      </c>
      <c r="CA37" s="13">
        <f t="shared" si="39"/>
        <v>29.322144981447174</v>
      </c>
      <c r="CB37" s="20">
        <f t="shared" si="10"/>
        <v>242.58739286352048</v>
      </c>
      <c r="CC37" s="59">
        <f t="shared" si="11"/>
        <v>485.36082432563603</v>
      </c>
      <c r="CD37" s="59">
        <f ca="1">AVERAGE(OFFSET($CC$3,0,0,'Données projet'!$E$12+1,1))-AVERAGE(OFFSET($H$3,0,0,'Données projet'!$E$12+1,1))</f>
        <v>373.61861223558259</v>
      </c>
      <c r="CE37" s="59">
        <f t="shared" si="40"/>
        <v>277.62293009761049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11.064567938166578</v>
      </c>
      <c r="CL37" s="21">
        <f>EXP(-LN(2)/25)*CL36+(1-EXP(-LN(2)/25))/(LN(2)/25)*Calculateur!CG37*Calculateur!CI37*VLOOKUP('Données projet'!$B$12,Paramètres!$A$1:$I$89,3,0)*0.475*44/12</f>
        <v>15.530410710797261</v>
      </c>
      <c r="CM37" s="21">
        <f>EXP(-LN(2)/2)*CM36+(1-EXP(-LN(2)/2))/(LN(2)/2)*CG37*CJ37*VLOOKUP('Données projet'!$B$12,Paramètres!$A$1:$I$89,3,0)*0.475*44/12</f>
        <v>10.254325955511746</v>
      </c>
      <c r="CN37" s="22">
        <f t="shared" si="12"/>
        <v>36.849304604475584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13.956249999999997</v>
      </c>
      <c r="N38" s="13">
        <f>IF('Données projet'!$A$36&gt;35,N37+M38-V37,IF(A38&lt;'Données projet'!$A$36,$K$205^A38,IF(A38='Données projet'!$A$36,'Données projet'!$B$36,N37+M38-V37)))</f>
        <v>150.31625</v>
      </c>
      <c r="O38" s="13">
        <f>N38*VLOOKUP('Données projet'!$B$9,Paramètres!$A$1:$I$89,3,0)*VLOOKUP('Données projet'!$B$9,Paramètres!$A$1:$I$89,5,0)</f>
        <v>136.00614299999998</v>
      </c>
      <c r="P38" s="13">
        <f t="shared" si="33"/>
        <v>35.380533493230494</v>
      </c>
      <c r="Q38" s="20">
        <f t="shared" si="53"/>
        <v>298.49846155904305</v>
      </c>
      <c r="R38" s="59">
        <f t="shared" si="0"/>
        <v>542.14899428361753</v>
      </c>
      <c r="S38" s="59">
        <f ca="1">AVERAGE(OFFSET($R$3,0,0,'Données projet'!$E$9+1,1))-AVERAGE(OFFSET($H$3,0,0,'Données projet'!$E$9+1,1))</f>
        <v>737.40414421611001</v>
      </c>
      <c r="T38" s="59">
        <f t="shared" si="34"/>
        <v>245.32893490531674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12.227366051545046</v>
      </c>
      <c r="AB38" s="21">
        <f>EXP(-LN(2)/2)*AB37+(1-EXP(-LN(2)/2))/(LN(2)/2)*V38*Y38*VLOOKUP('Données projet'!$B$9,Paramètres!$A$1:$I$89,3,0)*0.475*44/12</f>
        <v>4.428444537768474</v>
      </c>
      <c r="AC38" s="22">
        <f t="shared" si="3"/>
        <v>16.655810589313518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17.75714285714286</v>
      </c>
      <c r="AI38" s="13">
        <f>IF('Données projet'!$A$62&gt;35,AI37+AH38-AQ37,IF(A38&lt;'Données projet'!$A$62,$AF$205^A38,IF(A38='Données projet'!$A$62,'Données projet'!$B$62,AI37+AH38-AQ37)))</f>
        <v>294.81285714285713</v>
      </c>
      <c r="AJ38" s="13">
        <f>AI38*VLOOKUP('Données projet'!$B$10,Paramètres!$A$1:$I$89,3,0)*VLOOKUP('Données projet'!$B$10,Paramètres!$A$1:$I$89,5,0)</f>
        <v>176.29808857142859</v>
      </c>
      <c r="AK38" s="13">
        <f t="shared" si="35"/>
        <v>44.497585631767762</v>
      </c>
      <c r="AL38" s="20">
        <f t="shared" si="4"/>
        <v>384.55246590390033</v>
      </c>
      <c r="AM38" s="59">
        <f t="shared" si="5"/>
        <v>628.2029986284748</v>
      </c>
      <c r="AN38" s="59">
        <f ca="1">AVERAGE(OFFSET($AM$3,0,0,'Données projet'!$E$10+1,1))-AVERAGE(OFFSET($H$3,0,0,'Données projet'!$E$10+1,1))</f>
        <v>318.6615972007902</v>
      </c>
      <c r="AO38" s="59">
        <f t="shared" si="36"/>
        <v>326.82168950869504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14.455713096492591</v>
      </c>
      <c r="AV38" s="21">
        <f>EXP(-LN(2)/25)*AV37+(1-EXP(-LN(2)/25))/(LN(2)/25)*Calculateur!AQ38*Calculateur!AS38*VLOOKUP('Données projet'!$B$10,Paramètres!$A$1:$I$89,3,0)*0.475*44/12</f>
        <v>13.13696138287718</v>
      </c>
      <c r="AW38" s="21">
        <f>EXP(-LN(2)/2)*AW37+(1-EXP(-LN(2)/2))/(LN(2)/2)*AQ38*AT38*VLOOKUP('Données projet'!$B$10,Paramètres!$A$1:$I$89,3,0)*0.475*44/12</f>
        <v>1.183997728184691</v>
      </c>
      <c r="AX38" s="21">
        <f t="shared" si="6"/>
        <v>28.776672207554462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91</v>
      </c>
      <c r="BB38" s="12">
        <f>VLOOKUP(A38,'Données projet'!$A$87:$I$107,9,0)</f>
        <v>2.6</v>
      </c>
      <c r="BC38" s="12">
        <f t="array" ref="BC38">INDEX(BB:BB,MIN(IF(ISNUMBER(BB38:BB234),ROW(BB38:BB234),"")))</f>
        <v>2.6</v>
      </c>
      <c r="BD38" s="12">
        <f>IF('Données projet'!$A$88&gt;35,BD37+BC38-BL37,IF(A38&lt;'Données projet'!$A$88,$BA$205^A38,IF(A38='Données projet'!$A$88,'Données projet'!$B$88,BD37+BC38-BL37)))</f>
        <v>91</v>
      </c>
      <c r="BE38" s="13">
        <f>BD38*VLOOKUP('Données projet'!$B$11,Paramètres!$A$1:$I$89,3,0)*VLOOKUP('Données projet'!$B$11,Paramètres!$A$1:$I$89,5,0)</f>
        <v>92.274000000000001</v>
      </c>
      <c r="BF38" s="13">
        <f t="shared" si="37"/>
        <v>25.112860036087575</v>
      </c>
      <c r="BG38" s="20">
        <f t="shared" si="7"/>
        <v>204.4487812295192</v>
      </c>
      <c r="BH38" s="59">
        <f t="shared" si="8"/>
        <v>448.0993139540937</v>
      </c>
      <c r="BI38" s="59">
        <f ca="1">AVERAGE(OFFSET($BH$3,0,0,'Données projet'!$E$11+1,1))-AVERAGE(OFFSET($H$3,0,0,'Données projet'!$E$11+1,1))</f>
        <v>402.96916953216805</v>
      </c>
      <c r="BJ38" s="59">
        <f t="shared" si="38"/>
        <v>164.89273051331318</v>
      </c>
      <c r="BK38" s="15">
        <f>IF(ISNA(VLOOKUP(A38,'Données projet'!$A$87:$I$107,3,0)),0,VLOOKUP(A38,'Données projet'!$A$87:$I$107,3,0))</f>
        <v>1</v>
      </c>
      <c r="BL38" s="15">
        <f>IF(ISNA(VLOOKUP(A38,'Données projet'!$A$87:$I$107,4,0)),0,VLOOKUP(A38,'Données projet'!$A$87:$I$107,4,0))</f>
        <v>9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0.1075</v>
      </c>
      <c r="BO38" s="16">
        <f>IF(ISNA(VLOOKUP(A38,'Données projet'!$A$87:$I$107,7,0)),0%,VLOOKUP(A38,'Données projet'!$A$87:$I$107,7,0))</f>
        <v>0.25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1.0802460350217578</v>
      </c>
      <c r="BR38" s="21">
        <f>EXP(-LN(2)/2)*BR37+(1-EXP(-LN(2)/2))/(LN(2)/2)*BL38*BO38*VLOOKUP('Données projet'!$B$11,Paramètres!$A$1:$I$89,3,0)*0.475*44/12</f>
        <v>2.1526566556721933</v>
      </c>
      <c r="BS38" s="22">
        <f t="shared" si="9"/>
        <v>3.2329026906939511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16.693750000000001</v>
      </c>
      <c r="BY38" s="12">
        <f>IF('Données projet'!$A$114&gt;35,BY37+BX38-CG37,IF(A38&lt;'Données projet'!$A$114,$BV$205^A38,IF(A38='Données projet'!$A$114,'Données projet'!$B$114,BY37+BX38-CG37)))</f>
        <v>200.57750000000001</v>
      </c>
      <c r="BZ38" s="13">
        <f>BY38*VLOOKUP('Données projet'!$B$12,Paramètres!$A$1:$I$89,3,0)*VLOOKUP('Données projet'!$B$12,Paramètres!$A$1:$I$89,5,0)</f>
        <v>119.94534500000002</v>
      </c>
      <c r="CA38" s="13">
        <f t="shared" si="39"/>
        <v>31.662251574949313</v>
      </c>
      <c r="CB38" s="20">
        <f t="shared" si="10"/>
        <v>264.04989736803674</v>
      </c>
      <c r="CC38" s="59">
        <f t="shared" si="11"/>
        <v>507.70043009261121</v>
      </c>
      <c r="CD38" s="59">
        <f ca="1">AVERAGE(OFFSET($CC$3,0,0,'Données projet'!$E$12+1,1))-AVERAGE(OFFSET($H$3,0,0,'Données projet'!$E$12+1,1))</f>
        <v>373.61861223558259</v>
      </c>
      <c r="CE38" s="59">
        <f t="shared" si="40"/>
        <v>277.62293009761049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10.847598509619193</v>
      </c>
      <c r="CL38" s="21">
        <f>EXP(-LN(2)/25)*CL37+(1-EXP(-LN(2)/25))/(LN(2)/25)*Calculateur!CG38*Calculateur!CI38*VLOOKUP('Données projet'!$B$12,Paramètres!$A$1:$I$89,3,0)*0.475*44/12</f>
        <v>15.105730813201706</v>
      </c>
      <c r="CM38" s="21">
        <f>EXP(-LN(2)/2)*CM37+(1-EXP(-LN(2)/2))/(LN(2)/2)*CG38*CJ38*VLOOKUP('Données projet'!$B$12,Paramètres!$A$1:$I$89,3,0)*0.475*44/12</f>
        <v>7.2509034196395792</v>
      </c>
      <c r="CN38" s="22">
        <f t="shared" si="12"/>
        <v>33.204232742460476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13.956249999999997</v>
      </c>
      <c r="N39" s="13">
        <f>IF('Données projet'!$A$36&gt;35,N38+M39-V38,IF(A39&lt;'Données projet'!$A$36,$K$205^A39,IF(A39='Données projet'!$A$36,'Données projet'!$B$36,N38+M39-V38)))</f>
        <v>164.27249999999998</v>
      </c>
      <c r="O39" s="13">
        <f>N39*VLOOKUP('Données projet'!$B$9,Paramètres!$A$1:$I$89,3,0)*VLOOKUP('Données projet'!$B$9,Paramètres!$A$1:$I$89,5,0)</f>
        <v>148.63375799999997</v>
      </c>
      <c r="P39" s="13">
        <f t="shared" si="33"/>
        <v>38.267937075369332</v>
      </c>
      <c r="Q39" s="20">
        <f t="shared" si="53"/>
        <v>325.52045225626819</v>
      </c>
      <c r="R39" s="59">
        <f t="shared" si="0"/>
        <v>570.03287049730261</v>
      </c>
      <c r="S39" s="59">
        <f ca="1">AVERAGE(OFFSET($R$3,0,0,'Données projet'!$E$9+1,1))-AVERAGE(OFFSET($H$3,0,0,'Données projet'!$E$9+1,1))</f>
        <v>737.40414421611001</v>
      </c>
      <c r="T39" s="59">
        <f t="shared" si="34"/>
        <v>245.32893490531674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11.893008083856312</v>
      </c>
      <c r="AB39" s="21">
        <f>EXP(-LN(2)/2)*AB38+(1-EXP(-LN(2)/2))/(LN(2)/2)*V39*Y39*VLOOKUP('Données projet'!$B$9,Paramètres!$A$1:$I$89,3,0)*0.475*44/12</f>
        <v>3.1313831627646143</v>
      </c>
      <c r="AC39" s="22">
        <f t="shared" si="3"/>
        <v>15.024391246620926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312.57</v>
      </c>
      <c r="AG39" s="12">
        <f>VLOOKUP(A39,'Données projet'!$A$61:$I$81,9,0)</f>
        <v>17.75714285714286</v>
      </c>
      <c r="AH39" s="12">
        <f t="array" ref="AH39">INDEX(AG:AG,MIN(IF(ISNUMBER(AG39:AG235),ROW(AG39:AG235),"")))</f>
        <v>17.75714285714286</v>
      </c>
      <c r="AI39" s="13">
        <f>IF('Données projet'!$A$62&gt;35,AI38+AH39-AQ38,IF(A39&lt;'Données projet'!$A$62,$AF$205^A39,IF(A39='Données projet'!$A$62,'Données projet'!$B$62,AI38+AH39-AQ38)))</f>
        <v>312.57</v>
      </c>
      <c r="AJ39" s="13">
        <f>AI39*VLOOKUP('Données projet'!$B$10,Paramètres!$A$1:$I$89,3,0)*VLOOKUP('Données projet'!$B$10,Paramètres!$A$1:$I$89,5,0)</f>
        <v>186.91685999999999</v>
      </c>
      <c r="AK39" s="13">
        <f t="shared" si="35"/>
        <v>46.857666701992478</v>
      </c>
      <c r="AL39" s="20">
        <f t="shared" si="4"/>
        <v>407.15730067263689</v>
      </c>
      <c r="AM39" s="59">
        <f t="shared" si="5"/>
        <v>651.66971891367132</v>
      </c>
      <c r="AN39" s="59">
        <f ca="1">AVERAGE(OFFSET($AM$3,0,0,'Données projet'!$E$10+1,1))-AVERAGE(OFFSET($H$3,0,0,'Données projet'!$E$10+1,1))</f>
        <v>318.6615972007902</v>
      </c>
      <c r="AO39" s="59">
        <f t="shared" si="36"/>
        <v>326.82168950869504</v>
      </c>
      <c r="AP39" s="15">
        <f>IF(ISNA(VLOOKUP(A39,'Données projet'!$A$61:$I$81,3,0)),0,VLOOKUP(A39,'Données projet'!$A$61:$I$81,3,0))</f>
        <v>4</v>
      </c>
      <c r="AQ39" s="15">
        <f>IF(ISNA(VLOOKUP(A39,'Données projet'!$A$61:$I$81,4,0)),0,VLOOKUP(A39,'Données projet'!$A$61:$I$81,4,0))</f>
        <v>76.069999999999993</v>
      </c>
      <c r="AR39" s="16">
        <f>IF(ISNA(VLOOKUP(A39,'Données projet'!$A$61:$I$81,5,0)),0%,VLOOKUP(A39,'Données projet'!$A$61:$I$81,5,0)*VLOOKUP('Données projet'!$B$10,Paramètres!$A$1:$I$89,7,0))</f>
        <v>0.27</v>
      </c>
      <c r="AS39" s="16">
        <f>IF(ISNA(VLOOKUP(A39,'Données projet'!$A$61:$I$81,6,0)),0%,VLOOKUP(A39,'Données projet'!$A$61:$I$81,6,0)*VLOOKUP('Données projet'!$B$10,Paramètres!$A$1:$I$89,7,0))</f>
        <v>9.0000000000000011E-2</v>
      </c>
      <c r="AT39" s="16">
        <f>IF(ISNA(VLOOKUP(A39,'Données projet'!$A$61:$I$81,7,0)),0%,VLOOKUP(A39,'Données projet'!$A$61:$I$81,7,0))</f>
        <v>0.2</v>
      </c>
      <c r="AU39" s="21">
        <f>EXP(-LN(2)/35)*AU38+(1-EXP(-LN(2)/35))/(LN(2)/35)*AQ39*AR39*VLOOKUP('Données projet'!$B$10,Paramètres!$A$1:$I$89,3,0)*0.475*44/12</f>
        <v>30.465457846693397</v>
      </c>
      <c r="AV39" s="21">
        <f>EXP(-LN(2)/25)*AV38+(1-EXP(-LN(2)/25))/(LN(2)/25)*Calculateur!AQ39*Calculateur!AS39*VLOOKUP('Données projet'!$B$10,Paramètres!$A$1:$I$89,3,0)*0.475*44/12</f>
        <v>18.187417110094884</v>
      </c>
      <c r="AW39" s="21">
        <f>EXP(-LN(2)/2)*AW38+(1-EXP(-LN(2)/2))/(LN(2)/2)*AQ39*AT39*VLOOKUP('Données projet'!$B$10,Paramètres!$A$1:$I$89,3,0)*0.475*44/12</f>
        <v>11.138230562900318</v>
      </c>
      <c r="AX39" s="21">
        <f t="shared" si="6"/>
        <v>59.7911055196886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5.6</v>
      </c>
      <c r="BD39" s="12">
        <f>IF('Données projet'!$A$88&gt;35,BD38+BC39-BL38,IF(A39&lt;'Données projet'!$A$88,$BA$205^A39,IF(A39='Données projet'!$A$88,'Données projet'!$B$88,BD38+BC39-BL38)))</f>
        <v>87.6</v>
      </c>
      <c r="BE39" s="13">
        <f>BD39*VLOOKUP('Données projet'!$B$11,Paramètres!$A$1:$I$89,3,0)*VLOOKUP('Données projet'!$B$11,Paramètres!$A$1:$I$89,5,0)</f>
        <v>88.826399999999992</v>
      </c>
      <c r="BF39" s="13">
        <f t="shared" si="37"/>
        <v>24.28196507443278</v>
      </c>
      <c r="BG39" s="20">
        <f t="shared" si="7"/>
        <v>196.99706917130371</v>
      </c>
      <c r="BH39" s="59">
        <f t="shared" si="8"/>
        <v>441.5094874123381</v>
      </c>
      <c r="BI39" s="59">
        <f ca="1">AVERAGE(OFFSET($BH$3,0,0,'Données projet'!$E$11+1,1))-AVERAGE(OFFSET($H$3,0,0,'Données projet'!$E$11+1,1))</f>
        <v>402.96916953216805</v>
      </c>
      <c r="BJ39" s="59">
        <f t="shared" si="38"/>
        <v>164.89273051331318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1.0507066503864178</v>
      </c>
      <c r="BR39" s="21">
        <f>EXP(-LN(2)/2)*BR38+(1-EXP(-LN(2)/2))/(LN(2)/2)*BL39*BO39*VLOOKUP('Données projet'!$B$11,Paramètres!$A$1:$I$89,3,0)*0.475*44/12</f>
        <v>1.5221581187921629</v>
      </c>
      <c r="BS39" s="22">
        <f t="shared" si="9"/>
        <v>2.5728647691785804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16.693750000000001</v>
      </c>
      <c r="BY39" s="12">
        <f>IF('Données projet'!$A$114&gt;35,BY38+BX39-CG38,IF(A39&lt;'Données projet'!$A$114,$BV$205^A39,IF(A39='Données projet'!$A$114,'Données projet'!$B$114,BY38+BX39-CG38)))</f>
        <v>217.27125000000001</v>
      </c>
      <c r="BZ39" s="13">
        <f>BY39*VLOOKUP('Données projet'!$B$12,Paramètres!$A$1:$I$89,3,0)*VLOOKUP('Données projet'!$B$12,Paramètres!$A$1:$I$89,5,0)</f>
        <v>129.92820750000001</v>
      </c>
      <c r="CA39" s="13">
        <f t="shared" si="39"/>
        <v>33.97976966017913</v>
      </c>
      <c r="CB39" s="20">
        <f t="shared" si="10"/>
        <v>285.47306022064532</v>
      </c>
      <c r="CC39" s="59">
        <f t="shared" si="11"/>
        <v>529.9854784616798</v>
      </c>
      <c r="CD39" s="59">
        <f ca="1">AVERAGE(OFFSET($CC$3,0,0,'Données projet'!$E$12+1,1))-AVERAGE(OFFSET($H$3,0,0,'Données projet'!$E$12+1,1))</f>
        <v>373.61861223558259</v>
      </c>
      <c r="CE39" s="59">
        <f t="shared" si="40"/>
        <v>277.62293009761049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10.634883719227338</v>
      </c>
      <c r="CL39" s="21">
        <f>EXP(-LN(2)/25)*CL38+(1-EXP(-LN(2)/25))/(LN(2)/25)*Calculateur!CG39*Calculateur!CI39*VLOOKUP('Données projet'!$B$12,Paramètres!$A$1:$I$89,3,0)*0.475*44/12</f>
        <v>14.692663809738846</v>
      </c>
      <c r="CM39" s="21">
        <f>EXP(-LN(2)/2)*CM38+(1-EXP(-LN(2)/2))/(LN(2)/2)*CG39*CJ39*VLOOKUP('Données projet'!$B$12,Paramètres!$A$1:$I$89,3,0)*0.475*44/12</f>
        <v>5.1271629777558738</v>
      </c>
      <c r="CN39" s="22">
        <f t="shared" si="12"/>
        <v>30.454710506722058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13.956249999999997</v>
      </c>
      <c r="N40" s="13">
        <f>IF('Données projet'!$A$36&gt;35,N39+M40-V39,IF(A40&lt;'Données projet'!$A$36,$K$205^A40,IF(A40='Données projet'!$A$36,'Données projet'!$B$36,N39+M40-V39)))</f>
        <v>178.22874999999999</v>
      </c>
      <c r="O40" s="13">
        <f>N40*VLOOKUP('Données projet'!$B$9,Paramètres!$A$1:$I$89,3,0)*VLOOKUP('Données projet'!$B$9,Paramètres!$A$1:$I$89,5,0)</f>
        <v>161.26137299999999</v>
      </c>
      <c r="P40" s="13">
        <f t="shared" si="33"/>
        <v>41.126891450739848</v>
      </c>
      <c r="Q40" s="20">
        <f t="shared" si="53"/>
        <v>352.49289391837186</v>
      </c>
      <c r="R40" s="59">
        <f t="shared" si="0"/>
        <v>597.85224588904293</v>
      </c>
      <c r="S40" s="59">
        <f ca="1">AVERAGE(OFFSET($R$3,0,0,'Données projet'!$E$9+1,1))-AVERAGE(OFFSET($H$3,0,0,'Données projet'!$E$9+1,1))</f>
        <v>737.40414421611001</v>
      </c>
      <c r="T40" s="59">
        <f t="shared" si="34"/>
        <v>245.32893490531674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11.567793152377147</v>
      </c>
      <c r="AB40" s="21">
        <f>EXP(-LN(2)/2)*AB39+(1-EXP(-LN(2)/2))/(LN(2)/2)*V40*Y40*VLOOKUP('Données projet'!$B$9,Paramètres!$A$1:$I$89,3,0)*0.475*44/12</f>
        <v>2.2142222688842375</v>
      </c>
      <c r="AC40" s="22">
        <f t="shared" si="3"/>
        <v>13.782015421261384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16.528750000000002</v>
      </c>
      <c r="AI40" s="13">
        <f>IF('Données projet'!$A$62&gt;35,AI39+AH40-AQ39,IF(A40&lt;'Données projet'!$A$62,$AF$205^A40,IF(A40='Données projet'!$A$62,'Données projet'!$B$62,AI39+AH40-AQ39)))</f>
        <v>253.02875</v>
      </c>
      <c r="AJ40" s="13">
        <f>AI40*VLOOKUP('Données projet'!$B$10,Paramètres!$A$1:$I$89,3,0)*VLOOKUP('Données projet'!$B$10,Paramètres!$A$1:$I$89,5,0)</f>
        <v>151.3111925</v>
      </c>
      <c r="AK40" s="13">
        <f t="shared" si="35"/>
        <v>38.876407720674635</v>
      </c>
      <c r="AL40" s="20">
        <f t="shared" si="4"/>
        <v>331.24340371767499</v>
      </c>
      <c r="AM40" s="59">
        <f t="shared" si="5"/>
        <v>576.60275568834606</v>
      </c>
      <c r="AN40" s="59">
        <f ca="1">AVERAGE(OFFSET($AM$3,0,0,'Données projet'!$E$10+1,1))-AVERAGE(OFFSET($H$3,0,0,'Données projet'!$E$10+1,1))</f>
        <v>318.6615972007902</v>
      </c>
      <c r="AO40" s="59">
        <f t="shared" si="36"/>
        <v>326.82168950869504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29.868048800414197</v>
      </c>
      <c r="AV40" s="21">
        <f>EXP(-LN(2)/25)*AV39+(1-EXP(-LN(2)/25))/(LN(2)/25)*Calculateur!AQ40*Calculateur!AS40*VLOOKUP('Données projet'!$B$10,Paramètres!$A$1:$I$89,3,0)*0.475*44/12</f>
        <v>17.690081232784642</v>
      </c>
      <c r="AW40" s="21">
        <f>EXP(-LN(2)/2)*AW39+(1-EXP(-LN(2)/2))/(LN(2)/2)*AQ40*AT40*VLOOKUP('Données projet'!$B$10,Paramètres!$A$1:$I$89,3,0)*0.475*44/12</f>
        <v>7.8759183614460717</v>
      </c>
      <c r="AX40" s="21">
        <f t="shared" si="6"/>
        <v>55.434048394644904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5.6</v>
      </c>
      <c r="BD40" s="12">
        <f>IF('Données projet'!$A$88&gt;35,BD39+BC40-BL39,IF(A40&lt;'Données projet'!$A$88,$BA$205^A40,IF(A40='Données projet'!$A$88,'Données projet'!$B$88,BD39+BC40-BL39)))</f>
        <v>93.199999999999989</v>
      </c>
      <c r="BE40" s="13">
        <f>BD40*VLOOKUP('Données projet'!$B$11,Paramètres!$A$1:$I$89,3,0)*VLOOKUP('Données projet'!$B$11,Paramètres!$A$1:$I$89,5,0)</f>
        <v>94.504799999999989</v>
      </c>
      <c r="BF40" s="13">
        <f t="shared" si="37"/>
        <v>25.648566776452995</v>
      </c>
      <c r="BG40" s="20">
        <f t="shared" si="7"/>
        <v>209.26711380232226</v>
      </c>
      <c r="BH40" s="59">
        <f t="shared" si="8"/>
        <v>454.62646577299336</v>
      </c>
      <c r="BI40" s="59">
        <f ca="1">AVERAGE(OFFSET($BH$3,0,0,'Données projet'!$E$11+1,1))-AVERAGE(OFFSET($H$3,0,0,'Données projet'!$E$11+1,1))</f>
        <v>402.96916953216805</v>
      </c>
      <c r="BJ40" s="59">
        <f t="shared" si="38"/>
        <v>164.89273051331318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1.0219750217773398</v>
      </c>
      <c r="BR40" s="21">
        <f>EXP(-LN(2)/2)*BR39+(1-EXP(-LN(2)/2))/(LN(2)/2)*BL40*BO40*VLOOKUP('Données projet'!$B$11,Paramètres!$A$1:$I$89,3,0)*0.475*44/12</f>
        <v>1.0763283278360969</v>
      </c>
      <c r="BS40" s="22">
        <f t="shared" si="9"/>
        <v>2.0983033496134365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16.693750000000001</v>
      </c>
      <c r="BY40" s="12">
        <f>IF('Données projet'!$A$114&gt;35,BY39+BX40-CG39,IF(A40&lt;'Données projet'!$A$114,$BV$205^A40,IF(A40='Données projet'!$A$114,'Données projet'!$B$114,BY39+BX40-CG39)))</f>
        <v>233.965</v>
      </c>
      <c r="BZ40" s="13">
        <f>BY40*VLOOKUP('Données projet'!$B$12,Paramètres!$A$1:$I$89,3,0)*VLOOKUP('Données projet'!$B$12,Paramètres!$A$1:$I$89,5,0)</f>
        <v>139.91107000000002</v>
      </c>
      <c r="CA40" s="13">
        <f t="shared" si="39"/>
        <v>36.276632127461212</v>
      </c>
      <c r="CB40" s="20">
        <f t="shared" si="10"/>
        <v>306.860247871995</v>
      </c>
      <c r="CC40" s="59">
        <f t="shared" si="11"/>
        <v>552.21959984266607</v>
      </c>
      <c r="CD40" s="59">
        <f ca="1">AVERAGE(OFFSET($CC$3,0,0,'Données projet'!$E$12+1,1))-AVERAGE(OFFSET($H$3,0,0,'Données projet'!$E$12+1,1))</f>
        <v>373.61861223558259</v>
      </c>
      <c r="CE40" s="59">
        <f t="shared" si="40"/>
        <v>277.62293009761049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10.426340136131856</v>
      </c>
      <c r="CL40" s="21">
        <f>EXP(-LN(2)/25)*CL39+(1-EXP(-LN(2)/25))/(LN(2)/25)*Calculateur!CG40*Calculateur!CI40*VLOOKUP('Données projet'!$B$12,Paramètres!$A$1:$I$89,3,0)*0.475*44/12</f>
        <v>14.290892145207929</v>
      </c>
      <c r="CM40" s="21">
        <f>EXP(-LN(2)/2)*CM39+(1-EXP(-LN(2)/2))/(LN(2)/2)*CG40*CJ40*VLOOKUP('Données projet'!$B$12,Paramètres!$A$1:$I$89,3,0)*0.475*44/12</f>
        <v>3.6254517098197905</v>
      </c>
      <c r="CN40" s="22">
        <f t="shared" si="12"/>
        <v>28.342683991159575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13.956249999999997</v>
      </c>
      <c r="N41" s="13">
        <f>IF('Données projet'!$A$36&gt;35,N40+M41-V40,IF(A41&lt;'Données projet'!$A$36,$K$205^A41,IF(A41='Données projet'!$A$36,'Données projet'!$B$36,N40+M41-V40)))</f>
        <v>192.185</v>
      </c>
      <c r="O41" s="13">
        <f>N41*VLOOKUP('Données projet'!$B$9,Paramètres!$A$1:$I$89,3,0)*VLOOKUP('Données projet'!$B$9,Paramètres!$A$1:$I$89,5,0)</f>
        <v>173.88898799999998</v>
      </c>
      <c r="P41" s="13">
        <f t="shared" si="33"/>
        <v>43.959877621771504</v>
      </c>
      <c r="Q41" s="20">
        <f t="shared" si="53"/>
        <v>379.42010762458534</v>
      </c>
      <c r="R41" s="59">
        <f t="shared" si="0"/>
        <v>625.61170091814404</v>
      </c>
      <c r="S41" s="59">
        <f ca="1">AVERAGE(OFFSET($R$3,0,0,'Données projet'!$E$9+1,1))-AVERAGE(OFFSET($H$3,0,0,'Données projet'!$E$9+1,1))</f>
        <v>737.40414421611001</v>
      </c>
      <c r="T41" s="59">
        <f t="shared" si="34"/>
        <v>245.32893490531674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11.251471240301591</v>
      </c>
      <c r="AB41" s="21">
        <f>EXP(-LN(2)/2)*AB40+(1-EXP(-LN(2)/2))/(LN(2)/2)*V41*Y41*VLOOKUP('Données projet'!$B$9,Paramètres!$A$1:$I$89,3,0)*0.475*44/12</f>
        <v>1.5656915813823074</v>
      </c>
      <c r="AC41" s="22">
        <f t="shared" si="3"/>
        <v>12.817162821683898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16.528750000000002</v>
      </c>
      <c r="AI41" s="13">
        <f>IF('Données projet'!$A$62&gt;35,AI40+AH41-AQ40,IF(A41&lt;'Données projet'!$A$62,$AF$205^A41,IF(A41='Données projet'!$A$62,'Données projet'!$B$62,AI40+AH41-AQ40)))</f>
        <v>269.5575</v>
      </c>
      <c r="AJ41" s="13">
        <f>AI41*VLOOKUP('Données projet'!$B$10,Paramètres!$A$1:$I$89,3,0)*VLOOKUP('Données projet'!$B$10,Paramètres!$A$1:$I$89,5,0)</f>
        <v>161.19538500000002</v>
      </c>
      <c r="AK41" s="13">
        <f t="shared" si="35"/>
        <v>41.112020917262186</v>
      </c>
      <c r="AL41" s="20">
        <f t="shared" si="4"/>
        <v>352.35206530589829</v>
      </c>
      <c r="AM41" s="59">
        <f t="shared" si="5"/>
        <v>598.54365859945699</v>
      </c>
      <c r="AN41" s="59">
        <f ca="1">AVERAGE(OFFSET($AM$3,0,0,'Données projet'!$E$10+1,1))-AVERAGE(OFFSET($H$3,0,0,'Données projet'!$E$10+1,1))</f>
        <v>318.6615972007902</v>
      </c>
      <c r="AO41" s="59">
        <f t="shared" si="36"/>
        <v>326.82168950869504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29.282354581148994</v>
      </c>
      <c r="AV41" s="21">
        <f>EXP(-LN(2)/25)*AV40+(1-EXP(-LN(2)/25))/(LN(2)/25)*Calculateur!AQ41*Calculateur!AS41*VLOOKUP('Données projet'!$B$10,Paramètres!$A$1:$I$89,3,0)*0.475*44/12</f>
        <v>17.206345031193205</v>
      </c>
      <c r="AW41" s="21">
        <f>EXP(-LN(2)/2)*AW40+(1-EXP(-LN(2)/2))/(LN(2)/2)*AQ41*AT41*VLOOKUP('Données projet'!$B$10,Paramètres!$A$1:$I$89,3,0)*0.475*44/12</f>
        <v>5.5691152814501601</v>
      </c>
      <c r="AX41" s="21">
        <f t="shared" si="6"/>
        <v>52.057814893792361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5.6</v>
      </c>
      <c r="BD41" s="12">
        <f>IF('Données projet'!$A$88&gt;35,BD40+BC41-BL40,IF(A41&lt;'Données projet'!$A$88,$BA$205^A41,IF(A41='Données projet'!$A$88,'Données projet'!$B$88,BD40+BC41-BL40)))</f>
        <v>98.799999999999983</v>
      </c>
      <c r="BE41" s="13">
        <f>BD41*VLOOKUP('Données projet'!$B$11,Paramètres!$A$1:$I$89,3,0)*VLOOKUP('Données projet'!$B$11,Paramètres!$A$1:$I$89,5,0)</f>
        <v>100.18319999999999</v>
      </c>
      <c r="BF41" s="13">
        <f t="shared" si="37"/>
        <v>27.005637771733042</v>
      </c>
      <c r="BG41" s="20">
        <f t="shared" si="7"/>
        <v>221.52055911910168</v>
      </c>
      <c r="BH41" s="59">
        <f t="shared" si="8"/>
        <v>467.71215241266043</v>
      </c>
      <c r="BI41" s="59">
        <f ca="1">AVERAGE(OFFSET($BH$3,0,0,'Données projet'!$E$11+1,1))-AVERAGE(OFFSET($H$3,0,0,'Données projet'!$E$11+1,1))</f>
        <v>402.96916953216805</v>
      </c>
      <c r="BJ41" s="59">
        <f t="shared" si="38"/>
        <v>164.89273051331318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0.99402906106350775</v>
      </c>
      <c r="BR41" s="21">
        <f>EXP(-LN(2)/2)*BR40+(1-EXP(-LN(2)/2))/(LN(2)/2)*BL41*BO41*VLOOKUP('Données projet'!$B$11,Paramètres!$A$1:$I$89,3,0)*0.475*44/12</f>
        <v>0.76107905939608156</v>
      </c>
      <c r="BS41" s="22">
        <f t="shared" si="9"/>
        <v>1.7551081204595893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16.693750000000001</v>
      </c>
      <c r="BY41" s="12">
        <f>IF('Données projet'!$A$114&gt;35,BY40+BX41-CG40,IF(A41&lt;'Données projet'!$A$114,$BV$205^A41,IF(A41='Données projet'!$A$114,'Données projet'!$B$114,BY40+BX41-CG40)))</f>
        <v>250.65875</v>
      </c>
      <c r="BZ41" s="13">
        <f>BY41*VLOOKUP('Données projet'!$B$12,Paramètres!$A$1:$I$89,3,0)*VLOOKUP('Données projet'!$B$12,Paramètres!$A$1:$I$89,5,0)</f>
        <v>149.89393250000001</v>
      </c>
      <c r="CA41" s="13">
        <f t="shared" si="39"/>
        <v>38.554480408619099</v>
      </c>
      <c r="CB41" s="20">
        <f t="shared" si="10"/>
        <v>328.21431914917827</v>
      </c>
      <c r="CC41" s="59">
        <f t="shared" si="11"/>
        <v>574.40591244273696</v>
      </c>
      <c r="CD41" s="59">
        <f ca="1">AVERAGE(OFFSET($CC$3,0,0,'Données projet'!$E$12+1,1))-AVERAGE(OFFSET($H$3,0,0,'Données projet'!$E$12+1,1))</f>
        <v>373.61861223558259</v>
      </c>
      <c r="CE41" s="59">
        <f t="shared" si="40"/>
        <v>277.62293009761049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10.221885965501851</v>
      </c>
      <c r="CL41" s="21">
        <f>EXP(-LN(2)/25)*CL40+(1-EXP(-LN(2)/25))/(LN(2)/25)*Calculateur!CG41*Calculateur!CI41*VLOOKUP('Données projet'!$B$12,Paramètres!$A$1:$I$89,3,0)*0.475*44/12</f>
        <v>13.900106947971862</v>
      </c>
      <c r="CM41" s="21">
        <f>EXP(-LN(2)/2)*CM40+(1-EXP(-LN(2)/2))/(LN(2)/2)*CG41*CJ41*VLOOKUP('Données projet'!$B$12,Paramètres!$A$1:$I$89,3,0)*0.475*44/12</f>
        <v>2.5635814888779374</v>
      </c>
      <c r="CN41" s="22">
        <f t="shared" si="12"/>
        <v>26.685574402351648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13.956249999999997</v>
      </c>
      <c r="N42" s="13">
        <f>IF('Données projet'!$A$36&gt;35,N41+M42-V41,IF(A42&lt;'Données projet'!$A$36,$K$205^A42,IF(A42='Données projet'!$A$36,'Données projet'!$B$36,N41+M42-V41)))</f>
        <v>206.14125000000001</v>
      </c>
      <c r="O42" s="13">
        <f>N42*VLOOKUP('Données projet'!$B$9,Paramètres!$A$1:$I$89,3,0)*VLOOKUP('Données projet'!$B$9,Paramètres!$A$1:$I$89,5,0)</f>
        <v>186.516603</v>
      </c>
      <c r="P42" s="13">
        <f t="shared" si="33"/>
        <v>46.768995827807657</v>
      </c>
      <c r="Q42" s="20">
        <f t="shared" si="53"/>
        <v>406.30575129176503</v>
      </c>
      <c r="R42" s="59">
        <f t="shared" si="0"/>
        <v>653.31514838187218</v>
      </c>
      <c r="S42" s="59">
        <f ca="1">AVERAGE(OFFSET($R$3,0,0,'Données projet'!$E$9+1,1))-AVERAGE(OFFSET($H$3,0,0,'Données projet'!$E$9+1,1))</f>
        <v>737.40414421611001</v>
      </c>
      <c r="T42" s="59">
        <f t="shared" si="34"/>
        <v>245.32893490531674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10.943799167546386</v>
      </c>
      <c r="AB42" s="21">
        <f>EXP(-LN(2)/2)*AB41+(1-EXP(-LN(2)/2))/(LN(2)/2)*V42*Y42*VLOOKUP('Données projet'!$B$9,Paramètres!$A$1:$I$89,3,0)*0.475*44/12</f>
        <v>1.1071111344421189</v>
      </c>
      <c r="AC42" s="22">
        <f t="shared" si="3"/>
        <v>12.050910301988505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16.528750000000002</v>
      </c>
      <c r="AI42" s="13">
        <f>IF('Données projet'!$A$62&gt;35,AI41+AH42-AQ41,IF(A42&lt;'Données projet'!$A$62,$AF$205^A42,IF(A42='Données projet'!$A$62,'Données projet'!$B$62,AI41+AH42-AQ41)))</f>
        <v>286.08625000000001</v>
      </c>
      <c r="AJ42" s="13">
        <f>AI42*VLOOKUP('Données projet'!$B$10,Paramètres!$A$1:$I$89,3,0)*VLOOKUP('Données projet'!$B$10,Paramètres!$A$1:$I$89,5,0)</f>
        <v>171.07957750000003</v>
      </c>
      <c r="AK42" s="13">
        <f t="shared" si="35"/>
        <v>43.331723878407622</v>
      </c>
      <c r="AL42" s="20">
        <f t="shared" si="4"/>
        <v>373.43301656739328</v>
      </c>
      <c r="AM42" s="59">
        <f t="shared" si="5"/>
        <v>620.44241365750042</v>
      </c>
      <c r="AN42" s="59">
        <f ca="1">AVERAGE(OFFSET($AM$3,0,0,'Données projet'!$E$10+1,1))-AVERAGE(OFFSET($H$3,0,0,'Données projet'!$E$10+1,1))</f>
        <v>318.6615972007902</v>
      </c>
      <c r="AO42" s="59">
        <f t="shared" si="36"/>
        <v>326.82168950869504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28.70814546828538</v>
      </c>
      <c r="AV42" s="21">
        <f>EXP(-LN(2)/25)*AV41+(1-EXP(-LN(2)/25))/(LN(2)/25)*Calculateur!AQ42*Calculateur!AS42*VLOOKUP('Données projet'!$B$10,Paramètres!$A$1:$I$89,3,0)*0.475*44/12</f>
        <v>16.735836621472867</v>
      </c>
      <c r="AW42" s="21">
        <f>EXP(-LN(2)/2)*AW41+(1-EXP(-LN(2)/2))/(LN(2)/2)*AQ42*AT42*VLOOKUP('Données projet'!$B$10,Paramètres!$A$1:$I$89,3,0)*0.475*44/12</f>
        <v>3.9379591807230367</v>
      </c>
      <c r="AX42" s="21">
        <f t="shared" si="6"/>
        <v>49.381941270481285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5.6</v>
      </c>
      <c r="BD42" s="12">
        <f>IF('Données projet'!$A$88&gt;35,BD41+BC42-BL41,IF(A42&lt;'Données projet'!$A$88,$BA$205^A42,IF(A42='Données projet'!$A$88,'Données projet'!$B$88,BD41+BC42-BL41)))</f>
        <v>104.39999999999998</v>
      </c>
      <c r="BE42" s="13">
        <f>BD42*VLOOKUP('Données projet'!$B$11,Paramètres!$A$1:$I$89,3,0)*VLOOKUP('Données projet'!$B$11,Paramètres!$A$1:$I$89,5,0)</f>
        <v>105.86159999999998</v>
      </c>
      <c r="BF42" s="13">
        <f t="shared" si="37"/>
        <v>28.353779818951288</v>
      </c>
      <c r="BG42" s="20">
        <f t="shared" si="7"/>
        <v>233.75845318467347</v>
      </c>
      <c r="BH42" s="59">
        <f t="shared" si="8"/>
        <v>480.76785027478059</v>
      </c>
      <c r="BI42" s="59">
        <f ca="1">AVERAGE(OFFSET($BH$3,0,0,'Données projet'!$E$11+1,1))-AVERAGE(OFFSET($H$3,0,0,'Données projet'!$E$11+1,1))</f>
        <v>402.96916953216805</v>
      </c>
      <c r="BJ42" s="59">
        <f t="shared" si="38"/>
        <v>164.89273051331318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0.96684728411500964</v>
      </c>
      <c r="BR42" s="21">
        <f>EXP(-LN(2)/2)*BR41+(1-EXP(-LN(2)/2))/(LN(2)/2)*BL42*BO42*VLOOKUP('Données projet'!$B$11,Paramètres!$A$1:$I$89,3,0)*0.475*44/12</f>
        <v>0.53816416391804844</v>
      </c>
      <c r="BS42" s="22">
        <f t="shared" si="9"/>
        <v>1.5050114480330581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16.693750000000001</v>
      </c>
      <c r="BY42" s="12">
        <f>IF('Données projet'!$A$114&gt;35,BY41+BX42-CG41,IF(A42&lt;'Données projet'!$A$114,$BV$205^A42,IF(A42='Données projet'!$A$114,'Données projet'!$B$114,BY41+BX42-CG41)))</f>
        <v>267.35250000000002</v>
      </c>
      <c r="BZ42" s="13">
        <f>BY42*VLOOKUP('Données projet'!$B$12,Paramètres!$A$1:$I$89,3,0)*VLOOKUP('Données projet'!$B$12,Paramètres!$A$1:$I$89,5,0)</f>
        <v>159.87679500000002</v>
      </c>
      <c r="CA42" s="13">
        <f t="shared" si="39"/>
        <v>40.814724929285397</v>
      </c>
      <c r="CB42" s="20">
        <f t="shared" si="10"/>
        <v>349.5377305435054</v>
      </c>
      <c r="CC42" s="59">
        <f t="shared" si="11"/>
        <v>596.54712763361249</v>
      </c>
      <c r="CD42" s="59">
        <f ca="1">AVERAGE(OFFSET($CC$3,0,0,'Données projet'!$E$12+1,1))-AVERAGE(OFFSET($H$3,0,0,'Données projet'!$E$12+1,1))</f>
        <v>373.61861223558259</v>
      </c>
      <c r="CE42" s="59">
        <f t="shared" si="40"/>
        <v>277.62293009761049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10.021441016453171</v>
      </c>
      <c r="CL42" s="21">
        <f>EXP(-LN(2)/25)*CL41+(1-EXP(-LN(2)/25))/(LN(2)/25)*Calculateur!CG42*Calculateur!CI42*VLOOKUP('Données projet'!$B$12,Paramètres!$A$1:$I$89,3,0)*0.475*44/12</f>
        <v>13.520007792504716</v>
      </c>
      <c r="CM42" s="21">
        <f>EXP(-LN(2)/2)*CM41+(1-EXP(-LN(2)/2))/(LN(2)/2)*CG42*CJ42*VLOOKUP('Données projet'!$B$12,Paramètres!$A$1:$I$89,3,0)*0.475*44/12</f>
        <v>1.8127258549098955</v>
      </c>
      <c r="CN42" s="22">
        <f t="shared" si="12"/>
        <v>25.354174663867784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13.956249999999997</v>
      </c>
      <c r="N43" s="13">
        <f>IF('Données projet'!$A$36&gt;35,N42+M43-V42,IF(A43&lt;'Données projet'!$A$36,$K$205^A43,IF(A43='Données projet'!$A$36,'Données projet'!$B$36,N42+M43-V42)))</f>
        <v>220.09750000000003</v>
      </c>
      <c r="O43" s="13">
        <f>N43*VLOOKUP('Données projet'!$B$9,Paramètres!$A$1:$I$89,3,0)*VLOOKUP('Données projet'!$B$9,Paramètres!$A$1:$I$89,5,0)</f>
        <v>199.14421800000002</v>
      </c>
      <c r="P43" s="13">
        <f t="shared" si="33"/>
        <v>49.55604583218453</v>
      </c>
      <c r="Q43" s="20">
        <f t="shared" si="53"/>
        <v>433.15295950772139</v>
      </c>
      <c r="R43" s="59">
        <f t="shared" si="0"/>
        <v>680.96597332684223</v>
      </c>
      <c r="S43" s="59">
        <f ca="1">AVERAGE(OFFSET($R$3,0,0,'Données projet'!$E$9+1,1))-AVERAGE(OFFSET($H$3,0,0,'Données projet'!$E$9+1,1))</f>
        <v>737.40414421611001</v>
      </c>
      <c r="T43" s="59">
        <f t="shared" si="34"/>
        <v>245.32893490531674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10.644540403800445</v>
      </c>
      <c r="AB43" s="21">
        <f>EXP(-LN(2)/2)*AB42+(1-EXP(-LN(2)/2))/(LN(2)/2)*V43*Y43*VLOOKUP('Données projet'!$B$9,Paramètres!$A$1:$I$89,3,0)*0.475*44/12</f>
        <v>0.7828457906911539</v>
      </c>
      <c r="AC43" s="22">
        <f t="shared" si="3"/>
        <v>11.427386194491598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16.528750000000002</v>
      </c>
      <c r="AI43" s="13">
        <f>IF('Données projet'!$A$62&gt;35,AI42+AH43-AQ42,IF(A43&lt;'Données projet'!$A$62,$AF$205^A43,IF(A43='Données projet'!$A$62,'Données projet'!$B$62,AI42+AH43-AQ42)))</f>
        <v>302.61500000000001</v>
      </c>
      <c r="AJ43" s="13">
        <f>AI43*VLOOKUP('Données projet'!$B$10,Paramètres!$A$1:$I$89,3,0)*VLOOKUP('Données projet'!$B$10,Paramètres!$A$1:$I$89,5,0)</f>
        <v>180.96377000000001</v>
      </c>
      <c r="AK43" s="13">
        <f t="shared" si="35"/>
        <v>45.536540550242194</v>
      </c>
      <c r="AL43" s="20">
        <f t="shared" si="4"/>
        <v>394.4880408750052</v>
      </c>
      <c r="AM43" s="59">
        <f t="shared" si="5"/>
        <v>642.30105469412604</v>
      </c>
      <c r="AN43" s="59">
        <f ca="1">AVERAGE(OFFSET($AM$3,0,0,'Données projet'!$E$10+1,1))-AVERAGE(OFFSET($H$3,0,0,'Données projet'!$E$10+1,1))</f>
        <v>318.6615972007902</v>
      </c>
      <c r="AO43" s="59">
        <f t="shared" si="36"/>
        <v>326.82168950869504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28.145196245892048</v>
      </c>
      <c r="AV43" s="21">
        <f>EXP(-LN(2)/25)*AV42+(1-EXP(-LN(2)/25))/(LN(2)/25)*Calculateur!AQ43*Calculateur!AS43*VLOOKUP('Données projet'!$B$10,Paramètres!$A$1:$I$89,3,0)*0.475*44/12</f>
        <v>16.278194288959295</v>
      </c>
      <c r="AW43" s="21">
        <f>EXP(-LN(2)/2)*AW42+(1-EXP(-LN(2)/2))/(LN(2)/2)*AQ43*AT43*VLOOKUP('Données projet'!$B$10,Paramètres!$A$1:$I$89,3,0)*0.475*44/12</f>
        <v>2.7845576407250805</v>
      </c>
      <c r="AX43" s="21">
        <f t="shared" si="6"/>
        <v>47.207948175576426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110</v>
      </c>
      <c r="BB43" s="12">
        <f>VLOOKUP(A43,'Données projet'!$A$87:$I$107,9,0)</f>
        <v>5.6</v>
      </c>
      <c r="BC43" s="12">
        <f t="array" ref="BC43">INDEX(BB:BB,MIN(IF(ISNUMBER(BB43:BB239),ROW(BB43:BB239),"")))</f>
        <v>5.6</v>
      </c>
      <c r="BD43" s="12">
        <f>IF('Données projet'!$A$88&gt;35,BD42+BC43-BL42,IF(A43&lt;'Données projet'!$A$88,$BA$205^A43,IF(A43='Données projet'!$A$88,'Données projet'!$B$88,BD42+BC43-BL42)))</f>
        <v>109.99999999999997</v>
      </c>
      <c r="BE43" s="13">
        <f>BD43*VLOOKUP('Données projet'!$B$11,Paramètres!$A$1:$I$89,3,0)*VLOOKUP('Données projet'!$B$11,Paramètres!$A$1:$I$89,5,0)</f>
        <v>111.53999999999998</v>
      </c>
      <c r="BF43" s="13">
        <f t="shared" si="37"/>
        <v>29.693526474261301</v>
      </c>
      <c r="BG43" s="20">
        <f t="shared" si="7"/>
        <v>245.98172527600505</v>
      </c>
      <c r="BH43" s="59">
        <f t="shared" si="8"/>
        <v>493.79473909512586</v>
      </c>
      <c r="BI43" s="59">
        <f ca="1">AVERAGE(OFFSET($BH$3,0,0,'Données projet'!$E$11+1,1))-AVERAGE(OFFSET($H$3,0,0,'Données projet'!$E$11+1,1))</f>
        <v>402.96916953216805</v>
      </c>
      <c r="BJ43" s="59">
        <f t="shared" si="38"/>
        <v>164.89273051331318</v>
      </c>
      <c r="BK43" s="15">
        <f>IF(ISNA(VLOOKUP(A43,'Données projet'!$A$87:$I$107,3,0)),0,VLOOKUP(A43,'Données projet'!$A$87:$I$107,3,0))</f>
        <v>2</v>
      </c>
      <c r="BL43" s="15">
        <f>IF(ISNA(VLOOKUP(A43,'Données projet'!$A$87:$I$107,4,0)),0,VLOOKUP(A43,'Données projet'!$A$87:$I$107,4,0))</f>
        <v>10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0.1075</v>
      </c>
      <c r="BO43" s="16">
        <f>IF(ISNA(VLOOKUP(A43,'Données projet'!$A$87:$I$107,7,0)),0%,VLOOKUP(A43,'Données projet'!$A$87:$I$107,7,0))</f>
        <v>0.25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2.1406821665329927</v>
      </c>
      <c r="BR43" s="21">
        <f>EXP(-LN(2)/2)*BR42+(1-EXP(-LN(2)/2))/(LN(2)/2)*BL43*BO43*VLOOKUP('Données projet'!$B$11,Paramètres!$A$1:$I$89,3,0)*0.475*44/12</f>
        <v>2.7723802582226997</v>
      </c>
      <c r="BS43" s="22">
        <f t="shared" si="9"/>
        <v>4.913062424755692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16.693750000000001</v>
      </c>
      <c r="BY43" s="12">
        <f>IF('Données projet'!$A$114&gt;35,BY42+BX43-CG42,IF(A43&lt;'Données projet'!$A$114,$BV$205^A43,IF(A43='Données projet'!$A$114,'Données projet'!$B$114,BY42+BX43-CG42)))</f>
        <v>284.04625000000004</v>
      </c>
      <c r="BZ43" s="13">
        <f>BY43*VLOOKUP('Données projet'!$B$12,Paramètres!$A$1:$I$89,3,0)*VLOOKUP('Données projet'!$B$12,Paramètres!$A$1:$I$89,5,0)</f>
        <v>169.85965750000003</v>
      </c>
      <c r="CA43" s="13">
        <f t="shared" si="39"/>
        <v>43.058590023226742</v>
      </c>
      <c r="CB43" s="20">
        <f t="shared" si="10"/>
        <v>370.83261443628663</v>
      </c>
      <c r="CC43" s="59">
        <f t="shared" si="11"/>
        <v>618.64562825540747</v>
      </c>
      <c r="CD43" s="59">
        <f ca="1">AVERAGE(OFFSET($CC$3,0,0,'Données projet'!$E$12+1,1))-AVERAGE(OFFSET($H$3,0,0,'Données projet'!$E$12+1,1))</f>
        <v>373.61861223558259</v>
      </c>
      <c r="CE43" s="59">
        <f t="shared" si="40"/>
        <v>277.62293009761049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9.8249266705959872</v>
      </c>
      <c r="CL43" s="21">
        <f>EXP(-LN(2)/25)*CL42+(1-EXP(-LN(2)/25))/(LN(2)/25)*Calculateur!CG43*Calculateur!CI43*VLOOKUP('Données projet'!$B$12,Paramètres!$A$1:$I$89,3,0)*0.475*44/12</f>
        <v>13.150302468432365</v>
      </c>
      <c r="CM43" s="21">
        <f>EXP(-LN(2)/2)*CM42+(1-EXP(-LN(2)/2))/(LN(2)/2)*CG43*CJ43*VLOOKUP('Données projet'!$B$12,Paramètres!$A$1:$I$89,3,0)*0.475*44/12</f>
        <v>1.2817907444389689</v>
      </c>
      <c r="CN43" s="22">
        <f t="shared" si="12"/>
        <v>24.257019883467319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13.956249999999997</v>
      </c>
      <c r="N44" s="13">
        <f>IF('Données projet'!$A$36&gt;35,N43+M44-V43,IF(A44&lt;'Données projet'!$A$36,$K$205^A44,IF(A44='Données projet'!$A$36,'Données projet'!$B$36,N43+M44-V43)))</f>
        <v>234.05375000000004</v>
      </c>
      <c r="O44" s="13">
        <f>N44*VLOOKUP('Données projet'!$B$9,Paramètres!$A$1:$I$89,3,0)*VLOOKUP('Données projet'!$B$9,Paramètres!$A$1:$I$89,5,0)</f>
        <v>211.77183300000004</v>
      </c>
      <c r="P44" s="13">
        <f t="shared" si="33"/>
        <v>52.322586251762758</v>
      </c>
      <c r="Q44" s="20">
        <f t="shared" si="53"/>
        <v>459.9644468634869</v>
      </c>
      <c r="R44" s="59">
        <f t="shared" si="0"/>
        <v>708.56713645799084</v>
      </c>
      <c r="S44" s="59">
        <f ca="1">AVERAGE(OFFSET($R$3,0,0,'Données projet'!$E$9+1,1))-AVERAGE(OFFSET($H$3,0,0,'Données projet'!$E$9+1,1))</f>
        <v>737.40414421611001</v>
      </c>
      <c r="T44" s="59">
        <f t="shared" si="34"/>
        <v>245.32893490531674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10.353464886686471</v>
      </c>
      <c r="AB44" s="21">
        <f>EXP(-LN(2)/2)*AB43+(1-EXP(-LN(2)/2))/(LN(2)/2)*V44*Y44*VLOOKUP('Données projet'!$B$9,Paramètres!$A$1:$I$89,3,0)*0.475*44/12</f>
        <v>0.55355556722105959</v>
      </c>
      <c r="AC44" s="22">
        <f t="shared" si="3"/>
        <v>10.90702045390753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16.528750000000002</v>
      </c>
      <c r="AI44" s="13">
        <f>IF('Données projet'!$A$62&gt;35,AI43+AH44-AQ43,IF(A44&lt;'Données projet'!$A$62,$AF$205^A44,IF(A44='Données projet'!$A$62,'Données projet'!$B$62,AI43+AH44-AQ43)))</f>
        <v>319.14375000000001</v>
      </c>
      <c r="AJ44" s="13">
        <f>AI44*VLOOKUP('Données projet'!$B$10,Paramètres!$A$1:$I$89,3,0)*VLOOKUP('Données projet'!$B$10,Paramètres!$A$1:$I$89,5,0)</f>
        <v>190.84796250000002</v>
      </c>
      <c r="AK44" s="13">
        <f t="shared" si="35"/>
        <v>47.727376706202115</v>
      </c>
      <c r="AL44" s="20">
        <f t="shared" si="4"/>
        <v>415.51871578413534</v>
      </c>
      <c r="AM44" s="59">
        <f t="shared" si="5"/>
        <v>664.12140537863934</v>
      </c>
      <c r="AN44" s="59">
        <f ca="1">AVERAGE(OFFSET($AM$3,0,0,'Données projet'!$E$10+1,1))-AVERAGE(OFFSET($H$3,0,0,'Données projet'!$E$10+1,1))</f>
        <v>318.6615972007902</v>
      </c>
      <c r="AO44" s="59">
        <f t="shared" si="36"/>
        <v>326.82168950869504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27.593286114384728</v>
      </c>
      <c r="AV44" s="21">
        <f>EXP(-LN(2)/25)*AV43+(1-EXP(-LN(2)/25))/(LN(2)/25)*Calculateur!AQ44*Calculateur!AS44*VLOOKUP('Données projet'!$B$10,Paramètres!$A$1:$I$89,3,0)*0.475*44/12</f>
        <v>15.833066210094669</v>
      </c>
      <c r="AW44" s="21">
        <f>EXP(-LN(2)/2)*AW43+(1-EXP(-LN(2)/2))/(LN(2)/2)*AQ44*AT44*VLOOKUP('Données projet'!$B$10,Paramètres!$A$1:$I$89,3,0)*0.475*44/12</f>
        <v>1.9689795903615186</v>
      </c>
      <c r="AX44" s="21">
        <f t="shared" si="6"/>
        <v>45.395331914840916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5.6</v>
      </c>
      <c r="BD44" s="12">
        <f>IF('Données projet'!$A$88&gt;35,BD43+BC44-BL43,IF(A44&lt;'Données projet'!$A$88,$BA$205^A44,IF(A44='Données projet'!$A$88,'Données projet'!$B$88,BD43+BC44-BL43)))</f>
        <v>105.59999999999997</v>
      </c>
      <c r="BE44" s="13">
        <f>BD44*VLOOKUP('Données projet'!$B$11,Paramètres!$A$1:$I$89,3,0)*VLOOKUP('Données projet'!$B$11,Paramètres!$A$1:$I$89,5,0)</f>
        <v>107.07839999999999</v>
      </c>
      <c r="BF44" s="13">
        <f t="shared" si="37"/>
        <v>28.64155810910178</v>
      </c>
      <c r="BG44" s="20">
        <f t="shared" si="7"/>
        <v>236.37892704001885</v>
      </c>
      <c r="BH44" s="59">
        <f t="shared" si="8"/>
        <v>484.98161663452282</v>
      </c>
      <c r="BI44" s="59">
        <f ca="1">AVERAGE(OFFSET($BH$3,0,0,'Données projet'!$E$11+1,1))-AVERAGE(OFFSET($H$3,0,0,'Données projet'!$E$11+1,1))</f>
        <v>402.96916953216805</v>
      </c>
      <c r="BJ44" s="59">
        <f t="shared" si="38"/>
        <v>164.89273051331318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2.0821451001155653</v>
      </c>
      <c r="BR44" s="21">
        <f>EXP(-LN(2)/2)*BR43+(1-EXP(-LN(2)/2))/(LN(2)/2)*BL44*BO44*VLOOKUP('Données projet'!$B$11,Paramètres!$A$1:$I$89,3,0)*0.475*44/12</f>
        <v>1.9603688806169828</v>
      </c>
      <c r="BS44" s="22">
        <f t="shared" si="9"/>
        <v>4.0425139807325481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>
        <f>VLOOKUP(A44,'Données projet'!$A$113:$I$133,2,0)</f>
        <v>300.74</v>
      </c>
      <c r="BW44" s="12">
        <f>VLOOKUP(A44,'Données projet'!$A$113:$I$133,9,0)</f>
        <v>16.693750000000001</v>
      </c>
      <c r="BX44" s="12">
        <f t="array" ref="BX44">INDEX(BW:BW,MIN(IF(ISNUMBER(BW44:BW240),ROW(BW44:BW240),"")))</f>
        <v>16.693750000000001</v>
      </c>
      <c r="BY44" s="12">
        <f>IF('Données projet'!$A$114&gt;35,BY43+BX44-CG43,IF(A44&lt;'Données projet'!$A$114,$BV$205^A44,IF(A44='Données projet'!$A$114,'Données projet'!$B$114,BY43+BX44-CG43)))</f>
        <v>300.74000000000007</v>
      </c>
      <c r="BZ44" s="13">
        <f>BY44*VLOOKUP('Données projet'!$B$12,Paramètres!$A$1:$I$89,3,0)*VLOOKUP('Données projet'!$B$12,Paramètres!$A$1:$I$89,5,0)</f>
        <v>179.84252000000006</v>
      </c>
      <c r="CA44" s="13">
        <f t="shared" si="39"/>
        <v>45.287147983377729</v>
      </c>
      <c r="CB44" s="20">
        <f t="shared" si="10"/>
        <v>392.10083840438301</v>
      </c>
      <c r="CC44" s="59">
        <f t="shared" si="11"/>
        <v>640.70352799888701</v>
      </c>
      <c r="CD44" s="59">
        <f ca="1">AVERAGE(OFFSET($CC$3,0,0,'Données projet'!$E$12+1,1))-AVERAGE(OFFSET($H$3,0,0,'Données projet'!$E$12+1,1))</f>
        <v>373.61861223558259</v>
      </c>
      <c r="CE44" s="59">
        <f t="shared" si="40"/>
        <v>277.62293009761049</v>
      </c>
      <c r="CF44" s="15">
        <f>IF(ISNA(VLOOKUP(A44,'Données projet'!$A$113:$I$133,3,0)),0,VLOOKUP(A44,'Données projet'!$A$113:$I$133,3,0))</f>
        <v>4</v>
      </c>
      <c r="CG44" s="15">
        <f>IF(ISNA(VLOOKUP(A44,'Données projet'!$A$113:$I$133,4,0)),0,VLOOKUP(A44,'Données projet'!$A$113:$I$133,4,0))</f>
        <v>72.16</v>
      </c>
      <c r="CH44" s="16">
        <f>IF(ISNA(VLOOKUP(A44,'Données projet'!$A$113:$I$133,5,0)),0%,VLOOKUP(A44,'Données projet'!$A$113:$I$133,5,0)*VLOOKUP('Données projet'!$B$12,Paramètres!$A$1:$I$89,7,0))</f>
        <v>0.27</v>
      </c>
      <c r="CI44" s="16">
        <f>IF(ISNA(VLOOKUP(A44,'Données projet'!$A$113:$I$133,6,0)),0%,VLOOKUP(A44,'Données projet'!$A$113:$I$133,6,0)*VLOOKUP('Données projet'!$B$12,Paramètres!$A$1:$I$89,7,0))</f>
        <v>9.0000000000000011E-2</v>
      </c>
      <c r="CJ44" s="16">
        <f>IF(ISNA(VLOOKUP(A44,'Données projet'!$A$113:$I$133,7,0)),0%,VLOOKUP(A44,'Données projet'!$A$113:$I$133,7,0))</f>
        <v>0.2</v>
      </c>
      <c r="CK44" s="21">
        <f>EXP(-LN(2)/35)*CK43+(1-EXP(-LN(2)/35))/(LN(2)/35)*CG44*CH44*VLOOKUP('Données projet'!$B$12,Paramètres!$A$1:$I$89,3,0)*0.475*44/12</f>
        <v>25.088006768934498</v>
      </c>
      <c r="CL44" s="21">
        <f>EXP(-LN(2)/25)*CL43+(1-EXP(-LN(2)/25))/(LN(2)/25)*Calculateur!CG44*Calculateur!CI44*VLOOKUP('Données projet'!$B$12,Paramètres!$A$1:$I$89,3,0)*0.475*44/12</f>
        <v>17.922335348103143</v>
      </c>
      <c r="CM44" s="21">
        <f>EXP(-LN(2)/2)*CM43+(1-EXP(-LN(2)/2))/(LN(2)/2)*CG44*CJ44*VLOOKUP('Données projet'!$B$12,Paramètres!$A$1:$I$89,3,0)*0.475*44/12</f>
        <v>10.677908085160318</v>
      </c>
      <c r="CN44" s="22">
        <f t="shared" si="12"/>
        <v>53.688250202197956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248.01</v>
      </c>
      <c r="L45" s="12">
        <f>VLOOKUP(A45,'Données projet'!$A$35:$I$55,9,0)</f>
        <v>13.956249999999997</v>
      </c>
      <c r="M45" s="12">
        <f t="array" ref="M45">INDEX(L:L,MIN(IF(ISNUMBER(L45:L241),ROW(L45:L241),"")))</f>
        <v>13.956249999999997</v>
      </c>
      <c r="N45" s="13">
        <f>IF('Données projet'!$A$36&gt;35,N44+M45-V44,IF(A45&lt;'Données projet'!$A$36,$K$205^A45,IF(A45='Données projet'!$A$36,'Données projet'!$B$36,N44+M45-V44)))</f>
        <v>248.01000000000005</v>
      </c>
      <c r="O45" s="13">
        <f>N45*VLOOKUP('Données projet'!$B$9,Paramètres!$A$1:$I$89,3,0)*VLOOKUP('Données projet'!$B$9,Paramètres!$A$1:$I$89,5,0)</f>
        <v>224.39944800000004</v>
      </c>
      <c r="P45" s="13">
        <f t="shared" si="33"/>
        <v>55.06997932657665</v>
      </c>
      <c r="Q45" s="20">
        <f t="shared" si="53"/>
        <v>486.74258592712107</v>
      </c>
      <c r="R45" s="59">
        <f t="shared" si="0"/>
        <v>736.12125218775577</v>
      </c>
      <c r="S45" s="59">
        <f ca="1">AVERAGE(OFFSET($R$3,0,0,'Données projet'!$E$9+1,1))-AVERAGE(OFFSET($H$3,0,0,'Données projet'!$E$9+1,1))</f>
        <v>737.40414421611001</v>
      </c>
      <c r="T45" s="59">
        <f t="shared" si="34"/>
        <v>245.32893490531674</v>
      </c>
      <c r="U45" s="15">
        <f>IF(ISNA(VLOOKUP(A45,'Données projet'!$A$35:$I$55,3,0)),0,VLOOKUP(A45,'Données projet'!$A$35:$I$55,3,0))</f>
        <v>2</v>
      </c>
      <c r="V45" s="15">
        <f>IF(ISNA(VLOOKUP(A45,'Données projet'!$A$35:$I$55,4,0)),0,VLOOKUP(A45,'Données projet'!$A$35:$I$55,4,0))</f>
        <v>58.099999999999994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0.34400000000000003</v>
      </c>
      <c r="Y45" s="16">
        <f>IF(ISNA(VLOOKUP(A45,'Données projet'!$A$35:$I$55,7,0)),0%,VLOOKUP(A45,'Données projet'!$A$35:$I$55,7,0))</f>
        <v>0.2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29.982625570044064</v>
      </c>
      <c r="AB45" s="21">
        <f>EXP(-LN(2)/2)*AB44+(1-EXP(-LN(2)/2))/(LN(2)/2)*V45*Y45*VLOOKUP('Données projet'!$B$9,Paramètres!$A$1:$I$89,3,0)*0.475*44/12</f>
        <v>10.311453525477758</v>
      </c>
      <c r="AC45" s="22">
        <f t="shared" si="3"/>
        <v>40.294079095521823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16.528750000000002</v>
      </c>
      <c r="AI45" s="13">
        <f>IF('Données projet'!$A$62&gt;35,AI44+AH45-AQ44,IF(A45&lt;'Données projet'!$A$62,$AF$205^A45,IF(A45='Données projet'!$A$62,'Données projet'!$B$62,AI44+AH45-AQ44)))</f>
        <v>335.67250000000001</v>
      </c>
      <c r="AJ45" s="13">
        <f>AI45*VLOOKUP('Données projet'!$B$10,Paramètres!$A$1:$I$89,3,0)*VLOOKUP('Données projet'!$B$10,Paramètres!$A$1:$I$89,5,0)</f>
        <v>200.73215500000003</v>
      </c>
      <c r="AK45" s="13">
        <f t="shared" si="35"/>
        <v>49.905038998805807</v>
      </c>
      <c r="AL45" s="20">
        <f t="shared" si="4"/>
        <v>436.52644621458688</v>
      </c>
      <c r="AM45" s="59">
        <f t="shared" si="5"/>
        <v>685.90511247522159</v>
      </c>
      <c r="AN45" s="59">
        <f ca="1">AVERAGE(OFFSET($AM$3,0,0,'Données projet'!$E$10+1,1))-AVERAGE(OFFSET($H$3,0,0,'Données projet'!$E$10+1,1))</f>
        <v>318.6615972007902</v>
      </c>
      <c r="AO45" s="59">
        <f t="shared" si="36"/>
        <v>326.82168950869504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27.052198603924325</v>
      </c>
      <c r="AV45" s="21">
        <f>EXP(-LN(2)/25)*AV44+(1-EXP(-LN(2)/25))/(LN(2)/25)*Calculateur!AQ45*Calculateur!AS45*VLOOKUP('Données projet'!$B$10,Paramètres!$A$1:$I$89,3,0)*0.475*44/12</f>
        <v>15.400110181954865</v>
      </c>
      <c r="AW45" s="21">
        <f>EXP(-LN(2)/2)*AW44+(1-EXP(-LN(2)/2))/(LN(2)/2)*AQ45*AT45*VLOOKUP('Données projet'!$B$10,Paramètres!$A$1:$I$89,3,0)*0.475*44/12</f>
        <v>1.3922788203625405</v>
      </c>
      <c r="AX45" s="21">
        <f t="shared" si="6"/>
        <v>43.844587606241731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5.6</v>
      </c>
      <c r="BD45" s="12">
        <f>IF('Données projet'!$A$88&gt;35,BD44+BC45-BL44,IF(A45&lt;'Données projet'!$A$88,$BA$205^A45,IF(A45='Données projet'!$A$88,'Données projet'!$B$88,BD44+BC45-BL44)))</f>
        <v>111.19999999999996</v>
      </c>
      <c r="BE45" s="13">
        <f>BD45*VLOOKUP('Données projet'!$B$11,Paramètres!$A$1:$I$89,3,0)*VLOOKUP('Données projet'!$B$11,Paramètres!$A$1:$I$89,5,0)</f>
        <v>112.75679999999996</v>
      </c>
      <c r="BF45" s="13">
        <f t="shared" si="37"/>
        <v>29.979569481474449</v>
      </c>
      <c r="BG45" s="20">
        <f t="shared" si="7"/>
        <v>248.59917684690126</v>
      </c>
      <c r="BH45" s="59">
        <f t="shared" si="8"/>
        <v>497.97784310753599</v>
      </c>
      <c r="BI45" s="59">
        <f ca="1">AVERAGE(OFFSET($BH$3,0,0,'Données projet'!$E$11+1,1))-AVERAGE(OFFSET($H$3,0,0,'Données projet'!$E$11+1,1))</f>
        <v>402.96916953216805</v>
      </c>
      <c r="BJ45" s="59">
        <f t="shared" si="38"/>
        <v>164.89273051331318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2.0252087328576533</v>
      </c>
      <c r="BR45" s="21">
        <f>EXP(-LN(2)/2)*BR44+(1-EXP(-LN(2)/2))/(LN(2)/2)*BL45*BO45*VLOOKUP('Données projet'!$B$11,Paramètres!$A$1:$I$89,3,0)*0.475*44/12</f>
        <v>1.3861901291113501</v>
      </c>
      <c r="BS45" s="22">
        <f t="shared" si="9"/>
        <v>3.4113988619690034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15.714444444444442</v>
      </c>
      <c r="BY45" s="12">
        <f>IF('Données projet'!$A$114&gt;35,BY44+BX45-CG44,IF(A45&lt;'Données projet'!$A$114,$BV$205^A45,IF(A45='Données projet'!$A$114,'Données projet'!$B$114,BY44+BX45-CG44)))</f>
        <v>244.29444444444451</v>
      </c>
      <c r="BZ45" s="13">
        <f>BY45*VLOOKUP('Données projet'!$B$12,Paramètres!$A$1:$I$89,3,0)*VLOOKUP('Données projet'!$B$12,Paramètres!$A$1:$I$89,5,0)</f>
        <v>146.08807777777784</v>
      </c>
      <c r="CA45" s="13">
        <f t="shared" si="39"/>
        <v>37.688224634642516</v>
      </c>
      <c r="CB45" s="20">
        <f t="shared" si="10"/>
        <v>320.07706003496543</v>
      </c>
      <c r="CC45" s="59">
        <f t="shared" si="11"/>
        <v>569.45572629560013</v>
      </c>
      <c r="CD45" s="59">
        <f ca="1">AVERAGE(OFFSET($CC$3,0,0,'Données projet'!$E$12+1,1))-AVERAGE(OFFSET($H$3,0,0,'Données projet'!$E$12+1,1))</f>
        <v>373.61861223558259</v>
      </c>
      <c r="CE45" s="59">
        <f t="shared" si="40"/>
        <v>277.62293009761049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24.596046258368858</v>
      </c>
      <c r="CL45" s="21">
        <f>EXP(-LN(2)/25)*CL44+(1-EXP(-LN(2)/25))/(LN(2)/25)*Calculateur!CG45*Calculateur!CI45*VLOOKUP('Données projet'!$B$12,Paramètres!$A$1:$I$89,3,0)*0.475*44/12</f>
        <v>17.43224814551461</v>
      </c>
      <c r="CM45" s="21">
        <f>EXP(-LN(2)/2)*CM44+(1-EXP(-LN(2)/2))/(LN(2)/2)*CG45*CJ45*VLOOKUP('Données projet'!$B$12,Paramètres!$A$1:$I$89,3,0)*0.475*44/12</f>
        <v>7.5504212159035244</v>
      </c>
      <c r="CN45" s="22">
        <f t="shared" si="12"/>
        <v>49.57871561978699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14.351250000000004</v>
      </c>
      <c r="N46" s="13">
        <f>IF('Données projet'!$A$36&gt;35,N45+M46-V45,IF(A46&lt;'Données projet'!$A$36,$K$205^A46,IF(A46='Données projet'!$A$36,'Données projet'!$B$36,N45+M46-V45)))</f>
        <v>204.26125000000005</v>
      </c>
      <c r="O46" s="13">
        <f>N46*VLOOKUP('Données projet'!$B$9,Paramètres!$A$1:$I$89,3,0)*VLOOKUP('Données projet'!$B$9,Paramètres!$A$1:$I$89,5,0)</f>
        <v>184.81557900000004</v>
      </c>
      <c r="P46" s="13">
        <f t="shared" si="33"/>
        <v>46.391911974203119</v>
      </c>
      <c r="Q46" s="20">
        <f t="shared" si="53"/>
        <v>402.6863801134038</v>
      </c>
      <c r="R46" s="59">
        <f t="shared" si="0"/>
        <v>652.8275615798359</v>
      </c>
      <c r="S46" s="59">
        <f ca="1">AVERAGE(OFFSET($R$3,0,0,'Données projet'!$E$9+1,1))-AVERAGE(OFFSET($H$3,0,0,'Données projet'!$E$9+1,1))</f>
        <v>737.40414421611001</v>
      </c>
      <c r="T46" s="59">
        <f t="shared" si="34"/>
        <v>245.32893490531674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29.162749097113455</v>
      </c>
      <c r="AB46" s="21">
        <f>EXP(-LN(2)/2)*AB45+(1-EXP(-LN(2)/2))/(LN(2)/2)*V46*Y46*VLOOKUP('Données projet'!$B$9,Paramètres!$A$1:$I$89,3,0)*0.475*44/12</f>
        <v>7.291298711755255</v>
      </c>
      <c r="AC46" s="22">
        <f t="shared" si="3"/>
        <v>36.454047808868708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16.528750000000002</v>
      </c>
      <c r="AI46" s="13">
        <f>IF('Données projet'!$A$62&gt;35,AI45+AH46-AQ45,IF(A46&lt;'Données projet'!$A$62,$AF$205^A46,IF(A46='Données projet'!$A$62,'Données projet'!$B$62,AI45+AH46-AQ45)))</f>
        <v>352.20125000000002</v>
      </c>
      <c r="AJ46" s="13">
        <f>AI46*VLOOKUP('Données projet'!$B$10,Paramètres!$A$1:$I$89,3,0)*VLOOKUP('Données projet'!$B$10,Paramètres!$A$1:$I$89,5,0)</f>
        <v>210.61634750000005</v>
      </c>
      <c r="AK46" s="13">
        <f t="shared" si="35"/>
        <v>52.07025015240697</v>
      </c>
      <c r="AL46" s="20">
        <f t="shared" si="4"/>
        <v>457.51249091127556</v>
      </c>
      <c r="AM46" s="59">
        <f t="shared" si="5"/>
        <v>707.65367237770761</v>
      </c>
      <c r="AN46" s="59">
        <f ca="1">AVERAGE(OFFSET($AM$3,0,0,'Données projet'!$E$10+1,1))-AVERAGE(OFFSET($H$3,0,0,'Données projet'!$E$10+1,1))</f>
        <v>318.6615972007902</v>
      </c>
      <c r="AO46" s="59">
        <f t="shared" si="36"/>
        <v>326.82168950869504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26.521721489513258</v>
      </c>
      <c r="AV46" s="21">
        <f>EXP(-LN(2)/25)*AV45+(1-EXP(-LN(2)/25))/(LN(2)/25)*Calculateur!AQ46*Calculateur!AS46*VLOOKUP('Données projet'!$B$10,Paramètres!$A$1:$I$89,3,0)*0.475*44/12</f>
        <v>14.978993359172712</v>
      </c>
      <c r="AW46" s="21">
        <f>EXP(-LN(2)/2)*AW45+(1-EXP(-LN(2)/2))/(LN(2)/2)*AQ46*AT46*VLOOKUP('Données projet'!$B$10,Paramètres!$A$1:$I$89,3,0)*0.475*44/12</f>
        <v>0.98448979518075952</v>
      </c>
      <c r="AX46" s="21">
        <f t="shared" si="6"/>
        <v>42.48520464386673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5.6</v>
      </c>
      <c r="BD46" s="12">
        <f>IF('Données projet'!$A$88&gt;35,BD45+BC46-BL45,IF(A46&lt;'Données projet'!$A$88,$BA$205^A46,IF(A46='Données projet'!$A$88,'Données projet'!$B$88,BD45+BC46-BL45)))</f>
        <v>116.79999999999995</v>
      </c>
      <c r="BE46" s="13">
        <f>BD46*VLOOKUP('Données projet'!$B$11,Paramètres!$A$1:$I$89,3,0)*VLOOKUP('Données projet'!$B$11,Paramètres!$A$1:$I$89,5,0)</f>
        <v>118.43519999999997</v>
      </c>
      <c r="BF46" s="13">
        <f t="shared" si="37"/>
        <v>31.309757056296963</v>
      </c>
      <c r="BG46" s="20">
        <f t="shared" si="7"/>
        <v>260.80580020638382</v>
      </c>
      <c r="BH46" s="59">
        <f t="shared" si="8"/>
        <v>510.94698167281587</v>
      </c>
      <c r="BI46" s="59">
        <f ca="1">AVERAGE(OFFSET($BH$3,0,0,'Données projet'!$E$11+1,1))-AVERAGE(OFFSET($H$3,0,0,'Données projet'!$E$11+1,1))</f>
        <v>402.96916953216805</v>
      </c>
      <c r="BJ46" s="59">
        <f t="shared" si="38"/>
        <v>164.89273051331318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1.9698292935565622</v>
      </c>
      <c r="BR46" s="21">
        <f>EXP(-LN(2)/2)*BR45+(1-EXP(-LN(2)/2))/(LN(2)/2)*BL46*BO46*VLOOKUP('Données projet'!$B$11,Paramètres!$A$1:$I$89,3,0)*0.475*44/12</f>
        <v>0.98018444030849161</v>
      </c>
      <c r="BS46" s="22">
        <f t="shared" si="9"/>
        <v>2.9500137338650538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15.714444444444442</v>
      </c>
      <c r="BY46" s="12">
        <f>IF('Données projet'!$A$114&gt;35,BY45+BX46-CG45,IF(A46&lt;'Données projet'!$A$114,$BV$205^A46,IF(A46='Données projet'!$A$114,'Données projet'!$B$114,BY45+BX46-CG45)))</f>
        <v>260.00888888888898</v>
      </c>
      <c r="BZ46" s="13">
        <f>BY46*VLOOKUP('Données projet'!$B$12,Paramètres!$A$1:$I$89,3,0)*VLOOKUP('Données projet'!$B$12,Paramètres!$A$1:$I$89,5,0)</f>
        <v>155.48531555555562</v>
      </c>
      <c r="CA46" s="13">
        <f t="shared" si="39"/>
        <v>39.822525633411466</v>
      </c>
      <c r="CB46" s="20">
        <f t="shared" si="10"/>
        <v>340.16115673745094</v>
      </c>
      <c r="CC46" s="59">
        <f t="shared" si="11"/>
        <v>590.30233820388298</v>
      </c>
      <c r="CD46" s="59">
        <f ca="1">AVERAGE(OFFSET($CC$3,0,0,'Données projet'!$E$12+1,1))-AVERAGE(OFFSET($H$3,0,0,'Données projet'!$E$12+1,1))</f>
        <v>373.61861223558259</v>
      </c>
      <c r="CE46" s="59">
        <f t="shared" si="40"/>
        <v>277.62293009761049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24.113732793349126</v>
      </c>
      <c r="CL46" s="21">
        <f>EXP(-LN(2)/25)*CL45+(1-EXP(-LN(2)/25))/(LN(2)/25)*Calculateur!CG46*Calculateur!CI46*VLOOKUP('Données projet'!$B$12,Paramètres!$A$1:$I$89,3,0)*0.475*44/12</f>
        <v>16.955562403253424</v>
      </c>
      <c r="CM46" s="21">
        <f>EXP(-LN(2)/2)*CM45+(1-EXP(-LN(2)/2))/(LN(2)/2)*CG46*CJ46*VLOOKUP('Données projet'!$B$12,Paramètres!$A$1:$I$89,3,0)*0.475*44/12</f>
        <v>5.33895404258016</v>
      </c>
      <c r="CN46" s="22">
        <f t="shared" si="12"/>
        <v>46.408249239182716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14.351250000000004</v>
      </c>
      <c r="N47" s="13">
        <f>IF('Données projet'!$A$36&gt;35,N46+M47-V46,IF(A47&lt;'Données projet'!$A$36,$K$205^A47,IF(A47='Données projet'!$A$36,'Données projet'!$B$36,N46+M47-V46)))</f>
        <v>218.61250000000004</v>
      </c>
      <c r="O47" s="13">
        <f>N47*VLOOKUP('Données projet'!$B$9,Paramètres!$A$1:$I$89,3,0)*VLOOKUP('Données projet'!$B$9,Paramètres!$A$1:$I$89,5,0)</f>
        <v>197.80059000000003</v>
      </c>
      <c r="P47" s="13">
        <f t="shared" si="33"/>
        <v>49.260493336959819</v>
      </c>
      <c r="Q47" s="20">
        <f t="shared" si="53"/>
        <v>430.29805347853835</v>
      </c>
      <c r="R47" s="59">
        <f t="shared" si="0"/>
        <v>681.18852221667578</v>
      </c>
      <c r="S47" s="59">
        <f ca="1">AVERAGE(OFFSET($R$3,0,0,'Données projet'!$E$9+1,1))-AVERAGE(OFFSET($H$3,0,0,'Données projet'!$E$9+1,1))</f>
        <v>737.40414421611001</v>
      </c>
      <c r="T47" s="59">
        <f t="shared" si="34"/>
        <v>245.32893490531674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28.365292189450564</v>
      </c>
      <c r="AB47" s="21">
        <f>EXP(-LN(2)/2)*AB46+(1-EXP(-LN(2)/2))/(LN(2)/2)*V47*Y47*VLOOKUP('Données projet'!$B$9,Paramètres!$A$1:$I$89,3,0)*0.475*44/12</f>
        <v>5.1557267627388796</v>
      </c>
      <c r="AC47" s="22">
        <f t="shared" si="3"/>
        <v>33.521018952189443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>
        <f>VLOOKUP(A47,'Données projet'!$A$61:$I$81,2,0)</f>
        <v>368.73</v>
      </c>
      <c r="AG47" s="12">
        <f>VLOOKUP(A47,'Données projet'!$A$61:$I$81,9,0)</f>
        <v>16.528750000000002</v>
      </c>
      <c r="AH47" s="12">
        <f t="array" ref="AH47">INDEX(AG:AG,MIN(IF(ISNUMBER(AG47:AG243),ROW(AG47:AG243),"")))</f>
        <v>16.528750000000002</v>
      </c>
      <c r="AI47" s="13">
        <f>IF('Données projet'!$A$62&gt;35,AI46+AH47-AQ46,IF(A47&lt;'Données projet'!$A$62,$AF$205^A47,IF(A47='Données projet'!$A$62,'Données projet'!$B$62,AI46+AH47-AQ46)))</f>
        <v>368.73</v>
      </c>
      <c r="AJ47" s="13">
        <f>AI47*VLOOKUP('Données projet'!$B$10,Paramètres!$A$1:$I$89,3,0)*VLOOKUP('Données projet'!$B$10,Paramètres!$A$1:$I$89,5,0)</f>
        <v>220.50054000000003</v>
      </c>
      <c r="AK47" s="13">
        <f t="shared" si="35"/>
        <v>54.223661223229719</v>
      </c>
      <c r="AL47" s="20">
        <f t="shared" si="4"/>
        <v>478.47798379712509</v>
      </c>
      <c r="AM47" s="59">
        <f t="shared" si="5"/>
        <v>729.36845253526258</v>
      </c>
      <c r="AN47" s="59">
        <f ca="1">AVERAGE(OFFSET($AM$3,0,0,'Données projet'!$E$10+1,1))-AVERAGE(OFFSET($H$3,0,0,'Données projet'!$E$10+1,1))</f>
        <v>318.6615972007902</v>
      </c>
      <c r="AO47" s="59">
        <f t="shared" si="36"/>
        <v>326.82168950869504</v>
      </c>
      <c r="AP47" s="15">
        <f>IF(ISNA(VLOOKUP(A47,'Données projet'!$A$61:$I$81,3,0)),0,VLOOKUP(A47,'Données projet'!$A$61:$I$81,3,0))</f>
        <v>5</v>
      </c>
      <c r="AQ47" s="15">
        <f>IF(ISNA(VLOOKUP(A47,'Données projet'!$A$61:$I$81,4,0)),0,VLOOKUP(A47,'Données projet'!$A$61:$I$81,4,0))</f>
        <v>77.91</v>
      </c>
      <c r="AR47" s="16">
        <f>IF(ISNA(VLOOKUP(A47,'Données projet'!$A$61:$I$81,5,0)),0%,VLOOKUP(A47,'Données projet'!$A$61:$I$81,5,0)*VLOOKUP('Données projet'!$B$10,Paramètres!$A$1:$I$89,7,0))</f>
        <v>0.27</v>
      </c>
      <c r="AS47" s="16">
        <f>IF(ISNA(VLOOKUP(A47,'Données projet'!$A$61:$I$81,6,0)),0%,VLOOKUP(A47,'Données projet'!$A$61:$I$81,6,0)*VLOOKUP('Données projet'!$B$10,Paramètres!$A$1:$I$89,7,0))</f>
        <v>9.0000000000000011E-2</v>
      </c>
      <c r="AT47" s="16">
        <f>IF(ISNA(VLOOKUP(A47,'Données projet'!$A$61:$I$81,7,0)),0%,VLOOKUP(A47,'Données projet'!$A$61:$I$81,7,0))</f>
        <v>0.2</v>
      </c>
      <c r="AU47" s="21">
        <f>EXP(-LN(2)/35)*AU46+(1-EXP(-LN(2)/35))/(LN(2)/35)*AQ47*AR47*VLOOKUP('Données projet'!$B$10,Paramètres!$A$1:$I$89,3,0)*0.475*44/12</f>
        <v>42.688963433099843</v>
      </c>
      <c r="AV47" s="21">
        <f>EXP(-LN(2)/25)*AV46+(1-EXP(-LN(2)/25))/(LN(2)/25)*Calculateur!AQ47*Calculateur!AS47*VLOOKUP('Données projet'!$B$10,Paramètres!$A$1:$I$89,3,0)*0.475*44/12</f>
        <v>20.109929465064877</v>
      </c>
      <c r="AW47" s="21">
        <f>EXP(-LN(2)/2)*AW46+(1-EXP(-LN(2)/2))/(LN(2)/2)*AQ47*AT47*VLOOKUP('Données projet'!$B$10,Paramètres!$A$1:$I$89,3,0)*0.475*44/12</f>
        <v>11.246320718895591</v>
      </c>
      <c r="AX47" s="21">
        <f t="shared" si="6"/>
        <v>74.045213617060313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5.6</v>
      </c>
      <c r="BD47" s="12">
        <f>IF('Données projet'!$A$88&gt;35,BD46+BC47-BL46,IF(A47&lt;'Données projet'!$A$88,$BA$205^A47,IF(A47='Données projet'!$A$88,'Données projet'!$B$88,BD46+BC47-BL46)))</f>
        <v>122.39999999999995</v>
      </c>
      <c r="BE47" s="13">
        <f>BD47*VLOOKUP('Données projet'!$B$11,Paramètres!$A$1:$I$89,3,0)*VLOOKUP('Données projet'!$B$11,Paramètres!$A$1:$I$89,5,0)</f>
        <v>124.11359999999996</v>
      </c>
      <c r="BF47" s="13">
        <f t="shared" si="37"/>
        <v>32.632538771598028</v>
      </c>
      <c r="BG47" s="20">
        <f t="shared" si="7"/>
        <v>272.99952502719981</v>
      </c>
      <c r="BH47" s="59">
        <f t="shared" si="8"/>
        <v>523.88999376533729</v>
      </c>
      <c r="BI47" s="59">
        <f ca="1">AVERAGE(OFFSET($BH$3,0,0,'Données projet'!$E$11+1,1))-AVERAGE(OFFSET($H$3,0,0,'Données projet'!$E$11+1,1))</f>
        <v>402.96916953216805</v>
      </c>
      <c r="BJ47" s="59">
        <f t="shared" si="38"/>
        <v>164.89273051331318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1.9159642079354375</v>
      </c>
      <c r="BR47" s="21">
        <f>EXP(-LN(2)/2)*BR46+(1-EXP(-LN(2)/2))/(LN(2)/2)*BL47*BO47*VLOOKUP('Données projet'!$B$11,Paramètres!$A$1:$I$89,3,0)*0.475*44/12</f>
        <v>0.69309506455567516</v>
      </c>
      <c r="BS47" s="22">
        <f t="shared" si="9"/>
        <v>2.6090592724911126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15.714444444444442</v>
      </c>
      <c r="BY47" s="12">
        <f>IF('Données projet'!$A$114&gt;35,BY46+BX47-CG46,IF(A47&lt;'Données projet'!$A$114,$BV$205^A47,IF(A47='Données projet'!$A$114,'Données projet'!$B$114,BY46+BX47-CG46)))</f>
        <v>275.72333333333341</v>
      </c>
      <c r="BZ47" s="13">
        <f>BY47*VLOOKUP('Données projet'!$B$12,Paramètres!$A$1:$I$89,3,0)*VLOOKUP('Données projet'!$B$12,Paramètres!$A$1:$I$89,5,0)</f>
        <v>164.88255333333339</v>
      </c>
      <c r="CA47" s="13">
        <f t="shared" si="39"/>
        <v>41.941854905576896</v>
      </c>
      <c r="CB47" s="20">
        <f t="shared" si="10"/>
        <v>360.2191776827687</v>
      </c>
      <c r="CC47" s="59">
        <f t="shared" si="11"/>
        <v>611.10964642090607</v>
      </c>
      <c r="CD47" s="59">
        <f ca="1">AVERAGE(OFFSET($CC$3,0,0,'Données projet'!$E$12+1,1))-AVERAGE(OFFSET($H$3,0,0,'Données projet'!$E$12+1,1))</f>
        <v>373.61861223558259</v>
      </c>
      <c r="CE47" s="59">
        <f t="shared" si="40"/>
        <v>277.62293009761049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23.640877201196265</v>
      </c>
      <c r="CL47" s="21">
        <f>EXP(-LN(2)/25)*CL46+(1-EXP(-LN(2)/25))/(LN(2)/25)*Calculateur!CG47*Calculateur!CI47*VLOOKUP('Données projet'!$B$12,Paramètres!$A$1:$I$89,3,0)*0.475*44/12</f>
        <v>16.491911657682184</v>
      </c>
      <c r="CM47" s="21">
        <f>EXP(-LN(2)/2)*CM46+(1-EXP(-LN(2)/2))/(LN(2)/2)*CG47*CJ47*VLOOKUP('Données projet'!$B$12,Paramètres!$A$1:$I$89,3,0)*0.475*44/12</f>
        <v>3.7752106079517627</v>
      </c>
      <c r="CN47" s="22">
        <f t="shared" si="12"/>
        <v>43.907999466830212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14.351250000000004</v>
      </c>
      <c r="N48" s="13">
        <f>IF('Données projet'!$A$36&gt;35,N47+M48-V47,IF(A48&lt;'Données projet'!$A$36,$K$205^A48,IF(A48='Données projet'!$A$36,'Données projet'!$B$36,N47+M48-V47)))</f>
        <v>232.96375000000003</v>
      </c>
      <c r="O48" s="13">
        <f>N48*VLOOKUP('Données projet'!$B$9,Paramètres!$A$1:$I$89,3,0)*VLOOKUP('Données projet'!$B$9,Paramètres!$A$1:$I$89,5,0)</f>
        <v>210.78560100000001</v>
      </c>
      <c r="P48" s="13">
        <f t="shared" si="33"/>
        <v>52.107221956756902</v>
      </c>
      <c r="Q48" s="20">
        <f t="shared" si="53"/>
        <v>457.87166664968487</v>
      </c>
      <c r="R48" s="59">
        <f t="shared" si="0"/>
        <v>709.49842420051903</v>
      </c>
      <c r="S48" s="59">
        <f ca="1">AVERAGE(OFFSET($R$3,0,0,'Données projet'!$E$9+1,1))-AVERAGE(OFFSET($H$3,0,0,'Données projet'!$E$9+1,1))</f>
        <v>737.40414421611001</v>
      </c>
      <c r="T48" s="59">
        <f t="shared" si="34"/>
        <v>245.32893490531674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27.589641782864152</v>
      </c>
      <c r="AB48" s="21">
        <f>EXP(-LN(2)/2)*AB47+(1-EXP(-LN(2)/2))/(LN(2)/2)*V48*Y48*VLOOKUP('Données projet'!$B$9,Paramètres!$A$1:$I$89,3,0)*0.475*44/12</f>
        <v>3.6456493558776284</v>
      </c>
      <c r="AC48" s="22">
        <f t="shared" si="3"/>
        <v>31.235291138741779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14.648749999999993</v>
      </c>
      <c r="AI48" s="13">
        <f>IF('Données projet'!$A$62&gt;35,AI47+AH48-AQ47,IF(A48&lt;'Données projet'!$A$62,$AF$205^A48,IF(A48='Données projet'!$A$62,'Données projet'!$B$62,AI47+AH48-AQ47)))</f>
        <v>305.46875</v>
      </c>
      <c r="AJ48" s="13">
        <f>AI48*VLOOKUP('Données projet'!$B$10,Paramètres!$A$1:$I$89,3,0)*VLOOKUP('Données projet'!$B$10,Paramètres!$A$1:$I$89,5,0)</f>
        <v>182.67031249999999</v>
      </c>
      <c r="AK48" s="13">
        <f t="shared" si="35"/>
        <v>45.915771367434495</v>
      </c>
      <c r="AL48" s="20">
        <f t="shared" si="4"/>
        <v>398.12076273578174</v>
      </c>
      <c r="AM48" s="59">
        <f t="shared" si="5"/>
        <v>649.7475202866159</v>
      </c>
      <c r="AN48" s="59">
        <f ca="1">AVERAGE(OFFSET($AM$3,0,0,'Données projet'!$E$10+1,1))-AVERAGE(OFFSET($H$3,0,0,'Données projet'!$E$10+1,1))</f>
        <v>318.6615972007902</v>
      </c>
      <c r="AO48" s="59">
        <f t="shared" si="36"/>
        <v>326.82168950869504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41.851858897873441</v>
      </c>
      <c r="AV48" s="21">
        <f>EXP(-LN(2)/25)*AV47+(1-EXP(-LN(2)/25))/(LN(2)/25)*Calculateur!AQ48*Calculateur!AS48*VLOOKUP('Données projet'!$B$10,Paramètres!$A$1:$I$89,3,0)*0.475*44/12</f>
        <v>19.560022386307448</v>
      </c>
      <c r="AW48" s="21">
        <f>EXP(-LN(2)/2)*AW47+(1-EXP(-LN(2)/2))/(LN(2)/2)*AQ48*AT48*VLOOKUP('Données projet'!$B$10,Paramètres!$A$1:$I$89,3,0)*0.475*44/12</f>
        <v>7.9523496437298409</v>
      </c>
      <c r="AX48" s="21">
        <f t="shared" si="6"/>
        <v>69.364230927910739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128</v>
      </c>
      <c r="BB48" s="12">
        <f>VLOOKUP(A48,'Données projet'!$A$87:$I$107,9,0)</f>
        <v>5.6</v>
      </c>
      <c r="BC48" s="12">
        <f t="array" ref="BC48">INDEX(BB:BB,MIN(IF(ISNUMBER(BB48:BB244),ROW(BB48:BB244),"")))</f>
        <v>5.6</v>
      </c>
      <c r="BD48" s="12">
        <f>IF('Données projet'!$A$88&gt;35,BD47+BC48-BL47,IF(A48&lt;'Données projet'!$A$88,$BA$205^A48,IF(A48='Données projet'!$A$88,'Données projet'!$B$88,BD47+BC48-BL47)))</f>
        <v>127.99999999999994</v>
      </c>
      <c r="BE48" s="13">
        <f>BD48*VLOOKUP('Données projet'!$B$11,Paramètres!$A$1:$I$89,3,0)*VLOOKUP('Données projet'!$B$11,Paramètres!$A$1:$I$89,5,0)</f>
        <v>129.79199999999994</v>
      </c>
      <c r="BF48" s="13">
        <f t="shared" si="37"/>
        <v>33.948292161114985</v>
      </c>
      <c r="BG48" s="20">
        <f t="shared" si="7"/>
        <v>285.18100884727511</v>
      </c>
      <c r="BH48" s="59">
        <f t="shared" si="8"/>
        <v>536.80776639810927</v>
      </c>
      <c r="BI48" s="59">
        <f ca="1">AVERAGE(OFFSET($BH$3,0,0,'Données projet'!$E$11+1,1))-AVERAGE(OFFSET($H$3,0,0,'Données projet'!$E$11+1,1))</f>
        <v>402.96916953216805</v>
      </c>
      <c r="BJ48" s="59">
        <f t="shared" si="38"/>
        <v>164.89273051331318</v>
      </c>
      <c r="BK48" s="15">
        <f>IF(ISNA(VLOOKUP(A48,'Données projet'!$A$87:$I$107,3,0)),0,VLOOKUP(A48,'Données projet'!$A$87:$I$107,3,0))</f>
        <v>3</v>
      </c>
      <c r="BL48" s="15">
        <f>IF(ISNA(VLOOKUP(A48,'Données projet'!$A$87:$I$107,4,0)),0,VLOOKUP(A48,'Données projet'!$A$87:$I$107,4,0))</f>
        <v>10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0.1075</v>
      </c>
      <c r="BO48" s="16">
        <f>IF(ISNA(VLOOKUP(A48,'Données projet'!$A$87:$I$107,7,0)),0%,VLOOKUP(A48,'Données projet'!$A$87:$I$107,7,0))</f>
        <v>0.25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3.0638454381596611</v>
      </c>
      <c r="BR48" s="21">
        <f>EXP(-LN(2)/2)*BR47+(1-EXP(-LN(2)/2))/(LN(2)/2)*BL48*BO48*VLOOKUP('Données projet'!$B$11,Paramètres!$A$1:$I$89,3,0)*0.475*44/12</f>
        <v>2.8819329486789047</v>
      </c>
      <c r="BS48" s="22">
        <f t="shared" si="9"/>
        <v>5.9457783868385654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15.714444444444442</v>
      </c>
      <c r="BY48" s="12">
        <f>IF('Données projet'!$A$114&gt;35,BY47+BX48-CG47,IF(A48&lt;'Données projet'!$A$114,$BV$205^A48,IF(A48='Données projet'!$A$114,'Données projet'!$B$114,BY47+BX48-CG47)))</f>
        <v>291.43777777777785</v>
      </c>
      <c r="BZ48" s="13">
        <f>BY48*VLOOKUP('Données projet'!$B$12,Paramètres!$A$1:$I$89,3,0)*VLOOKUP('Données projet'!$B$12,Paramètres!$A$1:$I$89,5,0)</f>
        <v>174.27979111111117</v>
      </c>
      <c r="CA48" s="13">
        <f t="shared" si="39"/>
        <v>44.047162970671543</v>
      </c>
      <c r="CB48" s="20">
        <f t="shared" si="10"/>
        <v>380.25277835910487</v>
      </c>
      <c r="CC48" s="59">
        <f t="shared" si="11"/>
        <v>631.87953590993902</v>
      </c>
      <c r="CD48" s="59">
        <f ca="1">AVERAGE(OFFSET($CC$3,0,0,'Données projet'!$E$12+1,1))-AVERAGE(OFFSET($H$3,0,0,'Données projet'!$E$12+1,1))</f>
        <v>373.61861223558259</v>
      </c>
      <c r="CE48" s="59">
        <f t="shared" si="40"/>
        <v>277.62293009761049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23.17729401879209</v>
      </c>
      <c r="CL48" s="21">
        <f>EXP(-LN(2)/25)*CL47+(1-EXP(-LN(2)/25))/(LN(2)/25)*Calculateur!CG48*Calculateur!CI48*VLOOKUP('Données projet'!$B$12,Paramètres!$A$1:$I$89,3,0)*0.475*44/12</f>
        <v>16.040939466130922</v>
      </c>
      <c r="CM48" s="21">
        <f>EXP(-LN(2)/2)*CM47+(1-EXP(-LN(2)/2))/(LN(2)/2)*CG48*CJ48*VLOOKUP('Données projet'!$B$12,Paramètres!$A$1:$I$89,3,0)*0.475*44/12</f>
        <v>2.6694770212900805</v>
      </c>
      <c r="CN48" s="22">
        <f t="shared" si="12"/>
        <v>41.887710506213089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14.351250000000004</v>
      </c>
      <c r="N49" s="13">
        <f>IF('Données projet'!$A$36&gt;35,N48+M49-V48,IF(A49&lt;'Données projet'!$A$36,$K$205^A49,IF(A49='Données projet'!$A$36,'Données projet'!$B$36,N48+M49-V48)))</f>
        <v>247.31500000000003</v>
      </c>
      <c r="O49" s="13">
        <f>N49*VLOOKUP('Données projet'!$B$9,Paramètres!$A$1:$I$89,3,0)*VLOOKUP('Données projet'!$B$9,Paramètres!$A$1:$I$89,5,0)</f>
        <v>223.770612</v>
      </c>
      <c r="P49" s="13">
        <f t="shared" si="33"/>
        <v>54.933597302380846</v>
      </c>
      <c r="Q49" s="20">
        <f t="shared" si="53"/>
        <v>485.40983120164657</v>
      </c>
      <c r="R49" s="59">
        <f t="shared" si="0"/>
        <v>737.76010460037219</v>
      </c>
      <c r="S49" s="59">
        <f ca="1">AVERAGE(OFFSET($R$3,0,0,'Données projet'!$E$9+1,1))-AVERAGE(OFFSET($H$3,0,0,'Données projet'!$E$9+1,1))</f>
        <v>737.40414421611001</v>
      </c>
      <c r="T49" s="59">
        <f t="shared" si="34"/>
        <v>245.32893490531674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26.835201577435527</v>
      </c>
      <c r="AB49" s="21">
        <f>EXP(-LN(2)/2)*AB48+(1-EXP(-LN(2)/2))/(LN(2)/2)*V49*Y49*VLOOKUP('Données projet'!$B$9,Paramètres!$A$1:$I$89,3,0)*0.475*44/12</f>
        <v>2.5778633813694403</v>
      </c>
      <c r="AC49" s="22">
        <f t="shared" si="3"/>
        <v>29.413064958804966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14.648749999999993</v>
      </c>
      <c r="AI49" s="13">
        <f>IF('Données projet'!$A$62&gt;35,AI48+AH49-AQ48,IF(A49&lt;'Données projet'!$A$62,$AF$205^A49,IF(A49='Données projet'!$A$62,'Données projet'!$B$62,AI48+AH49-AQ48)))</f>
        <v>320.11750000000001</v>
      </c>
      <c r="AJ49" s="13">
        <f>AI49*VLOOKUP('Données projet'!$B$10,Paramètres!$A$1:$I$89,3,0)*VLOOKUP('Données projet'!$B$10,Paramètres!$A$1:$I$89,5,0)</f>
        <v>191.43026500000002</v>
      </c>
      <c r="AK49" s="13">
        <f t="shared" si="35"/>
        <v>47.856025985867994</v>
      </c>
      <c r="AL49" s="20">
        <f t="shared" si="4"/>
        <v>416.75695680038672</v>
      </c>
      <c r="AM49" s="59">
        <f t="shared" si="5"/>
        <v>669.10723019911234</v>
      </c>
      <c r="AN49" s="59">
        <f ca="1">AVERAGE(OFFSET($AM$3,0,0,'Données projet'!$E$10+1,1))-AVERAGE(OFFSET($H$3,0,0,'Données projet'!$E$10+1,1))</f>
        <v>318.6615972007902</v>
      </c>
      <c r="AO49" s="59">
        <f t="shared" si="36"/>
        <v>326.82168950869504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41.031169471999476</v>
      </c>
      <c r="AV49" s="21">
        <f>EXP(-LN(2)/25)*AV48+(1-EXP(-LN(2)/25))/(LN(2)/25)*Calculateur!AQ49*Calculateur!AS49*VLOOKUP('Données projet'!$B$10,Paramètres!$A$1:$I$89,3,0)*0.475*44/12</f>
        <v>19.025152545536997</v>
      </c>
      <c r="AW49" s="21">
        <f>EXP(-LN(2)/2)*AW48+(1-EXP(-LN(2)/2))/(LN(2)/2)*AQ49*AT49*VLOOKUP('Données projet'!$B$10,Paramètres!$A$1:$I$89,3,0)*0.475*44/12</f>
        <v>5.6231603594477964</v>
      </c>
      <c r="AX49" s="21">
        <f t="shared" si="6"/>
        <v>65.679482376984268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5.2</v>
      </c>
      <c r="BD49" s="12">
        <f>IF('Données projet'!$A$88&gt;35,BD48+BC49-BL48,IF(A49&lt;'Données projet'!$A$88,$BA$205^A49,IF(A49='Données projet'!$A$88,'Données projet'!$B$88,BD48+BC49-BL48)))</f>
        <v>123.19999999999993</v>
      </c>
      <c r="BE49" s="13">
        <f>BD49*VLOOKUP('Données projet'!$B$11,Paramètres!$A$1:$I$89,3,0)*VLOOKUP('Données projet'!$B$11,Paramètres!$A$1:$I$89,5,0)</f>
        <v>124.92479999999993</v>
      </c>
      <c r="BF49" s="13">
        <f t="shared" si="37"/>
        <v>32.820925500842712</v>
      </c>
      <c r="BG49" s="20">
        <f t="shared" si="7"/>
        <v>274.74047191396761</v>
      </c>
      <c r="BH49" s="59">
        <f t="shared" si="8"/>
        <v>527.09074531269323</v>
      </c>
      <c r="BI49" s="59">
        <f ca="1">AVERAGE(OFFSET($BH$3,0,0,'Données projet'!$E$11+1,1))-AVERAGE(OFFSET($H$3,0,0,'Données projet'!$E$11+1,1))</f>
        <v>402.96916953216805</v>
      </c>
      <c r="BJ49" s="59">
        <f t="shared" si="38"/>
        <v>164.89273051331318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2.9800644235325562</v>
      </c>
      <c r="BR49" s="21">
        <f>EXP(-LN(2)/2)*BR48+(1-EXP(-LN(2)/2))/(LN(2)/2)*BL49*BO49*VLOOKUP('Données projet'!$B$11,Paramètres!$A$1:$I$89,3,0)*0.475*44/12</f>
        <v>2.0378343309357962</v>
      </c>
      <c r="BS49" s="22">
        <f t="shared" si="9"/>
        <v>5.0178987544683524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15.714444444444442</v>
      </c>
      <c r="BY49" s="12">
        <f>IF('Données projet'!$A$114&gt;35,BY48+BX49-CG48,IF(A49&lt;'Données projet'!$A$114,$BV$205^A49,IF(A49='Données projet'!$A$114,'Données projet'!$B$114,BY48+BX49-CG48)))</f>
        <v>307.15222222222229</v>
      </c>
      <c r="BZ49" s="13">
        <f>BY49*VLOOKUP('Données projet'!$B$12,Paramètres!$A$1:$I$89,3,0)*VLOOKUP('Données projet'!$B$12,Paramètres!$A$1:$I$89,5,0)</f>
        <v>183.67702888888894</v>
      </c>
      <c r="CA49" s="13">
        <f t="shared" si="39"/>
        <v>46.139292054148385</v>
      </c>
      <c r="CB49" s="20">
        <f t="shared" si="10"/>
        <v>400.2634256424567</v>
      </c>
      <c r="CC49" s="59">
        <f t="shared" si="11"/>
        <v>652.61369904118237</v>
      </c>
      <c r="CD49" s="59">
        <f ca="1">AVERAGE(OFFSET($CC$3,0,0,'Données projet'!$E$12+1,1))-AVERAGE(OFFSET($H$3,0,0,'Données projet'!$E$12+1,1))</f>
        <v>373.61861223558259</v>
      </c>
      <c r="CE49" s="59">
        <f t="shared" si="40"/>
        <v>277.62293009761049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22.72280141983704</v>
      </c>
      <c r="CL49" s="21">
        <f>EXP(-LN(2)/25)*CL48+(1-EXP(-LN(2)/25))/(LN(2)/25)*Calculateur!CG49*Calculateur!CI49*VLOOKUP('Données projet'!$B$12,Paramètres!$A$1:$I$89,3,0)*0.475*44/12</f>
        <v>15.602299132873227</v>
      </c>
      <c r="CM49" s="21">
        <f>EXP(-LN(2)/2)*CM48+(1-EXP(-LN(2)/2))/(LN(2)/2)*CG49*CJ49*VLOOKUP('Données projet'!$B$12,Paramètres!$A$1:$I$89,3,0)*0.475*44/12</f>
        <v>1.8876053039758818</v>
      </c>
      <c r="CN49" s="22">
        <f t="shared" si="12"/>
        <v>40.212705856686149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14.351250000000004</v>
      </c>
      <c r="N50" s="13">
        <f>IF('Données projet'!$A$36&gt;35,N49+M50-V49,IF(A50&lt;'Données projet'!$A$36,$K$205^A50,IF(A50='Données projet'!$A$36,'Données projet'!$B$36,N49+M50-V49)))</f>
        <v>261.66625000000005</v>
      </c>
      <c r="O50" s="13">
        <f>N50*VLOOKUP('Données projet'!$B$9,Paramètres!$A$1:$I$89,3,0)*VLOOKUP('Données projet'!$B$9,Paramètres!$A$1:$I$89,5,0)</f>
        <v>236.75562300000004</v>
      </c>
      <c r="P50" s="13">
        <f t="shared" si="33"/>
        <v>57.740934989627185</v>
      </c>
      <c r="Q50" s="20">
        <f t="shared" si="53"/>
        <v>512.91483849860072</v>
      </c>
      <c r="R50" s="59">
        <f t="shared" si="0"/>
        <v>765.97607636279611</v>
      </c>
      <c r="S50" s="59">
        <f ca="1">AVERAGE(OFFSET($R$3,0,0,'Données projet'!$E$9+1,1))-AVERAGE(OFFSET($H$3,0,0,'Données projet'!$E$9+1,1))</f>
        <v>737.40414421611001</v>
      </c>
      <c r="T50" s="59">
        <f t="shared" si="34"/>
        <v>245.32893490531674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26.101391579098635</v>
      </c>
      <c r="AB50" s="21">
        <f>EXP(-LN(2)/2)*AB49+(1-EXP(-LN(2)/2))/(LN(2)/2)*V50*Y50*VLOOKUP('Données projet'!$B$9,Paramètres!$A$1:$I$89,3,0)*0.475*44/12</f>
        <v>1.8228246779388144</v>
      </c>
      <c r="AC50" s="22">
        <f t="shared" si="3"/>
        <v>27.92421625703745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14.648749999999993</v>
      </c>
      <c r="AI50" s="13">
        <f>IF('Données projet'!$A$62&gt;35,AI49+AH50-AQ49,IF(A50&lt;'Données projet'!$A$62,$AF$205^A50,IF(A50='Données projet'!$A$62,'Données projet'!$B$62,AI49+AH50-AQ49)))</f>
        <v>334.76625000000001</v>
      </c>
      <c r="AJ50" s="13">
        <f>AI50*VLOOKUP('Données projet'!$B$10,Paramètres!$A$1:$I$89,3,0)*VLOOKUP('Données projet'!$B$10,Paramètres!$A$1:$I$89,5,0)</f>
        <v>200.19021750000002</v>
      </c>
      <c r="AK50" s="13">
        <f t="shared" si="35"/>
        <v>49.785969461398977</v>
      </c>
      <c r="AL50" s="20">
        <f t="shared" si="4"/>
        <v>435.37519229110325</v>
      </c>
      <c r="AM50" s="59">
        <f t="shared" si="5"/>
        <v>688.43643015529869</v>
      </c>
      <c r="AN50" s="59">
        <f ca="1">AVERAGE(OFFSET($AM$3,0,0,'Données projet'!$E$10+1,1))-AVERAGE(OFFSET($H$3,0,0,'Données projet'!$E$10+1,1))</f>
        <v>318.6615972007902</v>
      </c>
      <c r="AO50" s="59">
        <f t="shared" si="36"/>
        <v>326.82168950869504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40.226573265195782</v>
      </c>
      <c r="AV50" s="21">
        <f>EXP(-LN(2)/25)*AV49+(1-EXP(-LN(2)/25))/(LN(2)/25)*Calculateur!AQ50*Calculateur!AS50*VLOOKUP('Données projet'!$B$10,Paramètres!$A$1:$I$89,3,0)*0.475*44/12</f>
        <v>18.504908748689999</v>
      </c>
      <c r="AW50" s="21">
        <f>EXP(-LN(2)/2)*AW49+(1-EXP(-LN(2)/2))/(LN(2)/2)*AQ50*AT50*VLOOKUP('Données projet'!$B$10,Paramètres!$A$1:$I$89,3,0)*0.475*44/12</f>
        <v>3.9761748218649213</v>
      </c>
      <c r="AX50" s="21">
        <f t="shared" si="6"/>
        <v>62.707656835750704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5.2</v>
      </c>
      <c r="BD50" s="12">
        <f>IF('Données projet'!$A$88&gt;35,BD49+BC50-BL49,IF(A50&lt;'Données projet'!$A$88,$BA$205^A50,IF(A50='Données projet'!$A$88,'Données projet'!$B$88,BD49+BC50-BL49)))</f>
        <v>128.39999999999992</v>
      </c>
      <c r="BE50" s="13">
        <f>BD50*VLOOKUP('Données projet'!$B$11,Paramètres!$A$1:$I$89,3,0)*VLOOKUP('Données projet'!$B$11,Paramètres!$A$1:$I$89,5,0)</f>
        <v>130.19759999999994</v>
      </c>
      <c r="BF50" s="13">
        <f t="shared" si="37"/>
        <v>34.04201485372672</v>
      </c>
      <c r="BG50" s="20">
        <f t="shared" si="7"/>
        <v>286.05066253690728</v>
      </c>
      <c r="BH50" s="59">
        <f t="shared" si="8"/>
        <v>539.11190040110273</v>
      </c>
      <c r="BI50" s="59">
        <f ca="1">AVERAGE(OFFSET($BH$3,0,0,'Données projet'!$E$11+1,1))-AVERAGE(OFFSET($H$3,0,0,'Données projet'!$E$11+1,1))</f>
        <v>402.96916953216805</v>
      </c>
      <c r="BJ50" s="59">
        <f t="shared" si="38"/>
        <v>164.89273051331318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2.8985744051562814</v>
      </c>
      <c r="BR50" s="21">
        <f>EXP(-LN(2)/2)*BR49+(1-EXP(-LN(2)/2))/(LN(2)/2)*BL50*BO50*VLOOKUP('Données projet'!$B$11,Paramètres!$A$1:$I$89,3,0)*0.475*44/12</f>
        <v>1.4409664743394526</v>
      </c>
      <c r="BS50" s="22">
        <f t="shared" si="9"/>
        <v>4.3395408794957344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15.714444444444442</v>
      </c>
      <c r="BY50" s="12">
        <f>IF('Données projet'!$A$114&gt;35,BY49+BX50-CG49,IF(A50&lt;'Données projet'!$A$114,$BV$205^A50,IF(A50='Données projet'!$A$114,'Données projet'!$B$114,BY49+BX50-CG49)))</f>
        <v>322.86666666666673</v>
      </c>
      <c r="BZ50" s="13">
        <f>BY50*VLOOKUP('Données projet'!$B$12,Paramètres!$A$1:$I$89,3,0)*VLOOKUP('Données projet'!$B$12,Paramètres!$A$1:$I$89,5,0)</f>
        <v>193.07426666666672</v>
      </c>
      <c r="CA50" s="13">
        <f t="shared" si="39"/>
        <v>48.218993334236252</v>
      </c>
      <c r="CB50" s="20">
        <f t="shared" si="10"/>
        <v>420.25242783490597</v>
      </c>
      <c r="CC50" s="59">
        <f t="shared" si="11"/>
        <v>673.31366569910142</v>
      </c>
      <c r="CD50" s="59">
        <f ca="1">AVERAGE(OFFSET($CC$3,0,0,'Données projet'!$E$12+1,1))-AVERAGE(OFFSET($H$3,0,0,'Données projet'!$E$12+1,1))</f>
        <v>373.61861223558259</v>
      </c>
      <c r="CE50" s="59">
        <f t="shared" si="40"/>
        <v>277.62293009761049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22.277221143534387</v>
      </c>
      <c r="CL50" s="21">
        <f>EXP(-LN(2)/25)*CL49+(1-EXP(-LN(2)/25))/(LN(2)/25)*Calculateur!CG50*Calculateur!CI50*VLOOKUP('Données projet'!$B$12,Paramètres!$A$1:$I$89,3,0)*0.475*44/12</f>
        <v>15.175653442595557</v>
      </c>
      <c r="CM50" s="21">
        <f>EXP(-LN(2)/2)*CM49+(1-EXP(-LN(2)/2))/(LN(2)/2)*CG50*CJ50*VLOOKUP('Données projet'!$B$12,Paramètres!$A$1:$I$89,3,0)*0.475*44/12</f>
        <v>1.3347385106450405</v>
      </c>
      <c r="CN50" s="22">
        <f t="shared" si="12"/>
        <v>38.787613096774983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14.351250000000004</v>
      </c>
      <c r="N51" s="13">
        <f>IF('Données projet'!$A$36&gt;35,N50+M51-V50,IF(A51&lt;'Données projet'!$A$36,$K$205^A51,IF(A51='Données projet'!$A$36,'Données projet'!$B$36,N50+M51-V50)))</f>
        <v>276.01750000000004</v>
      </c>
      <c r="O51" s="13">
        <f>N51*VLOOKUP('Données projet'!$B$9,Paramètres!$A$1:$I$89,3,0)*VLOOKUP('Données projet'!$B$9,Paramètres!$A$1:$I$89,5,0)</f>
        <v>249.74063400000006</v>
      </c>
      <c r="P51" s="13">
        <f t="shared" si="33"/>
        <v>60.530398172289644</v>
      </c>
      <c r="Q51" s="20">
        <f t="shared" si="53"/>
        <v>540.38871436673799</v>
      </c>
      <c r="R51" s="59">
        <f t="shared" si="0"/>
        <v>794.14858305240568</v>
      </c>
      <c r="S51" s="59">
        <f ca="1">AVERAGE(OFFSET($R$3,0,0,'Données projet'!$E$9+1,1))-AVERAGE(OFFSET($H$3,0,0,'Données projet'!$E$9+1,1))</f>
        <v>737.40414421611001</v>
      </c>
      <c r="T51" s="59">
        <f t="shared" si="34"/>
        <v>245.32893490531674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25.387647653755657</v>
      </c>
      <c r="AB51" s="21">
        <f>EXP(-LN(2)/2)*AB50+(1-EXP(-LN(2)/2))/(LN(2)/2)*V51*Y51*VLOOKUP('Données projet'!$B$9,Paramètres!$A$1:$I$89,3,0)*0.475*44/12</f>
        <v>1.2889316906847204</v>
      </c>
      <c r="AC51" s="22">
        <f t="shared" si="3"/>
        <v>26.676579344440377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14.648749999999993</v>
      </c>
      <c r="AI51" s="13">
        <f>IF('Données projet'!$A$62&gt;35,AI50+AH51-AQ50,IF(A51&lt;'Données projet'!$A$62,$AF$205^A51,IF(A51='Données projet'!$A$62,'Données projet'!$B$62,AI50+AH51-AQ50)))</f>
        <v>349.41500000000002</v>
      </c>
      <c r="AJ51" s="13">
        <f>AI51*VLOOKUP('Données projet'!$B$10,Paramètres!$A$1:$I$89,3,0)*VLOOKUP('Données projet'!$B$10,Paramètres!$A$1:$I$89,5,0)</f>
        <v>208.95017000000004</v>
      </c>
      <c r="AK51" s="13">
        <f t="shared" si="35"/>
        <v>51.706104556713079</v>
      </c>
      <c r="AL51" s="20">
        <f t="shared" si="4"/>
        <v>453.97634485294202</v>
      </c>
      <c r="AM51" s="59">
        <f t="shared" si="5"/>
        <v>707.73621353860972</v>
      </c>
      <c r="AN51" s="59">
        <f ca="1">AVERAGE(OFFSET($AM$3,0,0,'Données projet'!$E$10+1,1))-AVERAGE(OFFSET($H$3,0,0,'Données projet'!$E$10+1,1))</f>
        <v>318.6615972007902</v>
      </c>
      <c r="AO51" s="59">
        <f t="shared" si="36"/>
        <v>326.82168950869504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39.437754699252274</v>
      </c>
      <c r="AV51" s="21">
        <f>EXP(-LN(2)/25)*AV50+(1-EXP(-LN(2)/25))/(LN(2)/25)*Calculateur!AQ51*Calculateur!AS51*VLOOKUP('Données projet'!$B$10,Paramètres!$A$1:$I$89,3,0)*0.475*44/12</f>
        <v>17.998891045826213</v>
      </c>
      <c r="AW51" s="21">
        <f>EXP(-LN(2)/2)*AW50+(1-EXP(-LN(2)/2))/(LN(2)/2)*AQ51*AT51*VLOOKUP('Données projet'!$B$10,Paramètres!$A$1:$I$89,3,0)*0.475*44/12</f>
        <v>2.8115801797238986</v>
      </c>
      <c r="AX51" s="21">
        <f t="shared" si="6"/>
        <v>60.248225924802384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5.2</v>
      </c>
      <c r="BD51" s="12">
        <f>IF('Données projet'!$A$88&gt;35,BD50+BC51-BL50,IF(A51&lt;'Données projet'!$A$88,$BA$205^A51,IF(A51='Données projet'!$A$88,'Données projet'!$B$88,BD50+BC51-BL50)))</f>
        <v>133.59999999999991</v>
      </c>
      <c r="BE51" s="13">
        <f>BD51*VLOOKUP('Données projet'!$B$11,Paramètres!$A$1:$I$89,3,0)*VLOOKUP('Données projet'!$B$11,Paramètres!$A$1:$I$89,5,0)</f>
        <v>135.47039999999993</v>
      </c>
      <c r="BF51" s="13">
        <f t="shared" si="37"/>
        <v>35.25735985641483</v>
      </c>
      <c r="BG51" s="20">
        <f t="shared" si="7"/>
        <v>297.35084841658903</v>
      </c>
      <c r="BH51" s="59">
        <f t="shared" si="8"/>
        <v>551.11071710225679</v>
      </c>
      <c r="BI51" s="59">
        <f ca="1">AVERAGE(OFFSET($BH$3,0,0,'Données projet'!$E$11+1,1))-AVERAGE(OFFSET($H$3,0,0,'Données projet'!$E$11+1,1))</f>
        <v>402.96916953216805</v>
      </c>
      <c r="BJ51" s="59">
        <f t="shared" si="38"/>
        <v>164.89273051331318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2.8193127356178795</v>
      </c>
      <c r="BR51" s="21">
        <f>EXP(-LN(2)/2)*BR50+(1-EXP(-LN(2)/2))/(LN(2)/2)*BL51*BO51*VLOOKUP('Données projet'!$B$11,Paramètres!$A$1:$I$89,3,0)*0.475*44/12</f>
        <v>1.0189171654678981</v>
      </c>
      <c r="BS51" s="22">
        <f t="shared" si="9"/>
        <v>3.8382299010857777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15.714444444444442</v>
      </c>
      <c r="BY51" s="12">
        <f>IF('Données projet'!$A$114&gt;35,BY50+BX51-CG50,IF(A51&lt;'Données projet'!$A$114,$BV$205^A51,IF(A51='Données projet'!$A$114,'Données projet'!$B$114,BY50+BX51-CG50)))</f>
        <v>338.58111111111117</v>
      </c>
      <c r="BZ51" s="13">
        <f>BY51*VLOOKUP('Données projet'!$B$12,Paramètres!$A$1:$I$89,3,0)*VLOOKUP('Données projet'!$B$12,Paramètres!$A$1:$I$89,5,0)</f>
        <v>202.47150444444449</v>
      </c>
      <c r="CA51" s="13">
        <f t="shared" si="39"/>
        <v>50.28694073581002</v>
      </c>
      <c r="CB51" s="20">
        <f t="shared" si="10"/>
        <v>440.22095868894326</v>
      </c>
      <c r="CC51" s="59">
        <f t="shared" si="11"/>
        <v>693.98082737461095</v>
      </c>
      <c r="CD51" s="59">
        <f ca="1">AVERAGE(OFFSET($CC$3,0,0,'Données projet'!$E$12+1,1))-AVERAGE(OFFSET($H$3,0,0,'Données projet'!$E$12+1,1))</f>
        <v>373.61861223558259</v>
      </c>
      <c r="CE51" s="59">
        <f t="shared" si="40"/>
        <v>277.62293009761049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21.840378424672895</v>
      </c>
      <c r="CL51" s="21">
        <f>EXP(-LN(2)/25)*CL50+(1-EXP(-LN(2)/25))/(LN(2)/25)*Calculateur!CG51*Calculateur!CI51*VLOOKUP('Données projet'!$B$12,Paramètres!$A$1:$I$89,3,0)*0.475*44/12</f>
        <v>14.760674401154851</v>
      </c>
      <c r="CM51" s="21">
        <f>EXP(-LN(2)/2)*CM50+(1-EXP(-LN(2)/2))/(LN(2)/2)*CG51*CJ51*VLOOKUP('Données projet'!$B$12,Paramètres!$A$1:$I$89,3,0)*0.475*44/12</f>
        <v>0.943802651987941</v>
      </c>
      <c r="CN51" s="22">
        <f t="shared" si="12"/>
        <v>37.544855477815695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14.351250000000004</v>
      </c>
      <c r="N52" s="13">
        <f>IF('Données projet'!$A$36&gt;35,N51+M52-V51,IF(A52&lt;'Données projet'!$A$36,$K$205^A52,IF(A52='Données projet'!$A$36,'Données projet'!$B$36,N51+M52-V51)))</f>
        <v>290.36875000000003</v>
      </c>
      <c r="O52" s="13">
        <f>N52*VLOOKUP('Données projet'!$B$9,Paramètres!$A$1:$I$89,3,0)*VLOOKUP('Données projet'!$B$9,Paramètres!$A$1:$I$89,5,0)</f>
        <v>262.72564500000004</v>
      </c>
      <c r="P52" s="13">
        <f t="shared" si="33"/>
        <v>63.303022218516737</v>
      </c>
      <c r="Q52" s="20">
        <f t="shared" si="53"/>
        <v>567.83326207225002</v>
      </c>
      <c r="R52" s="59">
        <f t="shared" si="0"/>
        <v>822.27964189654199</v>
      </c>
      <c r="S52" s="59">
        <f ca="1">AVERAGE(OFFSET($R$3,0,0,'Données projet'!$E$9+1,1))-AVERAGE(OFFSET($H$3,0,0,'Données projet'!$E$9+1,1))</f>
        <v>737.40414421611001</v>
      </c>
      <c r="T52" s="59">
        <f t="shared" si="34"/>
        <v>245.32893490531674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24.693421093585343</v>
      </c>
      <c r="AB52" s="21">
        <f>EXP(-LN(2)/2)*AB51+(1-EXP(-LN(2)/2))/(LN(2)/2)*V52*Y52*VLOOKUP('Données projet'!$B$9,Paramètres!$A$1:$I$89,3,0)*0.475*44/12</f>
        <v>0.91141233896940732</v>
      </c>
      <c r="AC52" s="22">
        <f t="shared" si="3"/>
        <v>25.604833432554749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14.648749999999993</v>
      </c>
      <c r="AI52" s="13">
        <f>IF('Données projet'!$A$62&gt;35,AI51+AH52-AQ51,IF(A52&lt;'Données projet'!$A$62,$AF$205^A52,IF(A52='Données projet'!$A$62,'Données projet'!$B$62,AI51+AH52-AQ51)))</f>
        <v>364.06375000000003</v>
      </c>
      <c r="AJ52" s="13">
        <f>AI52*VLOOKUP('Données projet'!$B$10,Paramètres!$A$1:$I$89,3,0)*VLOOKUP('Données projet'!$B$10,Paramètres!$A$1:$I$89,5,0)</f>
        <v>217.71012250000004</v>
      </c>
      <c r="AK52" s="13">
        <f t="shared" si="35"/>
        <v>53.616889494398464</v>
      </c>
      <c r="AL52" s="20">
        <f t="shared" si="4"/>
        <v>472.56121255691068</v>
      </c>
      <c r="AM52" s="59">
        <f t="shared" si="5"/>
        <v>727.00759238120258</v>
      </c>
      <c r="AN52" s="59">
        <f ca="1">AVERAGE(OFFSET($AM$3,0,0,'Données projet'!$E$10+1,1))-AVERAGE(OFFSET($H$3,0,0,'Données projet'!$E$10+1,1))</f>
        <v>318.6615972007902</v>
      </c>
      <c r="AO52" s="59">
        <f t="shared" si="36"/>
        <v>326.82168950869504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38.6644043842551</v>
      </c>
      <c r="AV52" s="21">
        <f>EXP(-LN(2)/25)*AV51+(1-EXP(-LN(2)/25))/(LN(2)/25)*Calculateur!AQ52*Calculateur!AS52*VLOOKUP('Données projet'!$B$10,Paramètres!$A$1:$I$89,3,0)*0.475*44/12</f>
        <v>17.506710423657552</v>
      </c>
      <c r="AW52" s="21">
        <f>EXP(-LN(2)/2)*AW51+(1-EXP(-LN(2)/2))/(LN(2)/2)*AQ52*AT52*VLOOKUP('Données projet'!$B$10,Paramètres!$A$1:$I$89,3,0)*0.475*44/12</f>
        <v>1.9880874109324609</v>
      </c>
      <c r="AX52" s="21">
        <f t="shared" si="6"/>
        <v>58.15920221884511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5.2</v>
      </c>
      <c r="BD52" s="12">
        <f>IF('Données projet'!$A$88&gt;35,BD51+BC52-BL51,IF(A52&lt;'Données projet'!$A$88,$BA$205^A52,IF(A52='Données projet'!$A$88,'Données projet'!$B$88,BD51+BC52-BL51)))</f>
        <v>138.7999999999999</v>
      </c>
      <c r="BE52" s="13">
        <f>BD52*VLOOKUP('Données projet'!$B$11,Paramètres!$A$1:$I$89,3,0)*VLOOKUP('Données projet'!$B$11,Paramètres!$A$1:$I$89,5,0)</f>
        <v>140.74319999999992</v>
      </c>
      <c r="BF52" s="13">
        <f t="shared" si="37"/>
        <v>36.467209679964952</v>
      </c>
      <c r="BG52" s="20">
        <f t="shared" si="7"/>
        <v>308.64146352593883</v>
      </c>
      <c r="BH52" s="59">
        <f t="shared" si="8"/>
        <v>563.08784335023074</v>
      </c>
      <c r="BI52" s="59">
        <f ca="1">AVERAGE(OFFSET($BH$3,0,0,'Données projet'!$E$11+1,1))-AVERAGE(OFFSET($H$3,0,0,'Données projet'!$E$11+1,1))</f>
        <v>402.96916953216805</v>
      </c>
      <c r="BJ52" s="59">
        <f t="shared" si="38"/>
        <v>164.89273051331318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2.7422184806011956</v>
      </c>
      <c r="BR52" s="21">
        <f>EXP(-LN(2)/2)*BR51+(1-EXP(-LN(2)/2))/(LN(2)/2)*BL52*BO52*VLOOKUP('Données projet'!$B$11,Paramètres!$A$1:$I$89,3,0)*0.475*44/12</f>
        <v>0.72048323716972629</v>
      </c>
      <c r="BS52" s="22">
        <f t="shared" si="9"/>
        <v>3.4627017177709218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15.714444444444442</v>
      </c>
      <c r="BY52" s="12">
        <f>IF('Données projet'!$A$114&gt;35,BY51+BX52-CG51,IF(A52&lt;'Données projet'!$A$114,$BV$205^A52,IF(A52='Données projet'!$A$114,'Données projet'!$B$114,BY51+BX52-CG51)))</f>
        <v>354.29555555555561</v>
      </c>
      <c r="BZ52" s="13">
        <f>BY52*VLOOKUP('Données projet'!$B$12,Paramètres!$A$1:$I$89,3,0)*VLOOKUP('Données projet'!$B$12,Paramètres!$A$1:$I$89,5,0)</f>
        <v>211.86874222222229</v>
      </c>
      <c r="CA52" s="13">
        <f t="shared" si="39"/>
        <v>52.343742090960504</v>
      </c>
      <c r="CB52" s="20">
        <f t="shared" si="10"/>
        <v>460.17007684546002</v>
      </c>
      <c r="CC52" s="59">
        <f t="shared" si="11"/>
        <v>714.61645666975198</v>
      </c>
      <c r="CD52" s="59">
        <f ca="1">AVERAGE(OFFSET($CC$3,0,0,'Données projet'!$E$12+1,1))-AVERAGE(OFFSET($H$3,0,0,'Données projet'!$E$12+1,1))</f>
        <v>373.61861223558259</v>
      </c>
      <c r="CE52" s="59">
        <f t="shared" si="40"/>
        <v>277.62293009761049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21.412101925080528</v>
      </c>
      <c r="CL52" s="21">
        <f>EXP(-LN(2)/25)*CL51+(1-EXP(-LN(2)/25))/(LN(2)/25)*Calculateur!CG52*Calculateur!CI52*VLOOKUP('Données projet'!$B$12,Paramètres!$A$1:$I$89,3,0)*0.475*44/12</f>
        <v>14.357042983425142</v>
      </c>
      <c r="CM52" s="21">
        <f>EXP(-LN(2)/2)*CM51+(1-EXP(-LN(2)/2))/(LN(2)/2)*CG52*CJ52*VLOOKUP('Données projet'!$B$12,Paramètres!$A$1:$I$89,3,0)*0.475*44/12</f>
        <v>0.66736925532252034</v>
      </c>
      <c r="CN52" s="22">
        <f t="shared" si="12"/>
        <v>36.436514163828186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304.72000000000003</v>
      </c>
      <c r="L53" s="12">
        <f>VLOOKUP(A53,'Données projet'!$A$35:$I$55,9,0)</f>
        <v>14.351250000000004</v>
      </c>
      <c r="M53" s="12">
        <f t="array" ref="M53">INDEX(L:L,MIN(IF(ISNUMBER(L53:L249),ROW(L53:L249),"")))</f>
        <v>14.351250000000004</v>
      </c>
      <c r="N53" s="13">
        <f>IF('Données projet'!$A$36&gt;35,N52+M53-V52,IF(A53&lt;'Données projet'!$A$36,$K$205^A53,IF(A53='Données projet'!$A$36,'Données projet'!$B$36,N52+M53-V52)))</f>
        <v>304.72000000000003</v>
      </c>
      <c r="O53" s="13">
        <f>N53*VLOOKUP('Données projet'!$B$9,Paramètres!$A$1:$I$89,3,0)*VLOOKUP('Données projet'!$B$9,Paramètres!$A$1:$I$89,5,0)</f>
        <v>275.71065600000003</v>
      </c>
      <c r="P53" s="13">
        <f t="shared" si="33"/>
        <v>66.059734370197603</v>
      </c>
      <c r="Q53" s="20">
        <f t="shared" si="53"/>
        <v>595.25009656142754</v>
      </c>
      <c r="R53" s="59">
        <f t="shared" si="0"/>
        <v>850.37107809089764</v>
      </c>
      <c r="S53" s="59">
        <f ca="1">AVERAGE(OFFSET($R$3,0,0,'Données projet'!$E$9+1,1))-AVERAGE(OFFSET($H$3,0,0,'Données projet'!$E$9+1,1))</f>
        <v>737.40414421611001</v>
      </c>
      <c r="T53" s="59">
        <f t="shared" si="34"/>
        <v>245.32893490531674</v>
      </c>
      <c r="U53" s="15">
        <f>IF(ISNA(VLOOKUP(A53,'Données projet'!$A$35:$I$55,3,0)),0,VLOOKUP(A53,'Données projet'!$A$35:$I$55,3,0))</f>
        <v>3</v>
      </c>
      <c r="V53" s="15">
        <f>IF(ISNA(VLOOKUP(A53,'Données projet'!$A$35:$I$55,4,0)),0,VLOOKUP(A53,'Données projet'!$A$35:$I$55,4,0))</f>
        <v>70.730000000000018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0.34400000000000003</v>
      </c>
      <c r="Y53" s="16">
        <f>IF(ISNA(VLOOKUP(A53,'Données projet'!$A$35:$I$55,7,0)),0%,VLOOKUP(A53,'Données projet'!$A$35:$I$55,7,0))</f>
        <v>0.2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48.259061719647775</v>
      </c>
      <c r="AB53" s="21">
        <f>EXP(-LN(2)/2)*AB52+(1-EXP(-LN(2)/2))/(LN(2)/2)*V53*Y53*VLOOKUP('Données projet'!$B$9,Paramètres!$A$1:$I$89,3,0)*0.475*44/12</f>
        <v>12.720950638272642</v>
      </c>
      <c r="AC53" s="22">
        <f t="shared" si="3"/>
        <v>60.980012357920415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14.648749999999993</v>
      </c>
      <c r="AI53" s="13">
        <f>IF('Données projet'!$A$62&gt;35,AI52+AH53-AQ52,IF(A53&lt;'Données projet'!$A$62,$AF$205^A53,IF(A53='Données projet'!$A$62,'Données projet'!$B$62,AI52+AH53-AQ52)))</f>
        <v>378.71250000000003</v>
      </c>
      <c r="AJ53" s="13">
        <f>AI53*VLOOKUP('Données projet'!$B$10,Paramètres!$A$1:$I$89,3,0)*VLOOKUP('Données projet'!$B$10,Paramètres!$A$1:$I$89,5,0)</f>
        <v>226.47007500000004</v>
      </c>
      <c r="AK53" s="13">
        <f t="shared" si="35"/>
        <v>55.518743535166927</v>
      </c>
      <c r="AL53" s="20">
        <f t="shared" si="4"/>
        <v>491.13052561541576</v>
      </c>
      <c r="AM53" s="59">
        <f t="shared" si="5"/>
        <v>746.25150714488586</v>
      </c>
      <c r="AN53" s="59">
        <f ca="1">AVERAGE(OFFSET($AM$3,0,0,'Données projet'!$E$10+1,1))-AVERAGE(OFFSET($H$3,0,0,'Données projet'!$E$10+1,1))</f>
        <v>318.6615972007902</v>
      </c>
      <c r="AO53" s="59">
        <f t="shared" si="36"/>
        <v>326.82168950869504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37.906218997237907</v>
      </c>
      <c r="AV53" s="21">
        <f>EXP(-LN(2)/25)*AV52+(1-EXP(-LN(2)/25))/(LN(2)/25)*Calculateur!AQ53*Calculateur!AS53*VLOOKUP('Données projet'!$B$10,Paramètres!$A$1:$I$89,3,0)*0.475*44/12</f>
        <v>17.027988506484746</v>
      </c>
      <c r="AW53" s="21">
        <f>EXP(-LN(2)/2)*AW52+(1-EXP(-LN(2)/2))/(LN(2)/2)*AQ53*AT53*VLOOKUP('Données projet'!$B$10,Paramètres!$A$1:$I$89,3,0)*0.475*44/12</f>
        <v>1.4057900898619495</v>
      </c>
      <c r="AX53" s="21">
        <f t="shared" si="6"/>
        <v>56.339997593584606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144</v>
      </c>
      <c r="BB53" s="12">
        <f>VLOOKUP(A53,'Données projet'!$A$87:$I$107,9,0)</f>
        <v>5.2</v>
      </c>
      <c r="BC53" s="12">
        <f t="array" ref="BC53">INDEX(BB:BB,MIN(IF(ISNUMBER(BB53:BB249),ROW(BB53:BB249),"")))</f>
        <v>5.2</v>
      </c>
      <c r="BD53" s="12">
        <f>IF('Données projet'!$A$88&gt;35,BD52+BC53-BL52,IF(A53&lt;'Données projet'!$A$88,$BA$205^A53,IF(A53='Données projet'!$A$88,'Données projet'!$B$88,BD52+BC53-BL52)))</f>
        <v>143.99999999999989</v>
      </c>
      <c r="BE53" s="13">
        <f>BD53*VLOOKUP('Données projet'!$B$11,Paramètres!$A$1:$I$89,3,0)*VLOOKUP('Données projet'!$B$11,Paramètres!$A$1:$I$89,5,0)</f>
        <v>146.01599999999988</v>
      </c>
      <c r="BF53" s="13">
        <f t="shared" si="37"/>
        <v>37.671793767891067</v>
      </c>
      <c r="BG53" s="20">
        <f t="shared" si="7"/>
        <v>319.92290747907674</v>
      </c>
      <c r="BH53" s="59">
        <f t="shared" si="8"/>
        <v>575.04388900854678</v>
      </c>
      <c r="BI53" s="59">
        <f ca="1">AVERAGE(OFFSET($BH$3,0,0,'Données projet'!$E$11+1,1))-AVERAGE(OFFSET($H$3,0,0,'Données projet'!$E$11+1,1))</f>
        <v>402.96916953216805</v>
      </c>
      <c r="BJ53" s="59">
        <f t="shared" si="38"/>
        <v>164.89273051331318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10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0.1075</v>
      </c>
      <c r="BO53" s="16">
        <f>IF(ISNA(VLOOKUP(A53,'Données projet'!$A$87:$I$107,7,0)),0%,VLOOKUP(A53,'Données projet'!$A$87:$I$107,7,0))</f>
        <v>0.25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3.8675057442885503</v>
      </c>
      <c r="BR53" s="21">
        <f>EXP(-LN(2)/2)*BR52+(1-EXP(-LN(2)/2))/(LN(2)/2)*BL53*BO53*VLOOKUP('Données projet'!$B$11,Paramètres!$A$1:$I$89,3,0)*0.475*44/12</f>
        <v>2.9012993112586081</v>
      </c>
      <c r="BS53" s="22">
        <f t="shared" si="9"/>
        <v>6.7688050555471584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370.01</v>
      </c>
      <c r="BW53" s="12">
        <f>VLOOKUP(A53,'Données projet'!$A$113:$I$133,9,0)</f>
        <v>15.714444444444442</v>
      </c>
      <c r="BX53" s="12">
        <f t="array" ref="BX53">INDEX(BW:BW,MIN(IF(ISNUMBER(BW53:BW249),ROW(BW53:BW249),"")))</f>
        <v>15.714444444444442</v>
      </c>
      <c r="BY53" s="12">
        <f>IF('Données projet'!$A$114&gt;35,BY52+BX53-CG52,IF(A53&lt;'Données projet'!$A$114,$BV$205^A53,IF(A53='Données projet'!$A$114,'Données projet'!$B$114,BY52+BX53-CG52)))</f>
        <v>370.01000000000005</v>
      </c>
      <c r="BZ53" s="13">
        <f>BY53*VLOOKUP('Données projet'!$B$12,Paramètres!$A$1:$I$89,3,0)*VLOOKUP('Données projet'!$B$12,Paramètres!$A$1:$I$89,5,0)</f>
        <v>221.26598000000004</v>
      </c>
      <c r="CA53" s="13">
        <f t="shared" si="39"/>
        <v>54.389948263584252</v>
      </c>
      <c r="CB53" s="20">
        <f t="shared" si="10"/>
        <v>480.10074172574264</v>
      </c>
      <c r="CC53" s="59">
        <f t="shared" si="11"/>
        <v>735.22172325521274</v>
      </c>
      <c r="CD53" s="59">
        <f ca="1">AVERAGE(OFFSET($CC$3,0,0,'Données projet'!$E$12+1,1))-AVERAGE(OFFSET($H$3,0,0,'Données projet'!$E$12+1,1))</f>
        <v>373.61861223558259</v>
      </c>
      <c r="CE53" s="59">
        <f t="shared" si="40"/>
        <v>277.62293009761049</v>
      </c>
      <c r="CF53" s="15">
        <f>IF(ISNA(VLOOKUP(A53,'Données projet'!$A$113:$I$133,3,0)),0,VLOOKUP(A53,'Données projet'!$A$113:$I$133,3,0))</f>
        <v>5</v>
      </c>
      <c r="CG53" s="15">
        <f>IF(ISNA(VLOOKUP(A53,'Données projet'!$A$113:$I$133,4,0)),0,VLOOKUP(A53,'Données projet'!$A$113:$I$133,4,0))</f>
        <v>70.20999999999998</v>
      </c>
      <c r="CH53" s="16">
        <f>IF(ISNA(VLOOKUP(A53,'Données projet'!$A$113:$I$133,5,0)),0%,VLOOKUP(A53,'Données projet'!$A$113:$I$133,5,0)*VLOOKUP('Données projet'!$B$12,Paramètres!$A$1:$I$89,7,0))</f>
        <v>0.27</v>
      </c>
      <c r="CI53" s="16">
        <f>IF(ISNA(VLOOKUP(A53,'Données projet'!$A$113:$I$133,6,0)),0%,VLOOKUP(A53,'Données projet'!$A$113:$I$133,6,0)*VLOOKUP('Données projet'!$B$12,Paramètres!$A$1:$I$89,7,0))</f>
        <v>9.0000000000000011E-2</v>
      </c>
      <c r="CJ53" s="16">
        <f>IF(ISNA(VLOOKUP(A53,'Données projet'!$A$113:$I$133,7,0)),0%,VLOOKUP(A53,'Données projet'!$A$113:$I$133,7,0))</f>
        <v>0.2</v>
      </c>
      <c r="CK53" s="21">
        <f>EXP(-LN(2)/35)*CK52+(1-EXP(-LN(2)/35))/(LN(2)/35)*CG53*CH53*VLOOKUP('Données projet'!$B$12,Paramètres!$A$1:$I$89,3,0)*0.475*44/12</f>
        <v>36.030299745055871</v>
      </c>
      <c r="CL53" s="21">
        <f>EXP(-LN(2)/25)*CL52+(1-EXP(-LN(2)/25))/(LN(2)/25)*Calculateur!CG53*Calculateur!CI53*VLOOKUP('Données projet'!$B$12,Paramètres!$A$1:$I$89,3,0)*0.475*44/12</f>
        <v>18.9574040357579</v>
      </c>
      <c r="CM53" s="21">
        <f>EXP(-LN(2)/2)*CM52+(1-EXP(-LN(2)/2))/(LN(2)/2)*CG53*CJ53*VLOOKUP('Données projet'!$B$12,Paramètres!$A$1:$I$89,3,0)*0.475*44/12</f>
        <v>9.9793872672702157</v>
      </c>
      <c r="CN53" s="22">
        <f t="shared" si="12"/>
        <v>64.967091048083986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14.073749999999997</v>
      </c>
      <c r="N54" s="13">
        <f>IF('Données projet'!$A$36&gt;35,N53+M54-V53,IF(A54&lt;'Données projet'!$A$36,$K$205^A54,IF(A54='Données projet'!$A$36,'Données projet'!$B$36,N53+M54-V53)))</f>
        <v>248.06375000000003</v>
      </c>
      <c r="O54" s="13">
        <f>N54*VLOOKUP('Données projet'!$B$9,Paramètres!$A$1:$I$89,3,0)*VLOOKUP('Données projet'!$B$9,Paramètres!$A$1:$I$89,5,0)</f>
        <v>224.44808100000003</v>
      </c>
      <c r="P54" s="13">
        <f t="shared" si="33"/>
        <v>55.080525002460227</v>
      </c>
      <c r="Q54" s="20">
        <f t="shared" si="53"/>
        <v>486.84565545428495</v>
      </c>
      <c r="R54" s="59">
        <f t="shared" si="0"/>
        <v>742.62953585753178</v>
      </c>
      <c r="S54" s="59">
        <f ca="1">AVERAGE(OFFSET($R$3,0,0,'Données projet'!$E$9+1,1))-AVERAGE(OFFSET($H$3,0,0,'Données projet'!$E$9+1,1))</f>
        <v>737.40414421611001</v>
      </c>
      <c r="T54" s="59">
        <f t="shared" si="34"/>
        <v>245.32893490531674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46.939415139090251</v>
      </c>
      <c r="AB54" s="21">
        <f>EXP(-LN(2)/2)*AB53+(1-EXP(-LN(2)/2))/(LN(2)/2)*V54*Y54*VLOOKUP('Données projet'!$B$9,Paramètres!$A$1:$I$89,3,0)*0.475*44/12</f>
        <v>8.9950704594619264</v>
      </c>
      <c r="AC54" s="22">
        <f t="shared" si="3"/>
        <v>55.934485598552179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14.648749999999993</v>
      </c>
      <c r="AI54" s="13">
        <f>IF('Données projet'!$A$62&gt;35,AI53+AH54-AQ53,IF(A54&lt;'Données projet'!$A$62,$AF$205^A54,IF(A54='Données projet'!$A$62,'Données projet'!$B$62,AI53+AH54-AQ53)))</f>
        <v>393.36125000000004</v>
      </c>
      <c r="AJ54" s="13">
        <f>AI54*VLOOKUP('Données projet'!$B$10,Paramètres!$A$1:$I$89,3,0)*VLOOKUP('Données projet'!$B$10,Paramètres!$A$1:$I$89,5,0)</f>
        <v>235.23002750000006</v>
      </c>
      <c r="AK54" s="13">
        <f t="shared" si="35"/>
        <v>57.412051668725809</v>
      </c>
      <c r="AL54" s="20">
        <f t="shared" si="4"/>
        <v>509.68495455219767</v>
      </c>
      <c r="AM54" s="59">
        <f t="shared" si="5"/>
        <v>765.46883495544444</v>
      </c>
      <c r="AN54" s="59">
        <f ca="1">AVERAGE(OFFSET($AM$3,0,0,'Données projet'!$E$10+1,1))-AVERAGE(OFFSET($H$3,0,0,'Données projet'!$E$10+1,1))</f>
        <v>318.6615972007902</v>
      </c>
      <c r="AO54" s="59">
        <f t="shared" si="36"/>
        <v>326.82168950869504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37.162901163212702</v>
      </c>
      <c r="AV54" s="21">
        <f>EXP(-LN(2)/25)*AV53+(1-EXP(-LN(2)/25))/(LN(2)/25)*Calculateur!AQ54*Calculateur!AS54*VLOOKUP('Données projet'!$B$10,Paramètres!$A$1:$I$89,3,0)*0.475*44/12</f>
        <v>16.562357265311924</v>
      </c>
      <c r="AW54" s="21">
        <f>EXP(-LN(2)/2)*AW53+(1-EXP(-LN(2)/2))/(LN(2)/2)*AQ54*AT54*VLOOKUP('Données projet'!$B$10,Paramètres!$A$1:$I$89,3,0)*0.475*44/12</f>
        <v>0.99404370546623055</v>
      </c>
      <c r="AX54" s="21">
        <f t="shared" si="6"/>
        <v>54.719302133990858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4.8</v>
      </c>
      <c r="BD54" s="12">
        <f>IF('Données projet'!$A$88&gt;35,BD53+BC54-BL53,IF(A54&lt;'Données projet'!$A$88,$BA$205^A54,IF(A54='Données projet'!$A$88,'Données projet'!$B$88,BD53+BC54-BL53)))</f>
        <v>138.7999999999999</v>
      </c>
      <c r="BE54" s="13">
        <f>BD54*VLOOKUP('Données projet'!$B$11,Paramètres!$A$1:$I$89,3,0)*VLOOKUP('Données projet'!$B$11,Paramètres!$A$1:$I$89,5,0)</f>
        <v>140.74319999999992</v>
      </c>
      <c r="BF54" s="13">
        <f t="shared" si="37"/>
        <v>36.467209679964952</v>
      </c>
      <c r="BG54" s="20">
        <f t="shared" si="7"/>
        <v>308.64146352593883</v>
      </c>
      <c r="BH54" s="59">
        <f t="shared" si="8"/>
        <v>564.4253439291856</v>
      </c>
      <c r="BI54" s="59">
        <f ca="1">AVERAGE(OFFSET($BH$3,0,0,'Données projet'!$E$11+1,1))-AVERAGE(OFFSET($H$3,0,0,'Données projet'!$E$11+1,1))</f>
        <v>402.96916953216805</v>
      </c>
      <c r="BJ54" s="59">
        <f t="shared" si="38"/>
        <v>164.89273051331318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3.761748596327692</v>
      </c>
      <c r="BR54" s="21">
        <f>EXP(-LN(2)/2)*BR53+(1-EXP(-LN(2)/2))/(LN(2)/2)*BL54*BO54*VLOOKUP('Données projet'!$B$11,Paramètres!$A$1:$I$89,3,0)*0.475*44/12</f>
        <v>2.0515284172428219</v>
      </c>
      <c r="BS54" s="22">
        <f t="shared" si="9"/>
        <v>5.8132770135705139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14.113999999999999</v>
      </c>
      <c r="BY54" s="12">
        <f>IF('Données projet'!$A$114&gt;35,BY53+BX54-CG53,IF(A54&lt;'Données projet'!$A$114,$BV$205^A54,IF(A54='Données projet'!$A$114,'Données projet'!$B$114,BY53+BX54-CG53)))</f>
        <v>313.91400000000004</v>
      </c>
      <c r="BZ54" s="13">
        <f>BY54*VLOOKUP('Données projet'!$B$12,Paramètres!$A$1:$I$89,3,0)*VLOOKUP('Données projet'!$B$12,Paramètres!$A$1:$I$89,5,0)</f>
        <v>187.72057200000006</v>
      </c>
      <c r="CA54" s="13">
        <f t="shared" si="39"/>
        <v>47.035650233472225</v>
      </c>
      <c r="CB54" s="20">
        <f t="shared" si="10"/>
        <v>408.86708705663085</v>
      </c>
      <c r="CC54" s="59">
        <f t="shared" si="11"/>
        <v>664.65096745987762</v>
      </c>
      <c r="CD54" s="59">
        <f ca="1">AVERAGE(OFFSET($CC$3,0,0,'Données projet'!$E$12+1,1))-AVERAGE(OFFSET($H$3,0,0,'Données projet'!$E$12+1,1))</f>
        <v>373.61861223558259</v>
      </c>
      <c r="CE54" s="59">
        <f t="shared" si="40"/>
        <v>277.62293009761049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35.323767543368191</v>
      </c>
      <c r="CL54" s="21">
        <f>EXP(-LN(2)/25)*CL53+(1-EXP(-LN(2)/25))/(LN(2)/25)*Calculateur!CG54*Calculateur!CI54*VLOOKUP('Données projet'!$B$12,Paramètres!$A$1:$I$89,3,0)*0.475*44/12</f>
        <v>18.439012825473551</v>
      </c>
      <c r="CM54" s="21">
        <f>EXP(-LN(2)/2)*CM53+(1-EXP(-LN(2)/2))/(LN(2)/2)*CG54*CJ54*VLOOKUP('Données projet'!$B$12,Paramètres!$A$1:$I$89,3,0)*0.475*44/12</f>
        <v>7.0564924087734591</v>
      </c>
      <c r="CN54" s="22">
        <f t="shared" si="12"/>
        <v>60.819272777615204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14.073749999999997</v>
      </c>
      <c r="N55" s="13">
        <f>IF('Données projet'!$A$36&gt;35,N54+M55-V54,IF(A55&lt;'Données projet'!$A$36,$K$205^A55,IF(A55='Données projet'!$A$36,'Données projet'!$B$36,N54+M55-V54)))</f>
        <v>262.13750000000005</v>
      </c>
      <c r="O55" s="13">
        <f>N55*VLOOKUP('Données projet'!$B$9,Paramètres!$A$1:$I$89,3,0)*VLOOKUP('Données projet'!$B$9,Paramètres!$A$1:$I$89,5,0)</f>
        <v>237.18201000000005</v>
      </c>
      <c r="P55" s="13">
        <f t="shared" si="33"/>
        <v>57.832810058824109</v>
      </c>
      <c r="Q55" s="20">
        <f t="shared" si="53"/>
        <v>513.81747826911885</v>
      </c>
      <c r="R55" s="59">
        <f t="shared" si="0"/>
        <v>770.25275773270221</v>
      </c>
      <c r="S55" s="59">
        <f ca="1">AVERAGE(OFFSET($R$3,0,0,'Données projet'!$E$9+1,1))-AVERAGE(OFFSET($H$3,0,0,'Données projet'!$E$9+1,1))</f>
        <v>737.40414421611001</v>
      </c>
      <c r="T55" s="59">
        <f t="shared" si="34"/>
        <v>245.32893490531674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45.655854363675267</v>
      </c>
      <c r="AB55" s="21">
        <f>EXP(-LN(2)/2)*AB54+(1-EXP(-LN(2)/2))/(LN(2)/2)*V55*Y55*VLOOKUP('Données projet'!$B$9,Paramètres!$A$1:$I$89,3,0)*0.475*44/12</f>
        <v>6.3604753191363219</v>
      </c>
      <c r="AC55" s="22">
        <f t="shared" si="3"/>
        <v>52.016329682811588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>
        <f>VLOOKUP(A55,'Données projet'!$A$61:$I$81,2,0)</f>
        <v>408.01</v>
      </c>
      <c r="AG55" s="12">
        <f>VLOOKUP(A55,'Données projet'!$A$61:$I$81,9,0)</f>
        <v>14.648749999999993</v>
      </c>
      <c r="AH55" s="12">
        <f t="array" ref="AH55">INDEX(AG:AG,MIN(IF(ISNUMBER(AG55:AG251),ROW(AG55:AG251),"")))</f>
        <v>14.648749999999993</v>
      </c>
      <c r="AI55" s="13">
        <f>IF('Données projet'!$A$62&gt;35,AI54+AH55-AQ54,IF(A55&lt;'Données projet'!$A$62,$AF$205^A55,IF(A55='Données projet'!$A$62,'Données projet'!$B$62,AI54+AH55-AQ54)))</f>
        <v>408.01000000000005</v>
      </c>
      <c r="AJ55" s="13">
        <f>AI55*VLOOKUP('Données projet'!$B$10,Paramètres!$A$1:$I$89,3,0)*VLOOKUP('Données projet'!$B$10,Paramètres!$A$1:$I$89,5,0)</f>
        <v>243.98998000000003</v>
      </c>
      <c r="AK55" s="13">
        <f t="shared" si="35"/>
        <v>59.297168586253541</v>
      </c>
      <c r="AL55" s="20">
        <f t="shared" si="4"/>
        <v>528.22511712105825</v>
      </c>
      <c r="AM55" s="59">
        <f t="shared" si="5"/>
        <v>784.6603965846416</v>
      </c>
      <c r="AN55" s="59">
        <f ca="1">AVERAGE(OFFSET($AM$3,0,0,'Données projet'!$E$10+1,1))-AVERAGE(OFFSET($H$3,0,0,'Données projet'!$E$10+1,1))</f>
        <v>318.6615972007902</v>
      </c>
      <c r="AO55" s="59">
        <f t="shared" si="36"/>
        <v>326.82168950869504</v>
      </c>
      <c r="AP55" s="15">
        <f>IF(ISNA(VLOOKUP(A55,'Données projet'!$A$61:$I$81,3,0)),0,VLOOKUP(A55,'Données projet'!$A$61:$I$81,3,0))</f>
        <v>6</v>
      </c>
      <c r="AQ55" s="15">
        <f>IF(ISNA(VLOOKUP(A55,'Données projet'!$A$61:$I$81,4,0)),0,VLOOKUP(A55,'Données projet'!$A$61:$I$81,4,0))</f>
        <v>75.37</v>
      </c>
      <c r="AR55" s="16">
        <f>IF(ISNA(VLOOKUP(A55,'Données projet'!$A$61:$I$81,5,0)),0%,VLOOKUP(A55,'Données projet'!$A$61:$I$81,5,0)*VLOOKUP('Données projet'!$B$10,Paramètres!$A$1:$I$89,7,0))</f>
        <v>0.27</v>
      </c>
      <c r="AS55" s="16">
        <f>IF(ISNA(VLOOKUP(A55,'Données projet'!$A$61:$I$81,6,0)),0%,VLOOKUP(A55,'Données projet'!$A$61:$I$81,6,0)*VLOOKUP('Données projet'!$B$10,Paramètres!$A$1:$I$89,7,0))</f>
        <v>9.0000000000000011E-2</v>
      </c>
      <c r="AT55" s="16">
        <f>IF(ISNA(VLOOKUP(A55,'Données projet'!$A$61:$I$81,7,0)),0%,VLOOKUP(A55,'Données projet'!$A$61:$I$81,7,0))</f>
        <v>0.2</v>
      </c>
      <c r="AU55" s="21">
        <f>EXP(-LN(2)/35)*AU54+(1-EXP(-LN(2)/35))/(LN(2)/35)*AQ55*AR55*VLOOKUP('Données projet'!$B$10,Paramètres!$A$1:$I$89,3,0)*0.475*44/12</f>
        <v>52.577440837559578</v>
      </c>
      <c r="AV55" s="21">
        <f>EXP(-LN(2)/25)*AV54+(1-EXP(-LN(2)/25))/(LN(2)/25)*Calculateur!AQ55*Calculateur!AS55*VLOOKUP('Données projet'!$B$10,Paramètres!$A$1:$I$89,3,0)*0.475*44/12</f>
        <v>21.469365151146057</v>
      </c>
      <c r="AW55" s="21">
        <f>EXP(-LN(2)/2)*AW54+(1-EXP(-LN(2)/2))/(LN(2)/2)*AQ55*AT55*VLOOKUP('Données projet'!$B$10,Paramètres!$A$1:$I$89,3,0)*0.475*44/12</f>
        <v>10.909122297373514</v>
      </c>
      <c r="AX55" s="21">
        <f t="shared" si="6"/>
        <v>84.955928286079157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4.8</v>
      </c>
      <c r="BD55" s="12">
        <f>IF('Données projet'!$A$88&gt;35,BD54+BC55-BL54,IF(A55&lt;'Données projet'!$A$88,$BA$205^A55,IF(A55='Données projet'!$A$88,'Données projet'!$B$88,BD54+BC55-BL54)))</f>
        <v>143.59999999999991</v>
      </c>
      <c r="BE55" s="13">
        <f>BD55*VLOOKUP('Données projet'!$B$11,Paramètres!$A$1:$I$89,3,0)*VLOOKUP('Données projet'!$B$11,Paramètres!$A$1:$I$89,5,0)</f>
        <v>145.61039999999991</v>
      </c>
      <c r="BF55" s="13">
        <f t="shared" si="37"/>
        <v>37.579315479252877</v>
      </c>
      <c r="BG55" s="20">
        <f t="shared" si="7"/>
        <v>319.05542112636527</v>
      </c>
      <c r="BH55" s="59">
        <f t="shared" si="8"/>
        <v>575.49070058994857</v>
      </c>
      <c r="BI55" s="59">
        <f ca="1">AVERAGE(OFFSET($BH$3,0,0,'Données projet'!$E$11+1,1))-AVERAGE(OFFSET($H$3,0,0,'Données projet'!$E$11+1,1))</f>
        <v>402.96916953216805</v>
      </c>
      <c r="BJ55" s="59">
        <f t="shared" si="38"/>
        <v>164.89273051331318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3.6588833831393504</v>
      </c>
      <c r="BR55" s="21">
        <f>EXP(-LN(2)/2)*BR54+(1-EXP(-LN(2)/2))/(LN(2)/2)*BL55*BO55*VLOOKUP('Données projet'!$B$11,Paramètres!$A$1:$I$89,3,0)*0.475*44/12</f>
        <v>1.4506496556293043</v>
      </c>
      <c r="BS55" s="22">
        <f t="shared" si="9"/>
        <v>5.1095330387686548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14.113999999999999</v>
      </c>
      <c r="BY55" s="12">
        <f>IF('Données projet'!$A$114&gt;35,BY54+BX55-CG54,IF(A55&lt;'Données projet'!$A$114,$BV$205^A55,IF(A55='Données projet'!$A$114,'Données projet'!$B$114,BY54+BX55-CG54)))</f>
        <v>328.02800000000002</v>
      </c>
      <c r="BZ55" s="13">
        <f>BY55*VLOOKUP('Données projet'!$B$12,Paramètres!$A$1:$I$89,3,0)*VLOOKUP('Données projet'!$B$12,Paramètres!$A$1:$I$89,5,0)</f>
        <v>196.16074400000002</v>
      </c>
      <c r="CA55" s="13">
        <f t="shared" si="39"/>
        <v>48.899465996260361</v>
      </c>
      <c r="CB55" s="20">
        <f t="shared" si="10"/>
        <v>426.81319907682013</v>
      </c>
      <c r="CC55" s="59">
        <f t="shared" si="11"/>
        <v>683.24847854040354</v>
      </c>
      <c r="CD55" s="59">
        <f ca="1">AVERAGE(OFFSET($CC$3,0,0,'Données projet'!$E$12+1,1))-AVERAGE(OFFSET($H$3,0,0,'Données projet'!$E$12+1,1))</f>
        <v>373.61861223558259</v>
      </c>
      <c r="CE55" s="59">
        <f t="shared" si="40"/>
        <v>277.62293009761049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34.631090007213515</v>
      </c>
      <c r="CL55" s="21">
        <f>EXP(-LN(2)/25)*CL54+(1-EXP(-LN(2)/25))/(LN(2)/25)*Calculateur!CG55*Calculateur!CI55*VLOOKUP('Données projet'!$B$12,Paramètres!$A$1:$I$89,3,0)*0.475*44/12</f>
        <v>17.934797050095433</v>
      </c>
      <c r="CM55" s="21">
        <f>EXP(-LN(2)/2)*CM54+(1-EXP(-LN(2)/2))/(LN(2)/2)*CG55*CJ55*VLOOKUP('Données projet'!$B$12,Paramètres!$A$1:$I$89,3,0)*0.475*44/12</f>
        <v>4.9896936336351088</v>
      </c>
      <c r="CN55" s="22">
        <f t="shared" si="12"/>
        <v>57.555580690944055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14.073749999999997</v>
      </c>
      <c r="N56" s="13">
        <f>IF('Données projet'!$A$36&gt;35,N55+M56-V55,IF(A56&lt;'Données projet'!$A$36,$K$205^A56,IF(A56='Données projet'!$A$36,'Données projet'!$B$36,N55+M56-V55)))</f>
        <v>276.21125000000006</v>
      </c>
      <c r="O56" s="13">
        <f>N56*VLOOKUP('Données projet'!$B$9,Paramètres!$A$1:$I$89,3,0)*VLOOKUP('Données projet'!$B$9,Paramètres!$A$1:$I$89,5,0)</f>
        <v>249.91593900000007</v>
      </c>
      <c r="P56" s="13">
        <f t="shared" si="33"/>
        <v>60.567940102066487</v>
      </c>
      <c r="Q56" s="20">
        <f t="shared" si="53"/>
        <v>540.7594227694326</v>
      </c>
      <c r="R56" s="59">
        <f t="shared" si="0"/>
        <v>797.83480097596589</v>
      </c>
      <c r="S56" s="59">
        <f ca="1">AVERAGE(OFFSET($R$3,0,0,'Données projet'!$E$9+1,1))-AVERAGE(OFFSET($H$3,0,0,'Données projet'!$E$9+1,1))</f>
        <v>737.40414421611001</v>
      </c>
      <c r="T56" s="59">
        <f t="shared" si="34"/>
        <v>245.32893490531674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44.407392625163531</v>
      </c>
      <c r="AB56" s="21">
        <f>EXP(-LN(2)/2)*AB55+(1-EXP(-LN(2)/2))/(LN(2)/2)*V56*Y56*VLOOKUP('Données projet'!$B$9,Paramètres!$A$1:$I$89,3,0)*0.475*44/12</f>
        <v>4.4975352297309632</v>
      </c>
      <c r="AC56" s="22">
        <f t="shared" si="3"/>
        <v>48.904927854894495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13.137500000000003</v>
      </c>
      <c r="AI56" s="13">
        <f>IF('Données projet'!$A$62&gt;35,AI55+AH56-AQ55,IF(A56&lt;'Données projet'!$A$62,$AF$205^A56,IF(A56='Données projet'!$A$62,'Données projet'!$B$62,AI55+AH56-AQ55)))</f>
        <v>345.77750000000003</v>
      </c>
      <c r="AJ56" s="13">
        <f>AI56*VLOOKUP('Données projet'!$B$10,Paramètres!$A$1:$I$89,3,0)*VLOOKUP('Données projet'!$B$10,Paramètres!$A$1:$I$89,5,0)</f>
        <v>206.77494500000003</v>
      </c>
      <c r="AK56" s="13">
        <f t="shared" si="35"/>
        <v>51.230196498838012</v>
      </c>
      <c r="AL56" s="20">
        <f t="shared" si="4"/>
        <v>449.35895477714286</v>
      </c>
      <c r="AM56" s="59">
        <f t="shared" si="5"/>
        <v>706.43433298367609</v>
      </c>
      <c r="AN56" s="59">
        <f ca="1">AVERAGE(OFFSET($AM$3,0,0,'Données projet'!$E$10+1,1))-AVERAGE(OFFSET($H$3,0,0,'Données projet'!$E$10+1,1))</f>
        <v>318.6615972007902</v>
      </c>
      <c r="AO56" s="59">
        <f t="shared" si="36"/>
        <v>326.82168950869504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51.546429291807385</v>
      </c>
      <c r="AV56" s="21">
        <f>EXP(-LN(2)/25)*AV55+(1-EXP(-LN(2)/25))/(LN(2)/25)*Calculateur!AQ56*Calculateur!AS56*VLOOKUP('Données projet'!$B$10,Paramètres!$A$1:$I$89,3,0)*0.475*44/12</f>
        <v>20.882284232063125</v>
      </c>
      <c r="AW56" s="21">
        <f>EXP(-LN(2)/2)*AW55+(1-EXP(-LN(2)/2))/(LN(2)/2)*AQ56*AT56*VLOOKUP('Données projet'!$B$10,Paramètres!$A$1:$I$89,3,0)*0.475*44/12</f>
        <v>7.7139143532661807</v>
      </c>
      <c r="AX56" s="21">
        <f t="shared" si="6"/>
        <v>80.14262787713669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4.8</v>
      </c>
      <c r="BD56" s="12">
        <f>IF('Données projet'!$A$88&gt;35,BD55+BC56-BL55,IF(A56&lt;'Données projet'!$A$88,$BA$205^A56,IF(A56='Données projet'!$A$88,'Données projet'!$B$88,BD55+BC56-BL55)))</f>
        <v>148.39999999999992</v>
      </c>
      <c r="BE56" s="13">
        <f>BD56*VLOOKUP('Données projet'!$B$11,Paramètres!$A$1:$I$89,3,0)*VLOOKUP('Données projet'!$B$11,Paramètres!$A$1:$I$89,5,0)</f>
        <v>150.47759999999994</v>
      </c>
      <c r="BF56" s="13">
        <f t="shared" si="37"/>
        <v>38.68710184571318</v>
      </c>
      <c r="BG56" s="20">
        <f t="shared" si="7"/>
        <v>329.461855714617</v>
      </c>
      <c r="BH56" s="59">
        <f t="shared" si="8"/>
        <v>586.53723392115023</v>
      </c>
      <c r="BI56" s="59">
        <f ca="1">AVERAGE(OFFSET($BH$3,0,0,'Données projet'!$E$11+1,1))-AVERAGE(OFFSET($H$3,0,0,'Données projet'!$E$11+1,1))</f>
        <v>402.96916953216805</v>
      </c>
      <c r="BJ56" s="59">
        <f t="shared" si="38"/>
        <v>164.89273051331318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3.55883102461509</v>
      </c>
      <c r="BR56" s="21">
        <f>EXP(-LN(2)/2)*BR55+(1-EXP(-LN(2)/2))/(LN(2)/2)*BL56*BO56*VLOOKUP('Données projet'!$B$11,Paramètres!$A$1:$I$89,3,0)*0.475*44/12</f>
        <v>1.0257642086214109</v>
      </c>
      <c r="BS56" s="22">
        <f t="shared" si="9"/>
        <v>4.5845952332365005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14.113999999999999</v>
      </c>
      <c r="BY56" s="12">
        <f>IF('Données projet'!$A$114&gt;35,BY55+BX56-CG55,IF(A56&lt;'Données projet'!$A$114,$BV$205^A56,IF(A56='Données projet'!$A$114,'Données projet'!$B$114,BY55+BX56-CG55)))</f>
        <v>342.142</v>
      </c>
      <c r="BZ56" s="13">
        <f>BY56*VLOOKUP('Données projet'!$B$12,Paramètres!$A$1:$I$89,3,0)*VLOOKUP('Données projet'!$B$12,Paramètres!$A$1:$I$89,5,0)</f>
        <v>204.60091600000001</v>
      </c>
      <c r="CA56" s="13">
        <f t="shared" si="39"/>
        <v>50.753967472357871</v>
      </c>
      <c r="CB56" s="20">
        <f t="shared" si="10"/>
        <v>444.74308871435665</v>
      </c>
      <c r="CC56" s="59">
        <f t="shared" si="11"/>
        <v>701.81846692088993</v>
      </c>
      <c r="CD56" s="59">
        <f ca="1">AVERAGE(OFFSET($CC$3,0,0,'Données projet'!$E$12+1,1))-AVERAGE(OFFSET($H$3,0,0,'Données projet'!$E$12+1,1))</f>
        <v>373.61861223558259</v>
      </c>
      <c r="CE56" s="59">
        <f t="shared" si="40"/>
        <v>277.62293009761049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33.951995455051254</v>
      </c>
      <c r="CL56" s="21">
        <f>EXP(-LN(2)/25)*CL55+(1-EXP(-LN(2)/25))/(LN(2)/25)*Calculateur!CG56*Calculateur!CI56*VLOOKUP('Données projet'!$B$12,Paramètres!$A$1:$I$89,3,0)*0.475*44/12</f>
        <v>17.444369081610589</v>
      </c>
      <c r="CM56" s="21">
        <f>EXP(-LN(2)/2)*CM55+(1-EXP(-LN(2)/2))/(LN(2)/2)*CG56*CJ56*VLOOKUP('Données projet'!$B$12,Paramètres!$A$1:$I$89,3,0)*0.475*44/12</f>
        <v>3.5282462043867304</v>
      </c>
      <c r="CN56" s="22">
        <f t="shared" si="12"/>
        <v>54.924610741048575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14.073749999999997</v>
      </c>
      <c r="N57" s="13">
        <f>IF('Données projet'!$A$36&gt;35,N56+M57-V56,IF(A57&lt;'Données projet'!$A$36,$K$205^A57,IF(A57='Données projet'!$A$36,'Données projet'!$B$36,N56+M57-V56)))</f>
        <v>290.28500000000008</v>
      </c>
      <c r="O57" s="13">
        <f>N57*VLOOKUP('Données projet'!$B$9,Paramètres!$A$1:$I$89,3,0)*VLOOKUP('Données projet'!$B$9,Paramètres!$A$1:$I$89,5,0)</f>
        <v>262.64986800000008</v>
      </c>
      <c r="P57" s="13">
        <f t="shared" si="33"/>
        <v>63.286888949205185</v>
      </c>
      <c r="Q57" s="20">
        <f t="shared" si="53"/>
        <v>567.67318501986585</v>
      </c>
      <c r="R57" s="59">
        <f t="shared" si="0"/>
        <v>825.37755768720513</v>
      </c>
      <c r="S57" s="59">
        <f ca="1">AVERAGE(OFFSET($R$3,0,0,'Données projet'!$E$9+1,1))-AVERAGE(OFFSET($H$3,0,0,'Données projet'!$E$9+1,1))</f>
        <v>737.40414421611001</v>
      </c>
      <c r="T57" s="59">
        <f t="shared" si="34"/>
        <v>245.32893490531674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43.193070138545153</v>
      </c>
      <c r="AB57" s="21">
        <f>EXP(-LN(2)/2)*AB56+(1-EXP(-LN(2)/2))/(LN(2)/2)*V57*Y57*VLOOKUP('Données projet'!$B$9,Paramètres!$A$1:$I$89,3,0)*0.475*44/12</f>
        <v>3.180237659568161</v>
      </c>
      <c r="AC57" s="22">
        <f t="shared" si="3"/>
        <v>46.373307798113316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13.137500000000003</v>
      </c>
      <c r="AI57" s="13">
        <f>IF('Données projet'!$A$62&gt;35,AI56+AH57-AQ56,IF(A57&lt;'Données projet'!$A$62,$AF$205^A57,IF(A57='Données projet'!$A$62,'Données projet'!$B$62,AI56+AH57-AQ56)))</f>
        <v>358.91500000000002</v>
      </c>
      <c r="AJ57" s="13">
        <f>AI57*VLOOKUP('Données projet'!$B$10,Paramètres!$A$1:$I$89,3,0)*VLOOKUP('Données projet'!$B$10,Paramètres!$A$1:$I$89,5,0)</f>
        <v>214.63117000000003</v>
      </c>
      <c r="AK57" s="13">
        <f t="shared" si="35"/>
        <v>52.946324466626884</v>
      </c>
      <c r="AL57" s="20">
        <f t="shared" si="4"/>
        <v>466.03080286270847</v>
      </c>
      <c r="AM57" s="59">
        <f t="shared" si="5"/>
        <v>723.73517553004785</v>
      </c>
      <c r="AN57" s="59">
        <f ca="1">AVERAGE(OFFSET($AM$3,0,0,'Données projet'!$E$10+1,1))-AVERAGE(OFFSET($H$3,0,0,'Données projet'!$E$10+1,1))</f>
        <v>318.6615972007902</v>
      </c>
      <c r="AO57" s="59">
        <f t="shared" si="36"/>
        <v>326.82168950869504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50.535635253612448</v>
      </c>
      <c r="AV57" s="21">
        <f>EXP(-LN(2)/25)*AV56+(1-EXP(-LN(2)/25))/(LN(2)/25)*Calculateur!AQ57*Calculateur!AS57*VLOOKUP('Données projet'!$B$10,Paramètres!$A$1:$I$89,3,0)*0.475*44/12</f>
        <v>20.311257071585757</v>
      </c>
      <c r="AW57" s="21">
        <f>EXP(-LN(2)/2)*AW56+(1-EXP(-LN(2)/2))/(LN(2)/2)*AQ57*AT57*VLOOKUP('Données projet'!$B$10,Paramètres!$A$1:$I$89,3,0)*0.475*44/12</f>
        <v>5.454561148686758</v>
      </c>
      <c r="AX57" s="21">
        <f t="shared" si="6"/>
        <v>76.301453473884976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4.8</v>
      </c>
      <c r="BD57" s="12">
        <f>IF('Données projet'!$A$88&gt;35,BD56+BC57-BL56,IF(A57&lt;'Données projet'!$A$88,$BA$205^A57,IF(A57='Données projet'!$A$88,'Données projet'!$B$88,BD56+BC57-BL56)))</f>
        <v>153.19999999999993</v>
      </c>
      <c r="BE57" s="13">
        <f>BD57*VLOOKUP('Données projet'!$B$11,Paramètres!$A$1:$I$89,3,0)*VLOOKUP('Données projet'!$B$11,Paramètres!$A$1:$I$89,5,0)</f>
        <v>155.34479999999994</v>
      </c>
      <c r="BF57" s="13">
        <f t="shared" si="37"/>
        <v>39.790724515827897</v>
      </c>
      <c r="BG57" s="20">
        <f t="shared" si="7"/>
        <v>339.86103853173341</v>
      </c>
      <c r="BH57" s="59">
        <f t="shared" si="8"/>
        <v>597.56541119907274</v>
      </c>
      <c r="BI57" s="59">
        <f ca="1">AVERAGE(OFFSET($BH$3,0,0,'Données projet'!$E$11+1,1))-AVERAGE(OFFSET($H$3,0,0,'Données projet'!$E$11+1,1))</f>
        <v>402.96916953216805</v>
      </c>
      <c r="BJ57" s="59">
        <f t="shared" si="38"/>
        <v>164.89273051331318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3.4615146030962007</v>
      </c>
      <c r="BR57" s="21">
        <f>EXP(-LN(2)/2)*BR56+(1-EXP(-LN(2)/2))/(LN(2)/2)*BL57*BO57*VLOOKUP('Données projet'!$B$11,Paramètres!$A$1:$I$89,3,0)*0.475*44/12</f>
        <v>0.72532482781465213</v>
      </c>
      <c r="BS57" s="22">
        <f t="shared" si="9"/>
        <v>4.1868394309108528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14.113999999999999</v>
      </c>
      <c r="BY57" s="12">
        <f>IF('Données projet'!$A$114&gt;35,BY56+BX57-CG56,IF(A57&lt;'Données projet'!$A$114,$BV$205^A57,IF(A57='Données projet'!$A$114,'Données projet'!$B$114,BY56+BX57-CG56)))</f>
        <v>356.25599999999997</v>
      </c>
      <c r="BZ57" s="13">
        <f>BY57*VLOOKUP('Données projet'!$B$12,Paramètres!$A$1:$I$89,3,0)*VLOOKUP('Données projet'!$B$12,Paramètres!$A$1:$I$89,5,0)</f>
        <v>213.041088</v>
      </c>
      <c r="CA57" s="13">
        <f t="shared" si="39"/>
        <v>52.599582837576946</v>
      </c>
      <c r="CB57" s="20">
        <f t="shared" si="10"/>
        <v>462.65750170877988</v>
      </c>
      <c r="CC57" s="59">
        <f t="shared" si="11"/>
        <v>720.3618743761192</v>
      </c>
      <c r="CD57" s="59">
        <f ca="1">AVERAGE(OFFSET($CC$3,0,0,'Données projet'!$E$12+1,1))-AVERAGE(OFFSET($H$3,0,0,'Données projet'!$E$12+1,1))</f>
        <v>373.61861223558259</v>
      </c>
      <c r="CE57" s="59">
        <f t="shared" si="40"/>
        <v>277.62293009761049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33.286217532850117</v>
      </c>
      <c r="CL57" s="21">
        <f>EXP(-LN(2)/25)*CL56+(1-EXP(-LN(2)/25))/(LN(2)/25)*Calculateur!CG57*Calculateur!CI57*VLOOKUP('Données projet'!$B$12,Paramètres!$A$1:$I$89,3,0)*0.475*44/12</f>
        <v>16.967351891714447</v>
      </c>
      <c r="CM57" s="21">
        <f>EXP(-LN(2)/2)*CM56+(1-EXP(-LN(2)/2))/(LN(2)/2)*CG57*CJ57*VLOOKUP('Données projet'!$B$12,Paramètres!$A$1:$I$89,3,0)*0.475*44/12</f>
        <v>2.4948468168175548</v>
      </c>
      <c r="CN57" s="22">
        <f t="shared" si="12"/>
        <v>52.748416241382117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14.073749999999997</v>
      </c>
      <c r="N58" s="13">
        <f>IF('Données projet'!$A$36&gt;35,N57+M58-V57,IF(A58&lt;'Données projet'!$A$36,$K$205^A58,IF(A58='Données projet'!$A$36,'Données projet'!$B$36,N57+M58-V57)))</f>
        <v>304.3587500000001</v>
      </c>
      <c r="O58" s="13">
        <f>N58*VLOOKUP('Données projet'!$B$9,Paramètres!$A$1:$I$89,3,0)*VLOOKUP('Données projet'!$B$9,Paramètres!$A$1:$I$89,5,0)</f>
        <v>275.38379700000007</v>
      </c>
      <c r="P58" s="13">
        <f t="shared" si="33"/>
        <v>65.990530656055242</v>
      </c>
      <c r="Q58" s="20">
        <f t="shared" si="53"/>
        <v>594.56028733429628</v>
      </c>
      <c r="R58" s="59">
        <f t="shared" si="0"/>
        <v>852.88274281476765</v>
      </c>
      <c r="S58" s="59">
        <f ca="1">AVERAGE(OFFSET($R$3,0,0,'Données projet'!$E$9+1,1))-AVERAGE(OFFSET($H$3,0,0,'Données projet'!$E$9+1,1))</f>
        <v>737.40414421611001</v>
      </c>
      <c r="T58" s="59">
        <f t="shared" si="34"/>
        <v>245.32893490531674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42.011953364181799</v>
      </c>
      <c r="AB58" s="21">
        <f>EXP(-LN(2)/2)*AB57+(1-EXP(-LN(2)/2))/(LN(2)/2)*V58*Y58*VLOOKUP('Données projet'!$B$9,Paramètres!$A$1:$I$89,3,0)*0.475*44/12</f>
        <v>2.2487676148654816</v>
      </c>
      <c r="AC58" s="22">
        <f t="shared" si="3"/>
        <v>44.260720979047278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13.137500000000003</v>
      </c>
      <c r="AI58" s="13">
        <f>IF('Données projet'!$A$62&gt;35,AI57+AH58-AQ57,IF(A58&lt;'Données projet'!$A$62,$AF$205^A58,IF(A58='Données projet'!$A$62,'Données projet'!$B$62,AI57+AH58-AQ57)))</f>
        <v>372.05250000000001</v>
      </c>
      <c r="AJ58" s="13">
        <f>AI58*VLOOKUP('Données projet'!$B$10,Paramètres!$A$1:$I$89,3,0)*VLOOKUP('Données projet'!$B$10,Paramètres!$A$1:$I$89,5,0)</f>
        <v>222.48739500000005</v>
      </c>
      <c r="AK58" s="13">
        <f t="shared" si="35"/>
        <v>54.655154476363585</v>
      </c>
      <c r="AL58" s="20">
        <f t="shared" si="4"/>
        <v>482.68994033799999</v>
      </c>
      <c r="AM58" s="59">
        <f t="shared" si="5"/>
        <v>741.0123958184713</v>
      </c>
      <c r="AN58" s="59">
        <f ca="1">AVERAGE(OFFSET($AM$3,0,0,'Données projet'!$E$10+1,1))-AVERAGE(OFFSET($H$3,0,0,'Données projet'!$E$10+1,1))</f>
        <v>318.6615972007902</v>
      </c>
      <c r="AO58" s="59">
        <f t="shared" si="36"/>
        <v>326.82168950869504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49.544662269983029</v>
      </c>
      <c r="AV58" s="21">
        <f>EXP(-LN(2)/25)*AV57+(1-EXP(-LN(2)/25))/(LN(2)/25)*Calculateur!AQ58*Calculateur!AS58*VLOOKUP('Données projet'!$B$10,Paramètres!$A$1:$I$89,3,0)*0.475*44/12</f>
        <v>19.755844678840656</v>
      </c>
      <c r="AW58" s="21">
        <f>EXP(-LN(2)/2)*AW57+(1-EXP(-LN(2)/2))/(LN(2)/2)*AQ58*AT58*VLOOKUP('Données projet'!$B$10,Paramètres!$A$1:$I$89,3,0)*0.475*44/12</f>
        <v>3.8569571766330908</v>
      </c>
      <c r="AX58" s="21">
        <f t="shared" si="6"/>
        <v>73.157464125456769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158</v>
      </c>
      <c r="BB58" s="12">
        <f>VLOOKUP(A58,'Données projet'!$A$87:$I$107,9,0)</f>
        <v>4.8</v>
      </c>
      <c r="BC58" s="12">
        <f t="array" ref="BC58">INDEX(BB:BB,MIN(IF(ISNUMBER(BB58:BB254),ROW(BB58:BB254),"")))</f>
        <v>4.8</v>
      </c>
      <c r="BD58" s="12">
        <f>IF('Données projet'!$A$88&gt;35,BD57+BC58-BL57,IF(A58&lt;'Données projet'!$A$88,$BA$205^A58,IF(A58='Données projet'!$A$88,'Données projet'!$B$88,BD57+BC58-BL57)))</f>
        <v>157.99999999999994</v>
      </c>
      <c r="BE58" s="13">
        <f>BD58*VLOOKUP('Données projet'!$B$11,Paramètres!$A$1:$I$89,3,0)*VLOOKUP('Données projet'!$B$11,Paramètres!$A$1:$I$89,5,0)</f>
        <v>160.21199999999993</v>
      </c>
      <c r="BF58" s="13">
        <f t="shared" si="37"/>
        <v>40.890328912852695</v>
      </c>
      <c r="BG58" s="20">
        <f t="shared" si="7"/>
        <v>350.25322285655164</v>
      </c>
      <c r="BH58" s="59">
        <f t="shared" si="8"/>
        <v>608.57567833702296</v>
      </c>
      <c r="BI58" s="59">
        <f ca="1">AVERAGE(OFFSET($BH$3,0,0,'Données projet'!$E$11+1,1))-AVERAGE(OFFSET($H$3,0,0,'Données projet'!$E$11+1,1))</f>
        <v>402.96916953216805</v>
      </c>
      <c r="BJ58" s="59">
        <f t="shared" si="38"/>
        <v>164.89273051331318</v>
      </c>
      <c r="BK58" s="15">
        <f>IF(ISNA(VLOOKUP(A58,'Données projet'!$A$87:$I$107,3,0)),0,VLOOKUP(A58,'Données projet'!$A$87:$I$107,3,0))</f>
        <v>5</v>
      </c>
      <c r="BL58" s="15">
        <f>IF(ISNA(VLOOKUP(A58,'Données projet'!$A$87:$I$107,4,0)),0,VLOOKUP(A58,'Données projet'!$A$87:$I$107,4,0))</f>
        <v>11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0.1075</v>
      </c>
      <c r="BO58" s="16">
        <f>IF(ISNA(VLOOKUP(A58,'Données projet'!$A$87:$I$107,7,0)),0%,VLOOKUP(A58,'Données projet'!$A$87:$I$107,7,0))</f>
        <v>0.25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4.6871600137124307</v>
      </c>
      <c r="BR58" s="21">
        <f>EXP(-LN(2)/2)*BR57+(1-EXP(-LN(2)/2))/(LN(2)/2)*BL58*BO58*VLOOKUP('Données projet'!$B$11,Paramètres!$A$1:$I$89,3,0)*0.475*44/12</f>
        <v>3.1439069056878308</v>
      </c>
      <c r="BS58" s="22">
        <f t="shared" si="9"/>
        <v>7.8310669194002616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14.113999999999999</v>
      </c>
      <c r="BY58" s="12">
        <f>IF('Données projet'!$A$114&gt;35,BY57+BX58-CG57,IF(A58&lt;'Données projet'!$A$114,$BV$205^A58,IF(A58='Données projet'!$A$114,'Données projet'!$B$114,BY57+BX58-CG57)))</f>
        <v>370.36999999999995</v>
      </c>
      <c r="BZ58" s="13">
        <f>BY58*VLOOKUP('Données projet'!$B$12,Paramètres!$A$1:$I$89,3,0)*VLOOKUP('Données projet'!$B$12,Paramètres!$A$1:$I$89,5,0)</f>
        <v>221.48125999999999</v>
      </c>
      <c r="CA58" s="13">
        <f t="shared" si="39"/>
        <v>54.436704420571644</v>
      </c>
      <c r="CB58" s="20">
        <f t="shared" si="10"/>
        <v>480.55712136582889</v>
      </c>
      <c r="CC58" s="59">
        <f t="shared" si="11"/>
        <v>738.87957684630032</v>
      </c>
      <c r="CD58" s="59">
        <f ca="1">AVERAGE(OFFSET($CC$3,0,0,'Données projet'!$E$12+1,1))-AVERAGE(OFFSET($H$3,0,0,'Données projet'!$E$12+1,1))</f>
        <v>373.61861223558259</v>
      </c>
      <c r="CE58" s="59">
        <f t="shared" si="40"/>
        <v>277.62293009761049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32.633495109618906</v>
      </c>
      <c r="CL58" s="21">
        <f>EXP(-LN(2)/25)*CL57+(1-EXP(-LN(2)/25))/(LN(2)/25)*Calculateur!CG58*Calculateur!CI58*VLOOKUP('Données projet'!$B$12,Paramètres!$A$1:$I$89,3,0)*0.475*44/12</f>
        <v>16.503378761961258</v>
      </c>
      <c r="CM58" s="21">
        <f>EXP(-LN(2)/2)*CM57+(1-EXP(-LN(2)/2))/(LN(2)/2)*CG58*CJ58*VLOOKUP('Données projet'!$B$12,Paramètres!$A$1:$I$89,3,0)*0.475*44/12</f>
        <v>1.7641231021933654</v>
      </c>
      <c r="CN58" s="22">
        <f t="shared" si="12"/>
        <v>50.90099697377353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14.073749999999997</v>
      </c>
      <c r="N59" s="13">
        <f>IF('Données projet'!$A$36&gt;35,N58+M59-V58,IF(A59&lt;'Données projet'!$A$36,$K$205^A59,IF(A59='Données projet'!$A$36,'Données projet'!$B$36,N58+M59-V58)))</f>
        <v>318.43250000000012</v>
      </c>
      <c r="O59" s="13">
        <f>N59*VLOOKUP('Données projet'!$B$9,Paramètres!$A$1:$I$89,3,0)*VLOOKUP('Données projet'!$B$9,Paramètres!$A$1:$I$89,5,0)</f>
        <v>288.11772600000012</v>
      </c>
      <c r="P59" s="13">
        <f t="shared" si="33"/>
        <v>68.679653876016673</v>
      </c>
      <c r="Q59" s="20">
        <f t="shared" si="53"/>
        <v>621.42210328406259</v>
      </c>
      <c r="R59" s="59">
        <f t="shared" si="0"/>
        <v>880.35191922268427</v>
      </c>
      <c r="S59" s="59">
        <f ca="1">AVERAGE(OFFSET($R$3,0,0,'Données projet'!$E$9+1,1))-AVERAGE(OFFSET($H$3,0,0,'Données projet'!$E$9+1,1))</f>
        <v>737.40414421611001</v>
      </c>
      <c r="T59" s="59">
        <f t="shared" si="34"/>
        <v>245.32893490531674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40.863134290125643</v>
      </c>
      <c r="AB59" s="21">
        <f>EXP(-LN(2)/2)*AB58+(1-EXP(-LN(2)/2))/(LN(2)/2)*V59*Y59*VLOOKUP('Données projet'!$B$9,Paramètres!$A$1:$I$89,3,0)*0.475*44/12</f>
        <v>1.5901188297840805</v>
      </c>
      <c r="AC59" s="22">
        <f t="shared" si="3"/>
        <v>42.453253119909725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13.137500000000003</v>
      </c>
      <c r="AI59" s="13">
        <f>IF('Données projet'!$A$62&gt;35,AI58+AH59-AQ58,IF(A59&lt;'Données projet'!$A$62,$AF$205^A59,IF(A59='Données projet'!$A$62,'Données projet'!$B$62,AI58+AH59-AQ58)))</f>
        <v>385.19</v>
      </c>
      <c r="AJ59" s="13">
        <f>AI59*VLOOKUP('Données projet'!$B$10,Paramètres!$A$1:$I$89,3,0)*VLOOKUP('Données projet'!$B$10,Paramètres!$A$1:$I$89,5,0)</f>
        <v>230.34362000000002</v>
      </c>
      <c r="AK59" s="13">
        <f t="shared" si="35"/>
        <v>56.356973752237387</v>
      </c>
      <c r="AL59" s="20">
        <f t="shared" si="4"/>
        <v>499.33686745181348</v>
      </c>
      <c r="AM59" s="59">
        <f t="shared" si="5"/>
        <v>758.26668339043522</v>
      </c>
      <c r="AN59" s="59">
        <f ca="1">AVERAGE(OFFSET($AM$3,0,0,'Données projet'!$E$10+1,1))-AVERAGE(OFFSET($H$3,0,0,'Données projet'!$E$10+1,1))</f>
        <v>318.6615972007902</v>
      </c>
      <c r="AO59" s="59">
        <f t="shared" si="36"/>
        <v>326.82168950869504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48.573121662128742</v>
      </c>
      <c r="AV59" s="21">
        <f>EXP(-LN(2)/25)*AV58+(1-EXP(-LN(2)/25))/(LN(2)/25)*Calculateur!AQ59*Calculateur!AS59*VLOOKUP('Données projet'!$B$10,Paramètres!$A$1:$I$89,3,0)*0.475*44/12</f>
        <v>19.215620067183039</v>
      </c>
      <c r="AW59" s="21">
        <f>EXP(-LN(2)/2)*AW58+(1-EXP(-LN(2)/2))/(LN(2)/2)*AQ59*AT59*VLOOKUP('Données projet'!$B$10,Paramètres!$A$1:$I$89,3,0)*0.475*44/12</f>
        <v>2.7272805743433794</v>
      </c>
      <c r="AX59" s="21">
        <f t="shared" si="6"/>
        <v>70.516022303655163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4.8</v>
      </c>
      <c r="BD59" s="12">
        <f>IF('Données projet'!$A$88&gt;35,BD58+BC59-BL58,IF(A59&lt;'Données projet'!$A$88,$BA$205^A59,IF(A59='Données projet'!$A$88,'Données projet'!$B$88,BD58+BC59-BL58)))</f>
        <v>151.79999999999995</v>
      </c>
      <c r="BE59" s="13">
        <f>BD59*VLOOKUP('Données projet'!$B$11,Paramètres!$A$1:$I$89,3,0)*VLOOKUP('Données projet'!$B$11,Paramètres!$A$1:$I$89,5,0)</f>
        <v>153.92519999999996</v>
      </c>
      <c r="BF59" s="13">
        <f t="shared" si="37"/>
        <v>39.469255934857685</v>
      </c>
      <c r="BG59" s="20">
        <f t="shared" si="7"/>
        <v>336.82867741987707</v>
      </c>
      <c r="BH59" s="59">
        <f t="shared" si="8"/>
        <v>595.75849335849875</v>
      </c>
      <c r="BI59" s="59">
        <f ca="1">AVERAGE(OFFSET($BH$3,0,0,'Données projet'!$E$11+1,1))-AVERAGE(OFFSET($H$3,0,0,'Données projet'!$E$11+1,1))</f>
        <v>402.96916953216805</v>
      </c>
      <c r="BJ59" s="59">
        <f t="shared" si="38"/>
        <v>164.89273051331318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4.5589893766504321</v>
      </c>
      <c r="BR59" s="21">
        <f>EXP(-LN(2)/2)*BR58+(1-EXP(-LN(2)/2))/(LN(2)/2)*BL59*BO59*VLOOKUP('Données projet'!$B$11,Paramètres!$A$1:$I$89,3,0)*0.475*44/12</f>
        <v>2.223077892431081</v>
      </c>
      <c r="BS59" s="22">
        <f t="shared" si="9"/>
        <v>6.7820672690815131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14.113999999999999</v>
      </c>
      <c r="BY59" s="12">
        <f>IF('Données projet'!$A$114&gt;35,BY58+BX59-CG58,IF(A59&lt;'Données projet'!$A$114,$BV$205^A59,IF(A59='Données projet'!$A$114,'Données projet'!$B$114,BY58+BX59-CG58)))</f>
        <v>384.48399999999992</v>
      </c>
      <c r="BZ59" s="13">
        <f>BY59*VLOOKUP('Données projet'!$B$12,Paramètres!$A$1:$I$89,3,0)*VLOOKUP('Données projet'!$B$12,Paramètres!$A$1:$I$89,5,0)</f>
        <v>229.92143199999998</v>
      </c>
      <c r="CA59" s="13">
        <f t="shared" si="39"/>
        <v>56.265692954832708</v>
      </c>
      <c r="CB59" s="20">
        <f t="shared" si="10"/>
        <v>498.44257596300025</v>
      </c>
      <c r="CC59" s="59">
        <f t="shared" si="11"/>
        <v>757.372391901622</v>
      </c>
      <c r="CD59" s="59">
        <f ca="1">AVERAGE(OFFSET($CC$3,0,0,'Données projet'!$E$12+1,1))-AVERAGE(OFFSET($H$3,0,0,'Données projet'!$E$12+1,1))</f>
        <v>373.61861223558259</v>
      </c>
      <c r="CE59" s="59">
        <f t="shared" si="40"/>
        <v>277.62293009761049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31.993572174985893</v>
      </c>
      <c r="CL59" s="21">
        <f>EXP(-LN(2)/25)*CL58+(1-EXP(-LN(2)/25))/(LN(2)/25)*Calculateur!CG59*Calculateur!CI59*VLOOKUP('Données projet'!$B$12,Paramètres!$A$1:$I$89,3,0)*0.475*44/12</f>
        <v>16.052093001840458</v>
      </c>
      <c r="CM59" s="21">
        <f>EXP(-LN(2)/2)*CM58+(1-EXP(-LN(2)/2))/(LN(2)/2)*CG59*CJ59*VLOOKUP('Données projet'!$B$12,Paramètres!$A$1:$I$89,3,0)*0.475*44/12</f>
        <v>1.2474234084087776</v>
      </c>
      <c r="CN59" s="22">
        <f t="shared" si="12"/>
        <v>49.293088585235125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14.073749999999997</v>
      </c>
      <c r="N60" s="13">
        <f>IF('Données projet'!$A$36&gt;35,N59+M60-V59,IF(A60&lt;'Données projet'!$A$36,$K$205^A60,IF(A60='Données projet'!$A$36,'Données projet'!$B$36,N59+M60-V59)))</f>
        <v>332.50625000000014</v>
      </c>
      <c r="O60" s="13">
        <f>N60*VLOOKUP('Données projet'!$B$9,Paramètres!$A$1:$I$89,3,0)*VLOOKUP('Données projet'!$B$9,Paramètres!$A$1:$I$89,5,0)</f>
        <v>300.85165500000011</v>
      </c>
      <c r="P60" s="13">
        <f t="shared" si="33"/>
        <v>71.354973608730333</v>
      </c>
      <c r="Q60" s="20">
        <f t="shared" si="53"/>
        <v>648.25987816020552</v>
      </c>
      <c r="R60" s="59">
        <f t="shared" si="0"/>
        <v>907.78651821088329</v>
      </c>
      <c r="S60" s="59">
        <f ca="1">AVERAGE(OFFSET($R$3,0,0,'Données projet'!$E$9+1,1))-AVERAGE(OFFSET($H$3,0,0,'Données projet'!$E$9+1,1))</f>
        <v>737.40414421611001</v>
      </c>
      <c r="T60" s="59">
        <f t="shared" si="34"/>
        <v>245.32893490531674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39.745729734063318</v>
      </c>
      <c r="AB60" s="21">
        <f>EXP(-LN(2)/2)*AB59+(1-EXP(-LN(2)/2))/(LN(2)/2)*V60*Y60*VLOOKUP('Données projet'!$B$9,Paramètres!$A$1:$I$89,3,0)*0.475*44/12</f>
        <v>1.1243838074327408</v>
      </c>
      <c r="AC60" s="22">
        <f t="shared" si="3"/>
        <v>40.87011354149606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13.137500000000003</v>
      </c>
      <c r="AI60" s="13">
        <f>IF('Données projet'!$A$62&gt;35,AI59+AH60-AQ59,IF(A60&lt;'Données projet'!$A$62,$AF$205^A60,IF(A60='Données projet'!$A$62,'Données projet'!$B$62,AI59+AH60-AQ59)))</f>
        <v>398.32749999999999</v>
      </c>
      <c r="AJ60" s="13">
        <f>AI60*VLOOKUP('Données projet'!$B$10,Paramètres!$A$1:$I$89,3,0)*VLOOKUP('Données projet'!$B$10,Paramètres!$A$1:$I$89,5,0)</f>
        <v>238.19984500000001</v>
      </c>
      <c r="AK60" s="13">
        <f t="shared" si="35"/>
        <v>58.052048814592176</v>
      </c>
      <c r="AL60" s="20">
        <f t="shared" si="4"/>
        <v>515.97204839374797</v>
      </c>
      <c r="AM60" s="59">
        <f t="shared" si="5"/>
        <v>775.49868844442562</v>
      </c>
      <c r="AN60" s="59">
        <f ca="1">AVERAGE(OFFSET($AM$3,0,0,'Données projet'!$E$10+1,1))-AVERAGE(OFFSET($H$3,0,0,'Données projet'!$E$10+1,1))</f>
        <v>318.6615972007902</v>
      </c>
      <c r="AO60" s="59">
        <f t="shared" si="36"/>
        <v>326.82168950869504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47.620632373013223</v>
      </c>
      <c r="AV60" s="21">
        <f>EXP(-LN(2)/25)*AV59+(1-EXP(-LN(2)/25))/(LN(2)/25)*Calculateur!AQ60*Calculateur!AS60*VLOOKUP('Données projet'!$B$10,Paramètres!$A$1:$I$89,3,0)*0.475*44/12</f>
        <v>18.690167925940376</v>
      </c>
      <c r="AW60" s="21">
        <f>EXP(-LN(2)/2)*AW59+(1-EXP(-LN(2)/2))/(LN(2)/2)*AQ60*AT60*VLOOKUP('Données projet'!$B$10,Paramètres!$A$1:$I$89,3,0)*0.475*44/12</f>
        <v>1.9284785883165458</v>
      </c>
      <c r="AX60" s="21">
        <f t="shared" si="6"/>
        <v>68.239278887270146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4.8</v>
      </c>
      <c r="BD60" s="12">
        <f>IF('Données projet'!$A$88&gt;35,BD59+BC60-BL59,IF(A60&lt;'Données projet'!$A$88,$BA$205^A60,IF(A60='Données projet'!$A$88,'Données projet'!$B$88,BD59+BC60-BL59)))</f>
        <v>156.59999999999997</v>
      </c>
      <c r="BE60" s="13">
        <f>BD60*VLOOKUP('Données projet'!$B$11,Paramètres!$A$1:$I$89,3,0)*VLOOKUP('Données projet'!$B$11,Paramètres!$A$1:$I$89,5,0)</f>
        <v>158.79239999999996</v>
      </c>
      <c r="BF60" s="13">
        <f t="shared" si="37"/>
        <v>40.570017872698209</v>
      </c>
      <c r="BG60" s="20">
        <f t="shared" si="7"/>
        <v>347.22287779494928</v>
      </c>
      <c r="BH60" s="59">
        <f t="shared" si="8"/>
        <v>606.749517845627</v>
      </c>
      <c r="BI60" s="59">
        <f ca="1">AVERAGE(OFFSET($BH$3,0,0,'Données projet'!$E$11+1,1))-AVERAGE(OFFSET($H$3,0,0,'Données projet'!$E$11+1,1))</f>
        <v>402.96916953216805</v>
      </c>
      <c r="BJ60" s="59">
        <f t="shared" si="38"/>
        <v>164.89273051331318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4.4343235723990944</v>
      </c>
      <c r="BR60" s="21">
        <f>EXP(-LN(2)/2)*BR59+(1-EXP(-LN(2)/2))/(LN(2)/2)*BL60*BO60*VLOOKUP('Données projet'!$B$11,Paramètres!$A$1:$I$89,3,0)*0.475*44/12</f>
        <v>1.5719534528439156</v>
      </c>
      <c r="BS60" s="22">
        <f t="shared" si="9"/>
        <v>6.0062770252430102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14.113999999999999</v>
      </c>
      <c r="BY60" s="12">
        <f>IF('Données projet'!$A$114&gt;35,BY59+BX60-CG59,IF(A60&lt;'Données projet'!$A$114,$BV$205^A60,IF(A60='Données projet'!$A$114,'Données projet'!$B$114,BY59+BX60-CG59)))</f>
        <v>398.5979999999999</v>
      </c>
      <c r="BZ60" s="13">
        <f>BY60*VLOOKUP('Données projet'!$B$12,Paramètres!$A$1:$I$89,3,0)*VLOOKUP('Données projet'!$B$12,Paramètres!$A$1:$I$89,5,0)</f>
        <v>238.36160399999994</v>
      </c>
      <c r="CA60" s="13">
        <f t="shared" si="39"/>
        <v>58.086881188787437</v>
      </c>
      <c r="CB60" s="20">
        <f t="shared" si="10"/>
        <v>516.31444503713794</v>
      </c>
      <c r="CC60" s="59">
        <f t="shared" si="11"/>
        <v>775.8410850878156</v>
      </c>
      <c r="CD60" s="59">
        <f ca="1">AVERAGE(OFFSET($CC$3,0,0,'Données projet'!$E$12+1,1))-AVERAGE(OFFSET($H$3,0,0,'Données projet'!$E$12+1,1))</f>
        <v>373.61861223558259</v>
      </c>
      <c r="CE60" s="59">
        <f t="shared" si="40"/>
        <v>277.62293009761049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31.366197738786585</v>
      </c>
      <c r="CL60" s="21">
        <f>EXP(-LN(2)/25)*CL59+(1-EXP(-LN(2)/25))/(LN(2)/25)*Calculateur!CG60*Calculateur!CI60*VLOOKUP('Données projet'!$B$12,Paramètres!$A$1:$I$89,3,0)*0.475*44/12</f>
        <v>15.613147674562248</v>
      </c>
      <c r="CM60" s="21">
        <f>EXP(-LN(2)/2)*CM59+(1-EXP(-LN(2)/2))/(LN(2)/2)*CG60*CJ60*VLOOKUP('Données projet'!$B$12,Paramètres!$A$1:$I$89,3,0)*0.475*44/12</f>
        <v>0.88206155109668294</v>
      </c>
      <c r="CN60" s="22">
        <f t="shared" si="12"/>
        <v>47.861406964445514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346.58</v>
      </c>
      <c r="L61" s="12">
        <f>VLOOKUP(A61,'Données projet'!$A$35:$I$55,9,0)</f>
        <v>14.073749999999997</v>
      </c>
      <c r="M61" s="12">
        <f t="array" ref="M61">INDEX(L:L,MIN(IF(ISNUMBER(L61:L257),ROW(L61:L257),"")))</f>
        <v>14.073749999999997</v>
      </c>
      <c r="N61" s="13">
        <f>IF('Données projet'!$A$36&gt;35,N60+M61-V60,IF(A61&lt;'Données projet'!$A$36,$K$205^A61,IF(A61='Données projet'!$A$36,'Données projet'!$B$36,N60+M61-V60)))</f>
        <v>346.58000000000015</v>
      </c>
      <c r="O61" s="13">
        <f>N61*VLOOKUP('Données projet'!$B$9,Paramètres!$A$1:$I$89,3,0)*VLOOKUP('Données projet'!$B$9,Paramètres!$A$1:$I$89,5,0)</f>
        <v>313.58558400000015</v>
      </c>
      <c r="P61" s="13">
        <f t="shared" si="33"/>
        <v>74.017140903550782</v>
      </c>
      <c r="Q61" s="20">
        <f t="shared" si="53"/>
        <v>675.07474587368461</v>
      </c>
      <c r="R61" s="59">
        <f t="shared" si="0"/>
        <v>935.18785647237303</v>
      </c>
      <c r="S61" s="59">
        <f ca="1">AVERAGE(OFFSET($R$3,0,0,'Données projet'!$E$9+1,1))-AVERAGE(OFFSET($H$3,0,0,'Données projet'!$E$9+1,1))</f>
        <v>737.40414421611001</v>
      </c>
      <c r="T61" s="59">
        <f t="shared" si="34"/>
        <v>245.32893490531674</v>
      </c>
      <c r="U61" s="15">
        <f>IF(ISNA(VLOOKUP(A61,'Données projet'!$A$35:$I$55,3,0)),0,VLOOKUP(A61,'Données projet'!$A$35:$I$55,3,0))</f>
        <v>4</v>
      </c>
      <c r="V61" s="15">
        <f>IF(ISNA(VLOOKUP(A61,'Données projet'!$A$35:$I$55,4,0)),0,VLOOKUP(A61,'Données projet'!$A$35:$I$55,4,0))</f>
        <v>65.819999999999993</v>
      </c>
      <c r="W61" s="16">
        <f>IF(ISNA(VLOOKUP(A61,'Données projet'!$A$35:$I$55,5,0)),0%,VLOOKUP(A61,'Données projet'!$A$35:$I$55,5,0)*VLOOKUP('Données projet'!$B$9,Paramètres!$A$1:$I$89,7,0))</f>
        <v>0.15049999999999999</v>
      </c>
      <c r="X61" s="16">
        <f>IF(ISNA(VLOOKUP(A61,'Données projet'!$A$35:$I$55,6,0)),0%,VLOOKUP(A61,'Données projet'!$A$35:$I$55,6,0)*VLOOKUP('Données projet'!$B$9,Paramètres!$A$1:$I$89,7,0))</f>
        <v>8.6000000000000007E-2</v>
      </c>
      <c r="Y61" s="16">
        <f>IF(ISNA(VLOOKUP(A61,'Données projet'!$A$35:$I$55,7,0)),0%,VLOOKUP(A61,'Données projet'!$A$35:$I$55,7,0))</f>
        <v>0.1</v>
      </c>
      <c r="Z61" s="21">
        <f>EXP(-LN(2)/35)*Z60+(1-EXP(-LN(2)/35))/(LN(2)/35)*V61*W61*VLOOKUP('Données projet'!$B$9,Paramètres!$A$1:$I$89,3,0)*0.475*44/12</f>
        <v>9.9081843910064524</v>
      </c>
      <c r="AA61" s="21">
        <f>EXP(-LN(2)/25)*AA60+(1-EXP(-LN(2)/25))/(LN(2)/25)*Calculateur!V61*Calculateur!X61*VLOOKUP('Données projet'!$B$9,Paramètres!$A$1:$I$89,3,0)*0.475*44/12</f>
        <v>44.298407575059599</v>
      </c>
      <c r="AB61" s="21">
        <f>EXP(-LN(2)/2)*AB60+(1-EXP(-LN(2)/2))/(LN(2)/2)*V61*Y61*VLOOKUP('Données projet'!$B$9,Paramètres!$A$1:$I$89,3,0)*0.475*44/12</f>
        <v>6.414133563560716</v>
      </c>
      <c r="AC61" s="22">
        <f t="shared" si="3"/>
        <v>60.620725529626768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13.137500000000003</v>
      </c>
      <c r="AI61" s="13">
        <f>IF('Données projet'!$A$62&gt;35,AI60+AH61-AQ60,IF(A61&lt;'Données projet'!$A$62,$AF$205^A61,IF(A61='Données projet'!$A$62,'Données projet'!$B$62,AI60+AH61-AQ60)))</f>
        <v>411.46499999999997</v>
      </c>
      <c r="AJ61" s="13">
        <f>AI61*VLOOKUP('Données projet'!$B$10,Paramètres!$A$1:$I$89,3,0)*VLOOKUP('Données projet'!$B$10,Paramètres!$A$1:$I$89,5,0)</f>
        <v>246.05607000000001</v>
      </c>
      <c r="AK61" s="13">
        <f t="shared" si="35"/>
        <v>59.740627605445603</v>
      </c>
      <c r="AL61" s="20">
        <f t="shared" si="4"/>
        <v>532.59591499615112</v>
      </c>
      <c r="AM61" s="59">
        <f t="shared" si="5"/>
        <v>792.70902559483955</v>
      </c>
      <c r="AN61" s="59">
        <f ca="1">AVERAGE(OFFSET($AM$3,0,0,'Données projet'!$E$10+1,1))-AVERAGE(OFFSET($H$3,0,0,'Données projet'!$E$10+1,1))</f>
        <v>318.6615972007902</v>
      </c>
      <c r="AO61" s="59">
        <f t="shared" si="36"/>
        <v>326.82168950869504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46.686820817896155</v>
      </c>
      <c r="AV61" s="21">
        <f>EXP(-LN(2)/25)*AV60+(1-EXP(-LN(2)/25))/(LN(2)/25)*Calculateur!AQ61*Calculateur!AS61*VLOOKUP('Données projet'!$B$10,Paramètres!$A$1:$I$89,3,0)*0.475*44/12</f>
        <v>18.17908430113232</v>
      </c>
      <c r="AW61" s="21">
        <f>EXP(-LN(2)/2)*AW60+(1-EXP(-LN(2)/2))/(LN(2)/2)*AQ61*AT61*VLOOKUP('Données projet'!$B$10,Paramètres!$A$1:$I$89,3,0)*0.475*44/12</f>
        <v>1.3636402871716899</v>
      </c>
      <c r="AX61" s="21">
        <f t="shared" si="6"/>
        <v>66.22954540620016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4.8</v>
      </c>
      <c r="BD61" s="12">
        <f>IF('Données projet'!$A$88&gt;35,BD60+BC61-BL60,IF(A61&lt;'Données projet'!$A$88,$BA$205^A61,IF(A61='Données projet'!$A$88,'Données projet'!$B$88,BD60+BC61-BL60)))</f>
        <v>161.39999999999998</v>
      </c>
      <c r="BE61" s="13">
        <f>BD61*VLOOKUP('Données projet'!$B$11,Paramètres!$A$1:$I$89,3,0)*VLOOKUP('Données projet'!$B$11,Paramètres!$A$1:$I$89,5,0)</f>
        <v>163.65959999999998</v>
      </c>
      <c r="BF61" s="13">
        <f t="shared" si="37"/>
        <v>41.666858843346738</v>
      </c>
      <c r="BG61" s="20">
        <f t="shared" si="7"/>
        <v>357.61024915216223</v>
      </c>
      <c r="BH61" s="59">
        <f t="shared" si="8"/>
        <v>617.7233597508507</v>
      </c>
      <c r="BI61" s="59">
        <f ca="1">AVERAGE(OFFSET($BH$3,0,0,'Données projet'!$E$11+1,1))-AVERAGE(OFFSET($H$3,0,0,'Données projet'!$E$11+1,1))</f>
        <v>402.96916953216805</v>
      </c>
      <c r="BJ61" s="59">
        <f t="shared" si="38"/>
        <v>164.89273051331318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4.3130667611208988</v>
      </c>
      <c r="BR61" s="21">
        <f>EXP(-LN(2)/2)*BR60+(1-EXP(-LN(2)/2))/(LN(2)/2)*BL61*BO61*VLOOKUP('Données projet'!$B$11,Paramètres!$A$1:$I$89,3,0)*0.475*44/12</f>
        <v>1.1115389462155405</v>
      </c>
      <c r="BS61" s="22">
        <f t="shared" si="9"/>
        <v>5.4246057073364398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14.113999999999999</v>
      </c>
      <c r="BY61" s="12">
        <f>IF('Données projet'!$A$114&gt;35,BY60+BX61-CG60,IF(A61&lt;'Données projet'!$A$114,$BV$205^A61,IF(A61='Données projet'!$A$114,'Données projet'!$B$114,BY60+BX61-CG60)))</f>
        <v>412.71199999999988</v>
      </c>
      <c r="BZ61" s="13">
        <f>BY61*VLOOKUP('Données projet'!$B$12,Paramètres!$A$1:$I$89,3,0)*VLOOKUP('Données projet'!$B$12,Paramètres!$A$1:$I$89,5,0)</f>
        <v>246.80177599999993</v>
      </c>
      <c r="CA61" s="13">
        <f t="shared" si="39"/>
        <v>59.900576970210864</v>
      </c>
      <c r="CB61" s="20">
        <f t="shared" si="10"/>
        <v>534.17326475645041</v>
      </c>
      <c r="CC61" s="59">
        <f t="shared" si="11"/>
        <v>794.28637535513883</v>
      </c>
      <c r="CD61" s="59">
        <f ca="1">AVERAGE(OFFSET($CC$3,0,0,'Données projet'!$E$12+1,1))-AVERAGE(OFFSET($H$3,0,0,'Données projet'!$E$12+1,1))</f>
        <v>373.61861223558259</v>
      </c>
      <c r="CE61" s="59">
        <f t="shared" si="40"/>
        <v>277.62293009761049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30.751125732620523</v>
      </c>
      <c r="CL61" s="21">
        <f>EXP(-LN(2)/25)*CL60+(1-EXP(-LN(2)/25))/(LN(2)/25)*Calculateur!CG61*Calculateur!CI61*VLOOKUP('Données projet'!$B$12,Paramètres!$A$1:$I$89,3,0)*0.475*44/12</f>
        <v>15.186205330341592</v>
      </c>
      <c r="CM61" s="21">
        <f>EXP(-LN(2)/2)*CM60+(1-EXP(-LN(2)/2))/(LN(2)/2)*CG61*CJ61*VLOOKUP('Données projet'!$B$12,Paramètres!$A$1:$I$89,3,0)*0.475*44/12</f>
        <v>0.62371170420438893</v>
      </c>
      <c r="CN61" s="22">
        <f t="shared" si="12"/>
        <v>46.561042767166505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13.520000000000003</v>
      </c>
      <c r="N62" s="13">
        <f>IF('Données projet'!$A$36&gt;35,N61+M62-V61,IF(A62&lt;'Données projet'!$A$36,$K$205^A62,IF(A62='Données projet'!$A$36,'Données projet'!$B$36,N61+M62-V61)))</f>
        <v>294.28000000000014</v>
      </c>
      <c r="O62" s="13">
        <f>N62*VLOOKUP('Données projet'!$B$9,Paramètres!$A$1:$I$89,3,0)*VLOOKUP('Données projet'!$B$9,Paramètres!$A$1:$I$89,5,0)</f>
        <v>266.26454400000011</v>
      </c>
      <c r="P62" s="13">
        <f t="shared" si="33"/>
        <v>64.055869609957142</v>
      </c>
      <c r="Q62" s="20">
        <f t="shared" si="53"/>
        <v>575.30805370400878</v>
      </c>
      <c r="R62" s="59">
        <f t="shared" si="0"/>
        <v>835.99746089785162</v>
      </c>
      <c r="S62" s="59">
        <f ca="1">AVERAGE(OFFSET($R$3,0,0,'Données projet'!$E$9+1,1))-AVERAGE(OFFSET($H$3,0,0,'Données projet'!$E$9+1,1))</f>
        <v>737.40414421611001</v>
      </c>
      <c r="T62" s="59">
        <f t="shared" si="34"/>
        <v>245.32893490531674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9.7138909384945578</v>
      </c>
      <c r="AA62" s="21">
        <f>EXP(-LN(2)/25)*AA61+(1-EXP(-LN(2)/25))/(LN(2)/25)*Calculateur!V62*Calculateur!X62*VLOOKUP('Données projet'!$B$9,Paramètres!$A$1:$I$89,3,0)*0.475*44/12</f>
        <v>43.087065290367583</v>
      </c>
      <c r="AB62" s="21">
        <f>EXP(-LN(2)/2)*AB61+(1-EXP(-LN(2)/2))/(LN(2)/2)*V62*Y62*VLOOKUP('Données projet'!$B$9,Paramètres!$A$1:$I$89,3,0)*0.475*44/12</f>
        <v>4.5354773382300175</v>
      </c>
      <c r="AC62" s="22">
        <f t="shared" si="3"/>
        <v>57.336433567092158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13.137500000000003</v>
      </c>
      <c r="AI62" s="13">
        <f>IF('Données projet'!$A$62&gt;35,AI61+AH62-AQ61,IF(A62&lt;'Données projet'!$A$62,$AF$205^A62,IF(A62='Données projet'!$A$62,'Données projet'!$B$62,AI61+AH62-AQ61)))</f>
        <v>424.60249999999996</v>
      </c>
      <c r="AJ62" s="13">
        <f>AI62*VLOOKUP('Données projet'!$B$10,Paramètres!$A$1:$I$89,3,0)*VLOOKUP('Données projet'!$B$10,Paramètres!$A$1:$I$89,5,0)</f>
        <v>253.912295</v>
      </c>
      <c r="AK62" s="13">
        <f t="shared" si="35"/>
        <v>61.422941334923713</v>
      </c>
      <c r="AL62" s="20">
        <f t="shared" si="4"/>
        <v>549.20886994999205</v>
      </c>
      <c r="AM62" s="59">
        <f t="shared" si="5"/>
        <v>809.89827714383478</v>
      </c>
      <c r="AN62" s="59">
        <f ca="1">AVERAGE(OFFSET($AM$3,0,0,'Données projet'!$E$10+1,1))-AVERAGE(OFFSET($H$3,0,0,'Données projet'!$E$10+1,1))</f>
        <v>318.6615972007902</v>
      </c>
      <c r="AO62" s="59">
        <f t="shared" si="36"/>
        <v>326.82168950869504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45.771320737806121</v>
      </c>
      <c r="AV62" s="21">
        <f>EXP(-LN(2)/25)*AV61+(1-EXP(-LN(2)/25))/(LN(2)/25)*Calculateur!AQ62*Calculateur!AS62*VLOOKUP('Données projet'!$B$10,Paramètres!$A$1:$I$89,3,0)*0.475*44/12</f>
        <v>17.681976284921362</v>
      </c>
      <c r="AW62" s="21">
        <f>EXP(-LN(2)/2)*AW61+(1-EXP(-LN(2)/2))/(LN(2)/2)*AQ62*AT62*VLOOKUP('Données projet'!$B$10,Paramètres!$A$1:$I$89,3,0)*0.475*44/12</f>
        <v>0.96423929415827303</v>
      </c>
      <c r="AX62" s="21">
        <f t="shared" si="6"/>
        <v>64.417536316885759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4.8</v>
      </c>
      <c r="BD62" s="12">
        <f>IF('Données projet'!$A$88&gt;35,BD61+BC62-BL61,IF(A62&lt;'Données projet'!$A$88,$BA$205^A62,IF(A62='Données projet'!$A$88,'Données projet'!$B$88,BD61+BC62-BL61)))</f>
        <v>166.2</v>
      </c>
      <c r="BE62" s="13">
        <f>BD62*VLOOKUP('Données projet'!$B$11,Paramètres!$A$1:$I$89,3,0)*VLOOKUP('Données projet'!$B$11,Paramètres!$A$1:$I$89,5,0)</f>
        <v>168.52680000000001</v>
      </c>
      <c r="BF62" s="13">
        <f t="shared" si="37"/>
        <v>42.759908842532369</v>
      </c>
      <c r="BG62" s="20">
        <f t="shared" si="7"/>
        <v>367.99101790074388</v>
      </c>
      <c r="BH62" s="59">
        <f t="shared" si="8"/>
        <v>628.68042509458667</v>
      </c>
      <c r="BI62" s="59">
        <f ca="1">AVERAGE(OFFSET($BH$3,0,0,'Données projet'!$E$11+1,1))-AVERAGE(OFFSET($H$3,0,0,'Données projet'!$E$11+1,1))</f>
        <v>402.96916953216805</v>
      </c>
      <c r="BJ62" s="59">
        <f t="shared" si="38"/>
        <v>164.89273051331318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4.1951257237237245</v>
      </c>
      <c r="BR62" s="21">
        <f>EXP(-LN(2)/2)*BR61+(1-EXP(-LN(2)/2))/(LN(2)/2)*BL62*BO62*VLOOKUP('Données projet'!$B$11,Paramètres!$A$1:$I$89,3,0)*0.475*44/12</f>
        <v>0.78597672642195782</v>
      </c>
      <c r="BS62" s="22">
        <f t="shared" si="9"/>
        <v>4.9811024501456824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14.113999999999999</v>
      </c>
      <c r="BY62" s="12">
        <f>IF('Données projet'!$A$114&gt;35,BY61+BX62-CG61,IF(A62&lt;'Données projet'!$A$114,$BV$205^A62,IF(A62='Données projet'!$A$114,'Données projet'!$B$114,BY61+BX62-CG61)))</f>
        <v>426.82599999999985</v>
      </c>
      <c r="BZ62" s="13">
        <f>BY62*VLOOKUP('Données projet'!$B$12,Paramètres!$A$1:$I$89,3,0)*VLOOKUP('Données projet'!$B$12,Paramètres!$A$1:$I$89,5,0)</f>
        <v>255.24194799999992</v>
      </c>
      <c r="CA62" s="13">
        <f t="shared" si="39"/>
        <v>61.707065896857912</v>
      </c>
      <c r="CB62" s="20">
        <f t="shared" si="10"/>
        <v>552.01953253702732</v>
      </c>
      <c r="CC62" s="59">
        <f t="shared" si="11"/>
        <v>812.70893973087004</v>
      </c>
      <c r="CD62" s="59">
        <f ca="1">AVERAGE(OFFSET($CC$3,0,0,'Données projet'!$E$12+1,1))-AVERAGE(OFFSET($H$3,0,0,'Données projet'!$E$12+1,1))</f>
        <v>373.61861223558259</v>
      </c>
      <c r="CE62" s="59">
        <f t="shared" si="40"/>
        <v>277.62293009761049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30.148114913338496</v>
      </c>
      <c r="CL62" s="21">
        <f>EXP(-LN(2)/25)*CL61+(1-EXP(-LN(2)/25))/(LN(2)/25)*Calculateur!CG62*Calculateur!CI62*VLOOKUP('Données projet'!$B$12,Paramètres!$A$1:$I$89,3,0)*0.475*44/12</f>
        <v>14.770937746975571</v>
      </c>
      <c r="CM62" s="21">
        <f>EXP(-LN(2)/2)*CM61+(1-EXP(-LN(2)/2))/(LN(2)/2)*CG62*CJ62*VLOOKUP('Données projet'!$B$12,Paramètres!$A$1:$I$89,3,0)*0.475*44/12</f>
        <v>0.44103077554834152</v>
      </c>
      <c r="CN62" s="22">
        <f t="shared" si="12"/>
        <v>45.360083435862407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13.520000000000003</v>
      </c>
      <c r="N63" s="13">
        <f>IF('Données projet'!$A$36&gt;35,N62+M63-V62,IF(A63&lt;'Données projet'!$A$36,$K$205^A63,IF(A63='Données projet'!$A$36,'Données projet'!$B$36,N62+M63-V62)))</f>
        <v>307.80000000000013</v>
      </c>
      <c r="O63" s="13">
        <f>N63*VLOOKUP('Données projet'!$B$9,Paramètres!$A$1:$I$89,3,0)*VLOOKUP('Données projet'!$B$9,Paramètres!$A$1:$I$89,5,0)</f>
        <v>278.4974400000001</v>
      </c>
      <c r="P63" s="13">
        <f t="shared" si="33"/>
        <v>66.649375389445709</v>
      </c>
      <c r="Q63" s="20">
        <f t="shared" si="53"/>
        <v>601.13070346995141</v>
      </c>
      <c r="R63" s="59">
        <f t="shared" si="0"/>
        <v>862.38640980142895</v>
      </c>
      <c r="S63" s="59">
        <f ca="1">AVERAGE(OFFSET($R$3,0,0,'Données projet'!$E$9+1,1))-AVERAGE(OFFSET($H$3,0,0,'Données projet'!$E$9+1,1))</f>
        <v>737.40414421611001</v>
      </c>
      <c r="T63" s="59">
        <f t="shared" si="34"/>
        <v>245.32893490531674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9.5234074620791187</v>
      </c>
      <c r="AA63" s="21">
        <f>EXP(-LN(2)/25)*AA62+(1-EXP(-LN(2)/25))/(LN(2)/25)*Calculateur!V63*Calculateur!X63*VLOOKUP('Données projet'!$B$9,Paramètres!$A$1:$I$89,3,0)*0.475*44/12</f>
        <v>41.908847224152197</v>
      </c>
      <c r="AB63" s="21">
        <f>EXP(-LN(2)/2)*AB62+(1-EXP(-LN(2)/2))/(LN(2)/2)*V63*Y63*VLOOKUP('Données projet'!$B$9,Paramètres!$A$1:$I$89,3,0)*0.475*44/12</f>
        <v>3.2070667817803584</v>
      </c>
      <c r="AC63" s="22">
        <f t="shared" si="3"/>
        <v>54.639321468011673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437.74</v>
      </c>
      <c r="AG63" s="12">
        <f>VLOOKUP(A63,'Données projet'!$A$61:$I$81,9,0)</f>
        <v>13.137500000000003</v>
      </c>
      <c r="AH63" s="12">
        <f t="array" ref="AH63">INDEX(AG:AG,MIN(IF(ISNUMBER(AG63:AG259),ROW(AG63:AG259),"")))</f>
        <v>13.137500000000003</v>
      </c>
      <c r="AI63" s="13">
        <f>IF('Données projet'!$A$62&gt;35,AI62+AH63-AQ62,IF(A63&lt;'Données projet'!$A$62,$AF$205^A63,IF(A63='Données projet'!$A$62,'Données projet'!$B$62,AI62+AH63-AQ62)))</f>
        <v>437.73999999999995</v>
      </c>
      <c r="AJ63" s="13">
        <f>AI63*VLOOKUP('Données projet'!$B$10,Paramètres!$A$1:$I$89,3,0)*VLOOKUP('Données projet'!$B$10,Paramètres!$A$1:$I$89,5,0)</f>
        <v>261.76852000000002</v>
      </c>
      <c r="AK63" s="13">
        <f t="shared" si="35"/>
        <v>63.099206092755509</v>
      </c>
      <c r="AL63" s="20">
        <f t="shared" si="4"/>
        <v>565.81128961154923</v>
      </c>
      <c r="AM63" s="59">
        <f t="shared" si="5"/>
        <v>827.06699594302677</v>
      </c>
      <c r="AN63" s="59">
        <f ca="1">AVERAGE(OFFSET($AM$3,0,0,'Données projet'!$E$10+1,1))-AVERAGE(OFFSET($H$3,0,0,'Données projet'!$E$10+1,1))</f>
        <v>318.6615972007902</v>
      </c>
      <c r="AO63" s="59">
        <f t="shared" si="36"/>
        <v>326.82168950869504</v>
      </c>
      <c r="AP63" s="15" t="str">
        <f>IF(ISNA(VLOOKUP(A63,'Données projet'!$A$61:$I$81,3,0)),0,VLOOKUP(A63,'Données projet'!$A$61:$I$81,3,0))</f>
        <v>CR</v>
      </c>
      <c r="AQ63" s="15">
        <f>IF(ISNA(VLOOKUP(A63,'Données projet'!$A$61:$I$81,4,0)),0,VLOOKUP(A63,'Données projet'!$A$61:$I$81,4,0))</f>
        <v>436.34</v>
      </c>
      <c r="AR63" s="16">
        <f>IF(ISNA(VLOOKUP(A63,'Données projet'!$A$61:$I$81,5,0)),0%,VLOOKUP(A63,'Données projet'!$A$61:$I$81,5,0)*VLOOKUP('Données projet'!$B$10,Paramètres!$A$1:$I$89,7,0))</f>
        <v>0.27</v>
      </c>
      <c r="AS63" s="16">
        <f>IF(ISNA(VLOOKUP(A63,'Données projet'!$A$61:$I$81,6,0)),0%,VLOOKUP(A63,'Données projet'!$A$61:$I$81,6,0)*VLOOKUP('Données projet'!$B$10,Paramètres!$A$1:$I$89,7,0))</f>
        <v>9.0000000000000011E-2</v>
      </c>
      <c r="AT63" s="16">
        <f>IF(ISNA(VLOOKUP(A63,'Données projet'!$A$61:$I$81,7,0)),0%,VLOOKUP(A63,'Données projet'!$A$61:$I$81,7,0))</f>
        <v>0.2</v>
      </c>
      <c r="AU63" s="21">
        <f>EXP(-LN(2)/35)*AU62+(1-EXP(-LN(2)/35))/(LN(2)/35)*AQ63*AR63*VLOOKUP('Données projet'!$B$10,Paramètres!$A$1:$I$89,3,0)*0.475*44/12</f>
        <v>138.33217095007524</v>
      </c>
      <c r="AV63" s="21">
        <f>EXP(-LN(2)/25)*AV62+(1-EXP(-LN(2)/25))/(LN(2)/25)*Calculateur!AQ63*Calculateur!AS63*VLOOKUP('Données projet'!$B$10,Paramètres!$A$1:$I$89,3,0)*0.475*44/12</f>
        <v>48.228600570634697</v>
      </c>
      <c r="AW63" s="21">
        <f>EXP(-LN(2)/2)*AW62+(1-EXP(-LN(2)/2))/(LN(2)/2)*AQ63*AT63*VLOOKUP('Données projet'!$B$10,Paramètres!$A$1:$I$89,3,0)*0.475*44/12</f>
        <v>59.768793731628541</v>
      </c>
      <c r="AX63" s="21">
        <f t="shared" si="6"/>
        <v>246.32956525233845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171</v>
      </c>
      <c r="BB63" s="12">
        <f>VLOOKUP(A63,'Données projet'!$A$87:$I$107,9,0)</f>
        <v>4.8</v>
      </c>
      <c r="BC63" s="12">
        <f t="array" ref="BC63">INDEX(BB:BB,MIN(IF(ISNUMBER(BB63:BB259),ROW(BB63:BB259),"")))</f>
        <v>4.8</v>
      </c>
      <c r="BD63" s="12">
        <f>IF('Données projet'!$A$88&gt;35,BD62+BC63-BL62,IF(A63&lt;'Données projet'!$A$88,$BA$205^A63,IF(A63='Données projet'!$A$88,'Données projet'!$B$88,BD62+BC63-BL62)))</f>
        <v>171</v>
      </c>
      <c r="BE63" s="13">
        <f>BD63*VLOOKUP('Données projet'!$B$11,Paramètres!$A$1:$I$89,3,0)*VLOOKUP('Données projet'!$B$11,Paramètres!$A$1:$I$89,5,0)</f>
        <v>173.39400000000001</v>
      </c>
      <c r="BF63" s="13">
        <f t="shared" si="37"/>
        <v>43.849289930196633</v>
      </c>
      <c r="BG63" s="20">
        <f t="shared" si="7"/>
        <v>378.36539662842574</v>
      </c>
      <c r="BH63" s="59">
        <f t="shared" si="8"/>
        <v>639.62110295990328</v>
      </c>
      <c r="BI63" s="59">
        <f ca="1">AVERAGE(OFFSET($BH$3,0,0,'Données projet'!$E$11+1,1))-AVERAGE(OFFSET($H$3,0,0,'Données projet'!$E$11+1,1))</f>
        <v>402.96916953216805</v>
      </c>
      <c r="BJ63" s="59">
        <f t="shared" si="38"/>
        <v>164.89273051331318</v>
      </c>
      <c r="BK63" s="15">
        <f>IF(ISNA(VLOOKUP(A63,'Données projet'!$A$87:$I$107,3,0)),0,VLOOKUP(A63,'Données projet'!$A$87:$I$107,3,0))</f>
        <v>6</v>
      </c>
      <c r="BL63" s="15">
        <f>IF(ISNA(VLOOKUP(A63,'Données projet'!$A$87:$I$107,4,0)),0,VLOOKUP(A63,'Données projet'!$A$87:$I$107,4,0))</f>
        <v>11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0.1075</v>
      </c>
      <c r="BO63" s="16">
        <f>IF(ISNA(VLOOKUP(A63,'Données projet'!$A$87:$I$107,7,0)),0%,VLOOKUP(A63,'Données projet'!$A$87:$I$107,7,0))</f>
        <v>0.25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5.4007104996674622</v>
      </c>
      <c r="BR63" s="21">
        <f>EXP(-LN(2)/2)*BR62+(1-EXP(-LN(2)/2))/(LN(2)/2)*BL63*BO63*VLOOKUP('Données projet'!$B$11,Paramètres!$A$1:$I$89,3,0)*0.475*44/12</f>
        <v>3.1867942744848952</v>
      </c>
      <c r="BS63" s="22">
        <f t="shared" si="9"/>
        <v>8.5875047741523574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440.94</v>
      </c>
      <c r="BW63" s="12">
        <f>VLOOKUP(A63,'Données projet'!$A$113:$I$133,9,0)</f>
        <v>14.113999999999999</v>
      </c>
      <c r="BX63" s="12">
        <f t="array" ref="BX63">INDEX(BW:BW,MIN(IF(ISNUMBER(BW63:BW259),ROW(BW63:BW259),"")))</f>
        <v>14.113999999999999</v>
      </c>
      <c r="BY63" s="12">
        <f>IF('Données projet'!$A$114&gt;35,BY62+BX63-CG62,IF(A63&lt;'Données projet'!$A$114,$BV$205^A63,IF(A63='Données projet'!$A$114,'Données projet'!$B$114,BY62+BX63-CG62)))</f>
        <v>440.93999999999983</v>
      </c>
      <c r="BZ63" s="13">
        <f>BY63*VLOOKUP('Données projet'!$B$12,Paramètres!$A$1:$I$89,3,0)*VLOOKUP('Données projet'!$B$12,Paramètres!$A$1:$I$89,5,0)</f>
        <v>263.68211999999988</v>
      </c>
      <c r="CA63" s="13">
        <f t="shared" si="39"/>
        <v>63.506613606650006</v>
      </c>
      <c r="CB63" s="20">
        <f t="shared" si="10"/>
        <v>569.85371103158184</v>
      </c>
      <c r="CC63" s="59">
        <f t="shared" si="11"/>
        <v>831.10941736305926</v>
      </c>
      <c r="CD63" s="59">
        <f ca="1">AVERAGE(OFFSET($CC$3,0,0,'Données projet'!$E$12+1,1))-AVERAGE(OFFSET($H$3,0,0,'Données projet'!$E$12+1,1))</f>
        <v>373.61861223558259</v>
      </c>
      <c r="CE63" s="59">
        <f t="shared" si="40"/>
        <v>277.62293009761049</v>
      </c>
      <c r="CF63" s="15">
        <f>IF(ISNA(VLOOKUP(A63,'Données projet'!$A$113:$I$133,3,0)),0,VLOOKUP(A63,'Données projet'!$A$113:$I$133,3,0))</f>
        <v>6</v>
      </c>
      <c r="CG63" s="15">
        <f>IF(ISNA(VLOOKUP(A63,'Données projet'!$A$113:$I$133,4,0)),0,VLOOKUP(A63,'Données projet'!$A$113:$I$133,4,0))</f>
        <v>69.839999999999975</v>
      </c>
      <c r="CH63" s="16">
        <f>IF(ISNA(VLOOKUP(A63,'Données projet'!$A$113:$I$133,5,0)),0%,VLOOKUP(A63,'Données projet'!$A$113:$I$133,5,0)*VLOOKUP('Données projet'!$B$12,Paramètres!$A$1:$I$89,7,0))</f>
        <v>0.27</v>
      </c>
      <c r="CI63" s="16">
        <f>IF(ISNA(VLOOKUP(A63,'Données projet'!$A$113:$I$133,6,0)),0%,VLOOKUP(A63,'Données projet'!$A$113:$I$133,6,0)*VLOOKUP('Données projet'!$B$12,Paramètres!$A$1:$I$89,7,0))</f>
        <v>9.0000000000000011E-2</v>
      </c>
      <c r="CJ63" s="16">
        <f>IF(ISNA(VLOOKUP(A63,'Données projet'!$A$113:$I$133,7,0)),0%,VLOOKUP(A63,'Données projet'!$A$113:$I$133,7,0))</f>
        <v>0.2</v>
      </c>
      <c r="CK63" s="21">
        <f>EXP(-LN(2)/35)*CK62+(1-EXP(-LN(2)/35))/(LN(2)/35)*CG63*CH63*VLOOKUP('Données projet'!$B$12,Paramètres!$A$1:$I$89,3,0)*0.475*44/12</f>
        <v>44.515755621175032</v>
      </c>
      <c r="CL63" s="21">
        <f>EXP(-LN(2)/25)*CL62+(1-EXP(-LN(2)/25))/(LN(2)/25)*Calculateur!CG63*Calculateur!CI63*VLOOKUP('Données projet'!$B$12,Paramètres!$A$1:$I$89,3,0)*0.475*44/12</f>
        <v>19.333668428072521</v>
      </c>
      <c r="CM63" s="21">
        <f>EXP(-LN(2)/2)*CM62+(1-EXP(-LN(2)/2))/(LN(2)/2)*CG63*CJ63*VLOOKUP('Données projet'!$B$12,Paramètres!$A$1:$I$89,3,0)*0.475*44/12</f>
        <v>9.7692382497482964</v>
      </c>
      <c r="CN63" s="22">
        <f t="shared" si="12"/>
        <v>73.618662298995844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13.520000000000003</v>
      </c>
      <c r="N64" s="13">
        <f>IF('Données projet'!$A$36&gt;35,N63+M64-V63,IF(A64&lt;'Données projet'!$A$36,$K$205^A64,IF(A64='Données projet'!$A$36,'Données projet'!$B$36,N63+M64-V63)))</f>
        <v>321.32000000000011</v>
      </c>
      <c r="O64" s="13">
        <f>N64*VLOOKUP('Données projet'!$B$9,Paramètres!$A$1:$I$89,3,0)*VLOOKUP('Données projet'!$B$9,Paramètres!$A$1:$I$89,5,0)</f>
        <v>290.73033600000008</v>
      </c>
      <c r="P64" s="13">
        <f t="shared" si="33"/>
        <v>69.229650371802393</v>
      </c>
      <c r="Q64" s="20">
        <f t="shared" si="53"/>
        <v>626.93030959755595</v>
      </c>
      <c r="R64" s="59">
        <f t="shared" si="0"/>
        <v>888.74249104268529</v>
      </c>
      <c r="S64" s="59">
        <f ca="1">AVERAGE(OFFSET($R$3,0,0,'Données projet'!$E$9+1,1))-AVERAGE(OFFSET($H$3,0,0,'Données projet'!$E$9+1,1))</f>
        <v>737.40414421611001</v>
      </c>
      <c r="T64" s="59">
        <f t="shared" si="34"/>
        <v>245.32893490531674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9.3366592504527368</v>
      </c>
      <c r="AA64" s="21">
        <f>EXP(-LN(2)/25)*AA63+(1-EXP(-LN(2)/25))/(LN(2)/25)*Calculateur!V64*Calculateur!X64*VLOOKUP('Données projet'!$B$9,Paramètres!$A$1:$I$89,3,0)*0.475*44/12</f>
        <v>40.762847592917261</v>
      </c>
      <c r="AB64" s="21">
        <f>EXP(-LN(2)/2)*AB63+(1-EXP(-LN(2)/2))/(LN(2)/2)*V64*Y64*VLOOKUP('Données projet'!$B$9,Paramètres!$A$1:$I$89,3,0)*0.475*44/12</f>
        <v>2.2677386691150092</v>
      </c>
      <c r="AC64" s="22">
        <f t="shared" si="3"/>
        <v>52.367245512485006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1.3999999999999773</v>
      </c>
      <c r="AJ64" s="13">
        <f>AI64*VLOOKUP('Données projet'!$B$10,Paramètres!$A$1:$I$89,3,0)*VLOOKUP('Données projet'!$B$10,Paramètres!$A$1:$I$89,5,0)</f>
        <v>0.83719999999998651</v>
      </c>
      <c r="AK64" s="13">
        <f t="shared" si="35"/>
        <v>0.39388003094446933</v>
      </c>
      <c r="AL64" s="20">
        <f t="shared" si="4"/>
        <v>2.144131053894927</v>
      </c>
      <c r="AM64" s="59">
        <f t="shared" si="5"/>
        <v>263.95631249902425</v>
      </c>
      <c r="AN64" s="59">
        <f ca="1">AVERAGE(OFFSET($AM$3,0,0,'Données projet'!$E$10+1,1))-AVERAGE(OFFSET($H$3,0,0,'Données projet'!$E$10+1,1))</f>
        <v>318.6615972007902</v>
      </c>
      <c r="AO64" s="59">
        <f t="shared" si="36"/>
        <v>326.82168950869504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135.61956145203726</v>
      </c>
      <c r="AV64" s="21">
        <f>EXP(-LN(2)/25)*AV63+(1-EXP(-LN(2)/25))/(LN(2)/25)*Calculateur!AQ64*Calculateur!AS64*VLOOKUP('Données projet'!$B$10,Paramètres!$A$1:$I$89,3,0)*0.475*44/12</f>
        <v>46.909786951798814</v>
      </c>
      <c r="AW64" s="21">
        <f>EXP(-LN(2)/2)*AW63+(1-EXP(-LN(2)/2))/(LN(2)/2)*AQ64*AT64*VLOOKUP('Données projet'!$B$10,Paramètres!$A$1:$I$89,3,0)*0.475*44/12</f>
        <v>42.262919350974556</v>
      </c>
      <c r="AX64" s="21">
        <f t="shared" si="6"/>
        <v>224.79226775481064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4.5999999999999996</v>
      </c>
      <c r="BD64" s="12">
        <f>IF('Données projet'!$A$88&gt;35,BD63+BC64-BL63,IF(A64&lt;'Données projet'!$A$88,$BA$205^A64,IF(A64='Données projet'!$A$88,'Données projet'!$B$88,BD63+BC64-BL63)))</f>
        <v>164.6</v>
      </c>
      <c r="BE64" s="13">
        <f>BD64*VLOOKUP('Données projet'!$B$11,Paramètres!$A$1:$I$89,3,0)*VLOOKUP('Données projet'!$B$11,Paramètres!$A$1:$I$89,5,0)</f>
        <v>166.90440000000001</v>
      </c>
      <c r="BF64" s="13">
        <f t="shared" si="37"/>
        <v>42.395972371968817</v>
      </c>
      <c r="BG64" s="20">
        <f t="shared" si="7"/>
        <v>364.53148188117899</v>
      </c>
      <c r="BH64" s="59">
        <f t="shared" si="8"/>
        <v>626.34366332630839</v>
      </c>
      <c r="BI64" s="59">
        <f ca="1">AVERAGE(OFFSET($BH$3,0,0,'Données projet'!$E$11+1,1))-AVERAGE(OFFSET($H$3,0,0,'Données projet'!$E$11+1,1))</f>
        <v>402.96916953216805</v>
      </c>
      <c r="BJ64" s="59">
        <f t="shared" si="38"/>
        <v>164.89273051331318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5.2530277870430337</v>
      </c>
      <c r="BR64" s="21">
        <f>EXP(-LN(2)/2)*BR63+(1-EXP(-LN(2)/2))/(LN(2)/2)*BL64*BO64*VLOOKUP('Données projet'!$B$11,Paramètres!$A$1:$I$89,3,0)*0.475*44/12</f>
        <v>2.2534038417347335</v>
      </c>
      <c r="BS64" s="22">
        <f t="shared" si="9"/>
        <v>7.5064316287777668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11.896999999999997</v>
      </c>
      <c r="BY64" s="12">
        <f>IF('Données projet'!$A$114&gt;35,BY63+BX64-CG63,IF(A64&lt;'Données projet'!$A$114,$BV$205^A64,IF(A64='Données projet'!$A$114,'Données projet'!$B$114,BY63+BX64-CG63)))</f>
        <v>382.99699999999984</v>
      </c>
      <c r="BZ64" s="13">
        <f>BY64*VLOOKUP('Données projet'!$B$12,Paramètres!$A$1:$I$89,3,0)*VLOOKUP('Données projet'!$B$12,Paramètres!$A$1:$I$89,5,0)</f>
        <v>229.03220599999992</v>
      </c>
      <c r="CA64" s="13">
        <f t="shared" si="39"/>
        <v>56.073370514455313</v>
      </c>
      <c r="CB64" s="20">
        <f t="shared" si="10"/>
        <v>496.55887909600943</v>
      </c>
      <c r="CC64" s="59">
        <f t="shared" si="11"/>
        <v>758.37106054113883</v>
      </c>
      <c r="CD64" s="59">
        <f ca="1">AVERAGE(OFFSET($CC$3,0,0,'Données projet'!$E$12+1,1))-AVERAGE(OFFSET($H$3,0,0,'Données projet'!$E$12+1,1))</f>
        <v>373.61861223558259</v>
      </c>
      <c r="CE64" s="59">
        <f t="shared" si="40"/>
        <v>277.62293009761049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43.642828805373689</v>
      </c>
      <c r="CL64" s="21">
        <f>EXP(-LN(2)/25)*CL63+(1-EXP(-LN(2)/25))/(LN(2)/25)*Calculateur!CG64*Calculateur!CI64*VLOOKUP('Données projet'!$B$12,Paramètres!$A$1:$I$89,3,0)*0.475*44/12</f>
        <v>18.804988248193443</v>
      </c>
      <c r="CM64" s="21">
        <f>EXP(-LN(2)/2)*CM63+(1-EXP(-LN(2)/2))/(LN(2)/2)*CG64*CJ64*VLOOKUP('Données projet'!$B$12,Paramètres!$A$1:$I$89,3,0)*0.475*44/12</f>
        <v>6.9078946134240198</v>
      </c>
      <c r="CN64" s="22">
        <f t="shared" si="12"/>
        <v>69.355711666991155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13.520000000000003</v>
      </c>
      <c r="N65" s="13">
        <f>IF('Données projet'!$A$36&gt;35,N64+M65-V64,IF(A65&lt;'Données projet'!$A$36,$K$205^A65,IF(A65='Données projet'!$A$36,'Données projet'!$B$36,N64+M65-V64)))</f>
        <v>334.84000000000009</v>
      </c>
      <c r="O65" s="13">
        <f>N65*VLOOKUP('Données projet'!$B$9,Paramètres!$A$1:$I$89,3,0)*VLOOKUP('Données projet'!$B$9,Paramètres!$A$1:$I$89,5,0)</f>
        <v>302.96323200000006</v>
      </c>
      <c r="P65" s="13">
        <f t="shared" si="33"/>
        <v>71.797314916159678</v>
      </c>
      <c r="Q65" s="20">
        <f t="shared" si="53"/>
        <v>652.70795254564484</v>
      </c>
      <c r="R65" s="59">
        <f t="shared" si="0"/>
        <v>915.06695550529616</v>
      </c>
      <c r="S65" s="59">
        <f ca="1">AVERAGE(OFFSET($R$3,0,0,'Données projet'!$E$9+1,1))-AVERAGE(OFFSET($H$3,0,0,'Données projet'!$E$9+1,1))</f>
        <v>737.40414421611001</v>
      </c>
      <c r="T65" s="59">
        <f t="shared" si="34"/>
        <v>245.32893490531674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9.1535730573511866</v>
      </c>
      <c r="AA65" s="21">
        <f>EXP(-LN(2)/25)*AA64+(1-EXP(-LN(2)/25))/(LN(2)/25)*Calculateur!V65*Calculateur!X65*VLOOKUP('Données projet'!$B$9,Paramètres!$A$1:$I$89,3,0)*0.475*44/12</f>
        <v>39.648185381863946</v>
      </c>
      <c r="AB65" s="21">
        <f>EXP(-LN(2)/2)*AB64+(1-EXP(-LN(2)/2))/(LN(2)/2)*V65*Y65*VLOOKUP('Données projet'!$B$9,Paramètres!$A$1:$I$89,3,0)*0.475*44/12</f>
        <v>1.6035333908901794</v>
      </c>
      <c r="AC65" s="22">
        <f t="shared" si="3"/>
        <v>50.405291830105313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1.3999999999999773</v>
      </c>
      <c r="AJ65" s="13">
        <f>AI65*VLOOKUP('Données projet'!$B$10,Paramètres!$A$1:$I$89,3,0)*VLOOKUP('Données projet'!$B$10,Paramètres!$A$1:$I$89,5,0)</f>
        <v>0.83719999999998651</v>
      </c>
      <c r="AK65" s="13">
        <f t="shared" si="35"/>
        <v>0.39388003094446933</v>
      </c>
      <c r="AL65" s="20">
        <f t="shared" si="4"/>
        <v>2.144131053894927</v>
      </c>
      <c r="AM65" s="59">
        <f t="shared" si="5"/>
        <v>264.50313401354623</v>
      </c>
      <c r="AN65" s="59">
        <f ca="1">AVERAGE(OFFSET($AM$3,0,0,'Données projet'!$E$10+1,1))-AVERAGE(OFFSET($H$3,0,0,'Données projet'!$E$10+1,1))</f>
        <v>318.6615972007902</v>
      </c>
      <c r="AO65" s="59">
        <f t="shared" si="36"/>
        <v>326.82168950869504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132.9601445717274</v>
      </c>
      <c r="AV65" s="21">
        <f>EXP(-LN(2)/25)*AV64+(1-EXP(-LN(2)/25))/(LN(2)/25)*Calculateur!AQ65*Calculateur!AS65*VLOOKUP('Données projet'!$B$10,Paramètres!$A$1:$I$89,3,0)*0.475*44/12</f>
        <v>45.627036360723395</v>
      </c>
      <c r="AW65" s="21">
        <f>EXP(-LN(2)/2)*AW64+(1-EXP(-LN(2)/2))/(LN(2)/2)*AQ65*AT65*VLOOKUP('Données projet'!$B$10,Paramètres!$A$1:$I$89,3,0)*0.475*44/12</f>
        <v>29.884396865814274</v>
      </c>
      <c r="AX65" s="21">
        <f t="shared" si="6"/>
        <v>208.47157779826506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4.5999999999999996</v>
      </c>
      <c r="BD65" s="12">
        <f>IF('Données projet'!$A$88&gt;35,BD64+BC65-BL64,IF(A65&lt;'Données projet'!$A$88,$BA$205^A65,IF(A65='Données projet'!$A$88,'Données projet'!$B$88,BD64+BC65-BL64)))</f>
        <v>169.2</v>
      </c>
      <c r="BE65" s="13">
        <f>BD65*VLOOKUP('Données projet'!$B$11,Paramètres!$A$1:$I$89,3,0)*VLOOKUP('Données projet'!$B$11,Paramètres!$A$1:$I$89,5,0)</f>
        <v>171.56879999999998</v>
      </c>
      <c r="BF65" s="13">
        <f t="shared" si="37"/>
        <v>43.441194534014848</v>
      </c>
      <c r="BG65" s="20">
        <f t="shared" si="7"/>
        <v>374.47574048007579</v>
      </c>
      <c r="BH65" s="59">
        <f t="shared" si="8"/>
        <v>636.83474343972716</v>
      </c>
      <c r="BI65" s="59">
        <f ca="1">AVERAGE(OFFSET($BH$3,0,0,'Données projet'!$E$11+1,1))-AVERAGE(OFFSET($H$3,0,0,'Données projet'!$E$11+1,1))</f>
        <v>402.96916953216805</v>
      </c>
      <c r="BJ65" s="59">
        <f t="shared" si="38"/>
        <v>164.89273051331318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5.1093834659616162</v>
      </c>
      <c r="BR65" s="21">
        <f>EXP(-LN(2)/2)*BR64+(1-EXP(-LN(2)/2))/(LN(2)/2)*BL65*BO65*VLOOKUP('Données projet'!$B$11,Paramètres!$A$1:$I$89,3,0)*0.475*44/12</f>
        <v>1.5933971372424478</v>
      </c>
      <c r="BS65" s="22">
        <f t="shared" si="9"/>
        <v>6.7027806032040642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11.896999999999997</v>
      </c>
      <c r="BY65" s="12">
        <f>IF('Données projet'!$A$114&gt;35,BY64+BX65-CG64,IF(A65&lt;'Données projet'!$A$114,$BV$205^A65,IF(A65='Données projet'!$A$114,'Données projet'!$B$114,BY64+BX65-CG64)))</f>
        <v>394.89399999999983</v>
      </c>
      <c r="BZ65" s="13">
        <f>BY65*VLOOKUP('Données projet'!$B$12,Paramètres!$A$1:$I$89,3,0)*VLOOKUP('Données projet'!$B$12,Paramètres!$A$1:$I$89,5,0)</f>
        <v>236.14661199999995</v>
      </c>
      <c r="CA65" s="13">
        <f t="shared" si="39"/>
        <v>57.609675887529612</v>
      </c>
      <c r="CB65" s="20">
        <f t="shared" si="10"/>
        <v>511.6255347374472</v>
      </c>
      <c r="CC65" s="59">
        <f t="shared" si="11"/>
        <v>773.98453769709852</v>
      </c>
      <c r="CD65" s="59">
        <f ca="1">AVERAGE(OFFSET($CC$3,0,0,'Données projet'!$E$12+1,1))-AVERAGE(OFFSET($H$3,0,0,'Données projet'!$E$12+1,1))</f>
        <v>373.61861223558259</v>
      </c>
      <c r="CE65" s="59">
        <f t="shared" si="40"/>
        <v>277.62293009761049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42.787019551997425</v>
      </c>
      <c r="CL65" s="21">
        <f>EXP(-LN(2)/25)*CL64+(1-EXP(-LN(2)/25))/(LN(2)/25)*Calculateur!CG65*Calculateur!CI65*VLOOKUP('Données projet'!$B$12,Paramètres!$A$1:$I$89,3,0)*0.475*44/12</f>
        <v>18.290764855635238</v>
      </c>
      <c r="CM65" s="21">
        <f>EXP(-LN(2)/2)*CM64+(1-EXP(-LN(2)/2))/(LN(2)/2)*CG65*CJ65*VLOOKUP('Données projet'!$B$12,Paramètres!$A$1:$I$89,3,0)*0.475*44/12</f>
        <v>4.8846191248741491</v>
      </c>
      <c r="CN65" s="22">
        <f t="shared" si="12"/>
        <v>65.962403532506812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13.520000000000003</v>
      </c>
      <c r="N66" s="13">
        <f>IF('Données projet'!$A$36&gt;35,N65+M66-V65,IF(A66&lt;'Données projet'!$A$36,$K$205^A66,IF(A66='Données projet'!$A$36,'Données projet'!$B$36,N65+M66-V65)))</f>
        <v>348.36000000000007</v>
      </c>
      <c r="O66" s="13">
        <f>N66*VLOOKUP('Données projet'!$B$9,Paramètres!$A$1:$I$89,3,0)*VLOOKUP('Données projet'!$B$9,Paramètres!$A$1:$I$89,5,0)</f>
        <v>315.19612800000004</v>
      </c>
      <c r="P66" s="13">
        <f t="shared" si="33"/>
        <v>74.352936449224345</v>
      </c>
      <c r="Q66" s="20">
        <f t="shared" si="53"/>
        <v>678.46462058239911</v>
      </c>
      <c r="R66" s="59">
        <f t="shared" si="0"/>
        <v>941.36095892580522</v>
      </c>
      <c r="S66" s="59">
        <f ca="1">AVERAGE(OFFSET($R$3,0,0,'Données projet'!$E$9+1,1))-AVERAGE(OFFSET($H$3,0,0,'Données projet'!$E$9+1,1))</f>
        <v>737.40414421611001</v>
      </c>
      <c r="T66" s="59">
        <f t="shared" si="34"/>
        <v>245.32893490531674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8.9740770728248069</v>
      </c>
      <c r="AA66" s="21">
        <f>EXP(-LN(2)/25)*AA65+(1-EXP(-LN(2)/25))/(LN(2)/25)*Calculateur!V66*Calculateur!X66*VLOOKUP('Données projet'!$B$9,Paramètres!$A$1:$I$89,3,0)*0.475*44/12</f>
        <v>38.564003667589425</v>
      </c>
      <c r="AB66" s="21">
        <f>EXP(-LN(2)/2)*AB65+(1-EXP(-LN(2)/2))/(LN(2)/2)*V66*Y66*VLOOKUP('Données projet'!$B$9,Paramètres!$A$1:$I$89,3,0)*0.475*44/12</f>
        <v>1.1338693345575048</v>
      </c>
      <c r="AC66" s="22">
        <f t="shared" si="3"/>
        <v>48.671950074971733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1.3999999999999773</v>
      </c>
      <c r="AJ66" s="13">
        <f>AI66*VLOOKUP('Données projet'!$B$10,Paramètres!$A$1:$I$89,3,0)*VLOOKUP('Données projet'!$B$10,Paramètres!$A$1:$I$89,5,0)</f>
        <v>0.83719999999998651</v>
      </c>
      <c r="AK66" s="13">
        <f t="shared" si="35"/>
        <v>0.39388003094446933</v>
      </c>
      <c r="AL66" s="20">
        <f t="shared" si="4"/>
        <v>2.144131053894927</v>
      </c>
      <c r="AM66" s="59">
        <f t="shared" si="5"/>
        <v>265.04046939730102</v>
      </c>
      <c r="AN66" s="59">
        <f ca="1">AVERAGE(OFFSET($AM$3,0,0,'Données projet'!$E$10+1,1))-AVERAGE(OFFSET($H$3,0,0,'Données projet'!$E$10+1,1))</f>
        <v>318.6615972007902</v>
      </c>
      <c r="AO66" s="59">
        <f t="shared" si="36"/>
        <v>326.82168950869504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130.35287723435627</v>
      </c>
      <c r="AV66" s="21">
        <f>EXP(-LN(2)/25)*AV65+(1-EXP(-LN(2)/25))/(LN(2)/25)*Calculateur!AQ66*Calculateur!AS66*VLOOKUP('Données projet'!$B$10,Paramètres!$A$1:$I$89,3,0)*0.475*44/12</f>
        <v>44.379362652017853</v>
      </c>
      <c r="AW66" s="21">
        <f>EXP(-LN(2)/2)*AW65+(1-EXP(-LN(2)/2))/(LN(2)/2)*AQ66*AT66*VLOOKUP('Données projet'!$B$10,Paramètres!$A$1:$I$89,3,0)*0.475*44/12</f>
        <v>21.131459675487282</v>
      </c>
      <c r="AX66" s="21">
        <f t="shared" si="6"/>
        <v>195.86369956186141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4.5999999999999996</v>
      </c>
      <c r="BD66" s="12">
        <f>IF('Données projet'!$A$88&gt;35,BD65+BC66-BL65,IF(A66&lt;'Données projet'!$A$88,$BA$205^A66,IF(A66='Données projet'!$A$88,'Données projet'!$B$88,BD65+BC66-BL65)))</f>
        <v>173.79999999999998</v>
      </c>
      <c r="BE66" s="13">
        <f>BD66*VLOOKUP('Données projet'!$B$11,Paramètres!$A$1:$I$89,3,0)*VLOOKUP('Données projet'!$B$11,Paramètres!$A$1:$I$89,5,0)</f>
        <v>176.23320000000001</v>
      </c>
      <c r="BF66" s="13">
        <f t="shared" si="37"/>
        <v>44.48311384788699</v>
      </c>
      <c r="BG66" s="20">
        <f t="shared" si="7"/>
        <v>384.41424661840318</v>
      </c>
      <c r="BH66" s="59">
        <f t="shared" si="8"/>
        <v>647.31058496180935</v>
      </c>
      <c r="BI66" s="59">
        <f ca="1">AVERAGE(OFFSET($BH$3,0,0,'Données projet'!$E$11+1,1))-AVERAGE(OFFSET($H$3,0,0,'Données projet'!$E$11+1,1))</f>
        <v>402.96916953216805</v>
      </c>
      <c r="BJ66" s="59">
        <f t="shared" si="38"/>
        <v>164.89273051331318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4.9696671063940974</v>
      </c>
      <c r="BR66" s="21">
        <f>EXP(-LN(2)/2)*BR65+(1-EXP(-LN(2)/2))/(LN(2)/2)*BL66*BO66*VLOOKUP('Données projet'!$B$11,Paramètres!$A$1:$I$89,3,0)*0.475*44/12</f>
        <v>1.1267019208673668</v>
      </c>
      <c r="BS66" s="22">
        <f t="shared" si="9"/>
        <v>6.0963690272614643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11.896999999999997</v>
      </c>
      <c r="BY66" s="12">
        <f>IF('Données projet'!$A$114&gt;35,BY65+BX66-CG65,IF(A66&lt;'Données projet'!$A$114,$BV$205^A66,IF(A66='Données projet'!$A$114,'Données projet'!$B$114,BY65+BX66-CG65)))</f>
        <v>406.79099999999983</v>
      </c>
      <c r="BZ66" s="13">
        <f>BY66*VLOOKUP('Données projet'!$B$12,Paramètres!$A$1:$I$89,3,0)*VLOOKUP('Données projet'!$B$12,Paramètres!$A$1:$I$89,5,0)</f>
        <v>243.26101799999989</v>
      </c>
      <c r="CA66" s="13">
        <f t="shared" si="39"/>
        <v>59.140602334121624</v>
      </c>
      <c r="CB66" s="20">
        <f t="shared" si="10"/>
        <v>526.68282208192829</v>
      </c>
      <c r="CC66" s="59">
        <f t="shared" si="11"/>
        <v>789.57916042533441</v>
      </c>
      <c r="CD66" s="59">
        <f ca="1">AVERAGE(OFFSET($CC$3,0,0,'Données projet'!$E$12+1,1))-AVERAGE(OFFSET($H$3,0,0,'Données projet'!$E$12+1,1))</f>
        <v>373.61861223558259</v>
      </c>
      <c r="CE66" s="59">
        <f t="shared" si="40"/>
        <v>277.62293009761049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41.947992196087768</v>
      </c>
      <c r="CL66" s="21">
        <f>EXP(-LN(2)/25)*CL65+(1-EXP(-LN(2)/25))/(LN(2)/25)*Calculateur!CG66*Calculateur!CI66*VLOOKUP('Données projet'!$B$12,Paramètres!$A$1:$I$89,3,0)*0.475*44/12</f>
        <v>17.790602928788374</v>
      </c>
      <c r="CM66" s="21">
        <f>EXP(-LN(2)/2)*CM65+(1-EXP(-LN(2)/2))/(LN(2)/2)*CG66*CJ66*VLOOKUP('Données projet'!$B$12,Paramètres!$A$1:$I$89,3,0)*0.475*44/12</f>
        <v>3.4539473067120103</v>
      </c>
      <c r="CN66" s="22">
        <f t="shared" si="12"/>
        <v>63.192542431588151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13.520000000000003</v>
      </c>
      <c r="N67" s="13">
        <f>IF('Données projet'!$A$36&gt;35,N66+M67-V66,IF(A67&lt;'Données projet'!$A$36,$K$205^A67,IF(A67='Données projet'!$A$36,'Données projet'!$B$36,N66+M67-V66)))</f>
        <v>361.88000000000005</v>
      </c>
      <c r="O67" s="13">
        <f>N67*VLOOKUP('Données projet'!$B$9,Paramètres!$A$1:$I$89,3,0)*VLOOKUP('Données projet'!$B$9,Paramètres!$A$1:$I$89,5,0)</f>
        <v>327.42902400000003</v>
      </c>
      <c r="P67" s="13">
        <f t="shared" si="33"/>
        <v>76.897035859574302</v>
      </c>
      <c r="Q67" s="20">
        <f t="shared" ref="Q67:Q98" si="54">(O67+P67)*0.475*44/12</f>
        <v>704.20122092209192</v>
      </c>
      <c r="R67" s="59">
        <f t="shared" ref="R67:R130" si="55">Q67+(I67+J67)*44/12</f>
        <v>967.62557308164673</v>
      </c>
      <c r="S67" s="59">
        <f ca="1">AVERAGE(OFFSET($R$3,0,0,'Données projet'!$E$9+1,1))-AVERAGE(OFFSET($H$3,0,0,'Données projet'!$E$9+1,1))</f>
        <v>737.40414421611001</v>
      </c>
      <c r="T67" s="59">
        <f t="shared" si="34"/>
        <v>245.32893490531674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8.7981008950732491</v>
      </c>
      <c r="AA67" s="21">
        <f>EXP(-LN(2)/25)*AA66+(1-EXP(-LN(2)/25))/(LN(2)/25)*Calculateur!V67*Calculateur!X67*VLOOKUP('Données projet'!$B$9,Paramètres!$A$1:$I$89,3,0)*0.475*44/12</f>
        <v>37.509468959306382</v>
      </c>
      <c r="AB67" s="21">
        <f>EXP(-LN(2)/2)*AB66+(1-EXP(-LN(2)/2))/(LN(2)/2)*V67*Y67*VLOOKUP('Données projet'!$B$9,Paramètres!$A$1:$I$89,3,0)*0.475*44/12</f>
        <v>0.80176669544508983</v>
      </c>
      <c r="AC67" s="22">
        <f t="shared" si="3"/>
        <v>47.109336549824718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1.3999999999999773</v>
      </c>
      <c r="AJ67" s="13">
        <f>AI67*VLOOKUP('Données projet'!$B$10,Paramètres!$A$1:$I$89,3,0)*VLOOKUP('Données projet'!$B$10,Paramètres!$A$1:$I$89,5,0)</f>
        <v>0.83719999999998651</v>
      </c>
      <c r="AK67" s="13">
        <f t="shared" si="35"/>
        <v>0.39388003094446933</v>
      </c>
      <c r="AL67" s="20">
        <f t="shared" si="4"/>
        <v>2.144131053894927</v>
      </c>
      <c r="AM67" s="59">
        <f t="shared" si="5"/>
        <v>265.56848321344967</v>
      </c>
      <c r="AN67" s="59">
        <f ca="1">AVERAGE(OFFSET($AM$3,0,0,'Données projet'!$E$10+1,1))-AVERAGE(OFFSET($H$3,0,0,'Données projet'!$E$10+1,1))</f>
        <v>318.6615972007902</v>
      </c>
      <c r="AO67" s="59">
        <f t="shared" si="36"/>
        <v>326.82168950869504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127.79673681919495</v>
      </c>
      <c r="AV67" s="21">
        <f>EXP(-LN(2)/25)*AV66+(1-EXP(-LN(2)/25))/(LN(2)/25)*Calculateur!AQ67*Calculateur!AS67*VLOOKUP('Données projet'!$B$10,Paramètres!$A$1:$I$89,3,0)*0.475*44/12</f>
        <v>43.165806646489173</v>
      </c>
      <c r="AW67" s="21">
        <f>EXP(-LN(2)/2)*AW66+(1-EXP(-LN(2)/2))/(LN(2)/2)*AQ67*AT67*VLOOKUP('Données projet'!$B$10,Paramètres!$A$1:$I$89,3,0)*0.475*44/12</f>
        <v>14.942198432907139</v>
      </c>
      <c r="AX67" s="21">
        <f t="shared" si="6"/>
        <v>185.90474189859125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4.5999999999999996</v>
      </c>
      <c r="BD67" s="12">
        <f>IF('Données projet'!$A$88&gt;35,BD66+BC67-BL66,IF(A67&lt;'Données projet'!$A$88,$BA$205^A67,IF(A67='Données projet'!$A$88,'Données projet'!$B$88,BD66+BC67-BL66)))</f>
        <v>178.39999999999998</v>
      </c>
      <c r="BE67" s="13">
        <f>BD67*VLOOKUP('Données projet'!$B$11,Paramètres!$A$1:$I$89,3,0)*VLOOKUP('Données projet'!$B$11,Paramètres!$A$1:$I$89,5,0)</f>
        <v>180.89759999999998</v>
      </c>
      <c r="BF67" s="13">
        <f t="shared" si="37"/>
        <v>45.521827778957686</v>
      </c>
      <c r="BG67" s="20">
        <f t="shared" si="7"/>
        <v>394.34717004835124</v>
      </c>
      <c r="BH67" s="59">
        <f t="shared" si="8"/>
        <v>657.77152220790595</v>
      </c>
      <c r="BI67" s="59">
        <f ca="1">AVERAGE(OFFSET($BH$3,0,0,'Données projet'!$E$11+1,1))-AVERAGE(OFFSET($H$3,0,0,'Données projet'!$E$11+1,1))</f>
        <v>402.96916953216805</v>
      </c>
      <c r="BJ67" s="59">
        <f t="shared" si="38"/>
        <v>164.89273051331318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4.8337712980263161</v>
      </c>
      <c r="BR67" s="21">
        <f>EXP(-LN(2)/2)*BR66+(1-EXP(-LN(2)/2))/(LN(2)/2)*BL67*BO67*VLOOKUP('Données projet'!$B$11,Paramètres!$A$1:$I$89,3,0)*0.475*44/12</f>
        <v>0.7966985686212239</v>
      </c>
      <c r="BS67" s="22">
        <f t="shared" si="9"/>
        <v>5.6304698666475401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11.896999999999997</v>
      </c>
      <c r="BY67" s="12">
        <f>IF('Données projet'!$A$114&gt;35,BY66+BX67-CG66,IF(A67&lt;'Données projet'!$A$114,$BV$205^A67,IF(A67='Données projet'!$A$114,'Données projet'!$B$114,BY66+BX67-CG66)))</f>
        <v>418.68799999999982</v>
      </c>
      <c r="BZ67" s="13">
        <f>BY67*VLOOKUP('Données projet'!$B$12,Paramètres!$A$1:$I$89,3,0)*VLOOKUP('Données projet'!$B$12,Paramètres!$A$1:$I$89,5,0)</f>
        <v>250.37542399999992</v>
      </c>
      <c r="CA67" s="13">
        <f t="shared" si="39"/>
        <v>60.666325229387866</v>
      </c>
      <c r="CB67" s="20">
        <f t="shared" si="10"/>
        <v>541.73104657451711</v>
      </c>
      <c r="CC67" s="59">
        <f t="shared" si="11"/>
        <v>805.15539873407192</v>
      </c>
      <c r="CD67" s="59">
        <f ca="1">AVERAGE(OFFSET($CC$3,0,0,'Données projet'!$E$12+1,1))-AVERAGE(OFFSET($H$3,0,0,'Données projet'!$E$12+1,1))</f>
        <v>373.61861223558259</v>
      </c>
      <c r="CE67" s="59">
        <f t="shared" si="40"/>
        <v>277.62293009761049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41.125417654871342</v>
      </c>
      <c r="CL67" s="21">
        <f>EXP(-LN(2)/25)*CL66+(1-EXP(-LN(2)/25))/(LN(2)/25)*Calculateur!CG67*Calculateur!CI67*VLOOKUP('Données projet'!$B$12,Paramètres!$A$1:$I$89,3,0)*0.475*44/12</f>
        <v>17.30411795613351</v>
      </c>
      <c r="CM67" s="21">
        <f>EXP(-LN(2)/2)*CM66+(1-EXP(-LN(2)/2))/(LN(2)/2)*CG67*CJ67*VLOOKUP('Données projet'!$B$12,Paramètres!$A$1:$I$89,3,0)*0.475*44/12</f>
        <v>2.442309562437075</v>
      </c>
      <c r="CN67" s="22">
        <f t="shared" si="12"/>
        <v>60.871845173441926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13.520000000000003</v>
      </c>
      <c r="N68" s="13">
        <f>IF('Données projet'!$A$36&gt;35,N67+M68-V67,IF(A68&lt;'Données projet'!$A$36,$K$205^A68,IF(A68='Données projet'!$A$36,'Données projet'!$B$36,N67+M68-V67)))</f>
        <v>375.40000000000003</v>
      </c>
      <c r="O68" s="13">
        <f>N68*VLOOKUP('Données projet'!$B$9,Paramètres!$A$1:$I$89,3,0)*VLOOKUP('Données projet'!$B$9,Paramètres!$A$1:$I$89,5,0)</f>
        <v>339.66192000000001</v>
      </c>
      <c r="P68" s="13">
        <f t="shared" si="33"/>
        <v>79.430092909514357</v>
      </c>
      <c r="Q68" s="20">
        <f t="shared" si="54"/>
        <v>729.91858915073738</v>
      </c>
      <c r="R68" s="59">
        <f t="shared" si="55"/>
        <v>993.86179526719252</v>
      </c>
      <c r="S68" s="59">
        <f ca="1">AVERAGE(OFFSET($R$3,0,0,'Données projet'!$E$9+1,1))-AVERAGE(OFFSET($H$3,0,0,'Données projet'!$E$9+1,1))</f>
        <v>737.40414421611001</v>
      </c>
      <c r="T68" s="59">
        <f t="shared" si="34"/>
        <v>245.32893490531674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8.6255755028325289</v>
      </c>
      <c r="AA68" s="21">
        <f>EXP(-LN(2)/25)*AA67+(1-EXP(-LN(2)/25))/(LN(2)/25)*Calculateur!V68*Calculateur!X68*VLOOKUP('Données projet'!$B$9,Paramètres!$A$1:$I$89,3,0)*0.475*44/12</f>
        <v>36.483770558076905</v>
      </c>
      <c r="AB68" s="21">
        <f>EXP(-LN(2)/2)*AB67+(1-EXP(-LN(2)/2))/(LN(2)/2)*V68*Y68*VLOOKUP('Données projet'!$B$9,Paramètres!$A$1:$I$89,3,0)*0.475*44/12</f>
        <v>0.56693466727875241</v>
      </c>
      <c r="AC68" s="22">
        <f t="shared" ref="AC68:AC131" si="57">SUM(Z68:AB68)</f>
        <v>45.676280728188182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1.3999999999999773</v>
      </c>
      <c r="AJ68" s="13">
        <f>AI68*VLOOKUP('Données projet'!$B$10,Paramètres!$A$1:$I$89,3,0)*VLOOKUP('Données projet'!$B$10,Paramètres!$A$1:$I$89,5,0)</f>
        <v>0.83719999999998651</v>
      </c>
      <c r="AK68" s="13">
        <f t="shared" si="35"/>
        <v>0.39388003094446933</v>
      </c>
      <c r="AL68" s="20">
        <f t="shared" ref="AL68:AL131" si="58">(AJ68+AK68)*0.475*44/12</f>
        <v>2.144131053894927</v>
      </c>
      <c r="AM68" s="59">
        <f t="shared" ref="AM68:AM131" si="59">AL68+(AD68+AE68)*44/12</f>
        <v>266.08733717035011</v>
      </c>
      <c r="AN68" s="59">
        <f ca="1">AVERAGE(OFFSET($AM$3,0,0,'Données projet'!$E$10+1,1))-AVERAGE(OFFSET($H$3,0,0,'Données projet'!$E$10+1,1))</f>
        <v>318.6615972007902</v>
      </c>
      <c r="AO68" s="59">
        <f t="shared" si="36"/>
        <v>326.82168950869504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125.29072075848323</v>
      </c>
      <c r="AV68" s="21">
        <f>EXP(-LN(2)/25)*AV67+(1-EXP(-LN(2)/25))/(LN(2)/25)*Calculateur!AQ68*Calculateur!AS68*VLOOKUP('Données projet'!$B$10,Paramètres!$A$1:$I$89,3,0)*0.475*44/12</f>
        <v>41.98543539374981</v>
      </c>
      <c r="AW68" s="21">
        <f>EXP(-LN(2)/2)*AW67+(1-EXP(-LN(2)/2))/(LN(2)/2)*AQ68*AT68*VLOOKUP('Données projet'!$B$10,Paramètres!$A$1:$I$89,3,0)*0.475*44/12</f>
        <v>10.565729837743643</v>
      </c>
      <c r="AX68" s="21">
        <f t="shared" ref="AX68:AX131" si="60">SUM(AU68:AW68)</f>
        <v>177.8418859899767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183</v>
      </c>
      <c r="BB68" s="12">
        <f>VLOOKUP(A68,'Données projet'!$A$87:$I$107,9,0)</f>
        <v>4.5999999999999996</v>
      </c>
      <c r="BC68" s="12">
        <f t="array" ref="BC68">INDEX(BB:BB,MIN(IF(ISNUMBER(BB68:BB264),ROW(BB68:BB264),"")))</f>
        <v>4.5999999999999996</v>
      </c>
      <c r="BD68" s="12">
        <f>IF('Données projet'!$A$88&gt;35,BD67+BC68-BL67,IF(A68&lt;'Données projet'!$A$88,$BA$205^A68,IF(A68='Données projet'!$A$88,'Données projet'!$B$88,BD67+BC68-BL67)))</f>
        <v>182.99999999999997</v>
      </c>
      <c r="BE68" s="13">
        <f>BD68*VLOOKUP('Données projet'!$B$11,Paramètres!$A$1:$I$89,3,0)*VLOOKUP('Données projet'!$B$11,Paramètres!$A$1:$I$89,5,0)</f>
        <v>185.56199999999998</v>
      </c>
      <c r="BF68" s="13">
        <f t="shared" si="37"/>
        <v>46.557428480028591</v>
      </c>
      <c r="BG68" s="20">
        <f t="shared" ref="BG68:BG131" si="61">(BE68+BF68)*0.475*44/12</f>
        <v>404.27467126938308</v>
      </c>
      <c r="BH68" s="59">
        <f t="shared" ref="BH68:BH131" si="62">BG68+(AY68+AZ68)*44/12</f>
        <v>668.21787738583828</v>
      </c>
      <c r="BI68" s="59">
        <f ca="1">AVERAGE(OFFSET($BH$3,0,0,'Données projet'!$E$11+1,1))-AVERAGE(OFFSET($H$3,0,0,'Données projet'!$E$11+1,1))</f>
        <v>402.96916953216805</v>
      </c>
      <c r="BJ68" s="59">
        <f t="shared" si="38"/>
        <v>164.89273051331318</v>
      </c>
      <c r="BK68" s="15">
        <f>IF(ISNA(VLOOKUP(A68,'Données projet'!$A$87:$I$107,3,0)),0,VLOOKUP(A68,'Données projet'!$A$87:$I$107,3,0))</f>
        <v>7</v>
      </c>
      <c r="BL68" s="15">
        <f>IF(ISNA(VLOOKUP(A68,'Données projet'!$A$87:$I$107,4,0)),0,VLOOKUP(A68,'Données projet'!$A$87:$I$107,4,0))</f>
        <v>11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0.1075</v>
      </c>
      <c r="BO68" s="16">
        <f>IF(ISNA(VLOOKUP(A68,'Données projet'!$A$87:$I$107,7,0)),0%,VLOOKUP(A68,'Données projet'!$A$87:$I$107,7,0))</f>
        <v>0.25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6.021892277155839</v>
      </c>
      <c r="BR68" s="21">
        <f>EXP(-LN(2)/2)*BR67+(1-EXP(-LN(2)/2))/(LN(2)/2)*BL68*BO68*VLOOKUP('Données projet'!$B$11,Paramètres!$A$1:$I$89,3,0)*0.475*44/12</f>
        <v>3.1943757618108086</v>
      </c>
      <c r="BS68" s="22">
        <f t="shared" ref="BS68:BS131" si="63">SUM(BP68:BR68)</f>
        <v>9.216268038966648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11.896999999999997</v>
      </c>
      <c r="BY68" s="12">
        <f>IF('Données projet'!$A$114&gt;35,BY67+BX68-CG67,IF(A68&lt;'Données projet'!$A$114,$BV$205^A68,IF(A68='Données projet'!$A$114,'Données projet'!$B$114,BY67+BX68-CG67)))</f>
        <v>430.58499999999981</v>
      </c>
      <c r="BZ68" s="13">
        <f>BY68*VLOOKUP('Données projet'!$B$12,Paramètres!$A$1:$I$89,3,0)*VLOOKUP('Données projet'!$B$12,Paramètres!$A$1:$I$89,5,0)</f>
        <v>257.48982999999993</v>
      </c>
      <c r="CA68" s="13">
        <f t="shared" si="39"/>
        <v>62.187009415011673</v>
      </c>
      <c r="CB68" s="20">
        <f t="shared" ref="CB68:CB131" si="64">(BZ68+CA68)*0.475*44/12</f>
        <v>556.77049531447858</v>
      </c>
      <c r="CC68" s="59">
        <f t="shared" ref="CC68:CC131" si="65">CB68+(BT68+BU68)*44/12</f>
        <v>820.71370143093372</v>
      </c>
      <c r="CD68" s="59">
        <f ca="1">AVERAGE(OFFSET($CC$3,0,0,'Données projet'!$E$12+1,1))-AVERAGE(OFFSET($H$3,0,0,'Données projet'!$E$12+1,1))</f>
        <v>373.61861223558259</v>
      </c>
      <c r="CE68" s="59">
        <f t="shared" si="40"/>
        <v>277.62293009761049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40.31897329868724</v>
      </c>
      <c r="CL68" s="21">
        <f>EXP(-LN(2)/25)*CL67+(1-EXP(-LN(2)/25))/(LN(2)/25)*Calculateur!CG68*Calculateur!CI68*VLOOKUP('Données projet'!$B$12,Paramètres!$A$1:$I$89,3,0)*0.475*44/12</f>
        <v>16.830935940639026</v>
      </c>
      <c r="CM68" s="21">
        <f>EXP(-LN(2)/2)*CM67+(1-EXP(-LN(2)/2))/(LN(2)/2)*CG68*CJ68*VLOOKUP('Données projet'!$B$12,Paramètres!$A$1:$I$89,3,0)*0.475*44/12</f>
        <v>1.7269736533560056</v>
      </c>
      <c r="CN68" s="22">
        <f t="shared" ref="CN68:CN131" si="66">SUM(CK68:CM68)</f>
        <v>58.876882892682268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388.92</v>
      </c>
      <c r="L69" s="12">
        <f>VLOOKUP(A69,'Données projet'!$A$35:$I$55,9,0)</f>
        <v>13.520000000000003</v>
      </c>
      <c r="M69" s="12">
        <f t="array" ref="M69">INDEX(L:L,MIN(IF(ISNUMBER(L69:L265),ROW(L69:L265),"")))</f>
        <v>13.520000000000003</v>
      </c>
      <c r="N69" s="13">
        <f>IF('Données projet'!$A$36&gt;35,N68+M69-V68,IF(A69&lt;'Données projet'!$A$36,$K$205^A69,IF(A69='Données projet'!$A$36,'Données projet'!$B$36,N68+M69-V68)))</f>
        <v>388.92</v>
      </c>
      <c r="O69" s="13">
        <f>N69*VLOOKUP('Données projet'!$B$9,Paramètres!$A$1:$I$89,3,0)*VLOOKUP('Données projet'!$B$9,Paramètres!$A$1:$I$89,5,0)</f>
        <v>351.89481599999999</v>
      </c>
      <c r="P69" s="13">
        <f t="shared" ref="P69:P132" si="87">EXP(-1.0587+0.8836*LN(O69)+0.284)</f>
        <v>81.952550845391471</v>
      </c>
      <c r="Q69" s="20">
        <f t="shared" si="54"/>
        <v>755.61749725572326</v>
      </c>
      <c r="R69" s="59">
        <f t="shared" si="55"/>
        <v>1020.0705563729103</v>
      </c>
      <c r="S69" s="59">
        <f ca="1">AVERAGE(OFFSET($R$3,0,0,'Données projet'!$E$9+1,1))-AVERAGE(OFFSET($H$3,0,0,'Données projet'!$E$9+1,1))</f>
        <v>737.40414421611001</v>
      </c>
      <c r="T69" s="59">
        <f t="shared" ref="T69:T132" si="88">$T$3</f>
        <v>245.32893490531674</v>
      </c>
      <c r="U69" s="15">
        <f>IF(ISNA(VLOOKUP(A69,'Données projet'!$A$35:$I$55,3,0)),0,VLOOKUP(A69,'Données projet'!$A$35:$I$55,3,0))</f>
        <v>5</v>
      </c>
      <c r="V69" s="15">
        <f>IF(ISNA(VLOOKUP(A69,'Données projet'!$A$35:$I$55,4,0)),0,VLOOKUP(A69,'Données projet'!$A$35:$I$55,4,0))</f>
        <v>76.480000000000018</v>
      </c>
      <c r="W69" s="16">
        <f>IF(ISNA(VLOOKUP(A69,'Données projet'!$A$35:$I$55,5,0)),0%,VLOOKUP(A69,'Données projet'!$A$35:$I$55,5,0)*VLOOKUP('Données projet'!$B$9,Paramètres!$A$1:$I$89,7,0))</f>
        <v>0.15049999999999999</v>
      </c>
      <c r="X69" s="16">
        <f>IF(ISNA(VLOOKUP(A69,'Données projet'!$A$35:$I$55,6,0)),0%,VLOOKUP(A69,'Données projet'!$A$35:$I$55,6,0)*VLOOKUP('Données projet'!$B$9,Paramètres!$A$1:$I$89,7,0))</f>
        <v>8.6000000000000007E-2</v>
      </c>
      <c r="Y69" s="16">
        <f>IF(ISNA(VLOOKUP(A69,'Données projet'!$A$35:$I$55,7,0)),0%,VLOOKUP(A69,'Données projet'!$A$35:$I$55,7,0))</f>
        <v>0.1</v>
      </c>
      <c r="Z69" s="21">
        <f>EXP(-LN(2)/35)*Z68+(1-EXP(-LN(2)/35))/(LN(2)/35)*V69*W69*VLOOKUP('Données projet'!$B$9,Paramètres!$A$1:$I$89,3,0)*0.475*44/12</f>
        <v>19.969315972517677</v>
      </c>
      <c r="AA69" s="21">
        <f>EXP(-LN(2)/25)*AA68+(1-EXP(-LN(2)/25))/(LN(2)/25)*Calculateur!V69*Calculateur!X69*VLOOKUP('Données projet'!$B$9,Paramètres!$A$1:$I$89,3,0)*0.475*44/12</f>
        <v>42.039006869624131</v>
      </c>
      <c r="AB69" s="21">
        <f>EXP(-LN(2)/2)*AB68+(1-EXP(-LN(2)/2))/(LN(2)/2)*V69*Y69*VLOOKUP('Données projet'!$B$9,Paramètres!$A$1:$I$89,3,0)*0.475*44/12</f>
        <v>6.9300050567802831</v>
      </c>
      <c r="AC69" s="22">
        <f t="shared" si="57"/>
        <v>68.938327898922097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1.3999999999999773</v>
      </c>
      <c r="AJ69" s="13">
        <f>AI69*VLOOKUP('Données projet'!$B$10,Paramètres!$A$1:$I$89,3,0)*VLOOKUP('Données projet'!$B$10,Paramètres!$A$1:$I$89,5,0)</f>
        <v>0.83719999999998651</v>
      </c>
      <c r="AK69" s="13">
        <f t="shared" ref="AK69:AK132" si="89">EXP(-1.0587+0.8836*LN(AJ69)+0.284)</f>
        <v>0.39388003094446933</v>
      </c>
      <c r="AL69" s="20">
        <f t="shared" si="58"/>
        <v>2.144131053894927</v>
      </c>
      <c r="AM69" s="59">
        <f t="shared" si="59"/>
        <v>266.59719017108199</v>
      </c>
      <c r="AN69" s="59">
        <f ca="1">AVERAGE(OFFSET($AM$3,0,0,'Données projet'!$E$10+1,1))-AVERAGE(OFFSET($H$3,0,0,'Données projet'!$E$10+1,1))</f>
        <v>318.6615972007902</v>
      </c>
      <c r="AO69" s="59">
        <f t="shared" ref="AO69:AO132" si="90">$AO$3</f>
        <v>326.82168950869504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122.83384614420321</v>
      </c>
      <c r="AV69" s="21">
        <f>EXP(-LN(2)/25)*AV68+(1-EXP(-LN(2)/25))/(LN(2)/25)*Calculateur!AQ69*Calculateur!AS69*VLOOKUP('Données projet'!$B$10,Paramètres!$A$1:$I$89,3,0)*0.475*44/12</f>
        <v>40.837341454989634</v>
      </c>
      <c r="AW69" s="21">
        <f>EXP(-LN(2)/2)*AW68+(1-EXP(-LN(2)/2))/(LN(2)/2)*AQ69*AT69*VLOOKUP('Données projet'!$B$10,Paramètres!$A$1:$I$89,3,0)*0.475*44/12</f>
        <v>7.4710992164535703</v>
      </c>
      <c r="AX69" s="21">
        <f t="shared" si="60"/>
        <v>171.14228681564643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4.2</v>
      </c>
      <c r="BD69" s="12">
        <f>IF('Données projet'!$A$88&gt;35,BD68+BC69-BL68,IF(A69&lt;'Données projet'!$A$88,$BA$205^A69,IF(A69='Données projet'!$A$88,'Données projet'!$B$88,BD68+BC69-BL68)))</f>
        <v>176.19999999999996</v>
      </c>
      <c r="BE69" s="13">
        <f>BD69*VLOOKUP('Données projet'!$B$11,Paramètres!$A$1:$I$89,3,0)*VLOOKUP('Données projet'!$B$11,Paramètres!$A$1:$I$89,5,0)</f>
        <v>178.66679999999997</v>
      </c>
      <c r="BF69" s="13">
        <f t="shared" ref="BF69:BF132" si="91">EXP(-1.0587+0.8836*LN(BE69)+0.284)</f>
        <v>45.025445515382238</v>
      </c>
      <c r="BG69" s="20">
        <f t="shared" si="61"/>
        <v>389.59732760595733</v>
      </c>
      <c r="BH69" s="59">
        <f t="shared" si="62"/>
        <v>654.05038672314436</v>
      </c>
      <c r="BI69" s="59">
        <f ca="1">AVERAGE(OFFSET($BH$3,0,0,'Données projet'!$E$11+1,1))-AVERAGE(OFFSET($H$3,0,0,'Données projet'!$E$11+1,1))</f>
        <v>402.96916953216805</v>
      </c>
      <c r="BJ69" s="59">
        <f t="shared" ref="BJ69:BJ132" si="92">$BJ$3</f>
        <v>164.89273051331318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5.8572233161594607</v>
      </c>
      <c r="BR69" s="21">
        <f>EXP(-LN(2)/2)*BR68+(1-EXP(-LN(2)/2))/(LN(2)/2)*BL69*BO69*VLOOKUP('Données projet'!$B$11,Paramètres!$A$1:$I$89,3,0)*0.475*44/12</f>
        <v>2.2587647628343666</v>
      </c>
      <c r="BS69" s="22">
        <f t="shared" si="63"/>
        <v>8.1159880789938263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11.896999999999997</v>
      </c>
      <c r="BY69" s="12">
        <f>IF('Données projet'!$A$114&gt;35,BY68+BX69-CG68,IF(A69&lt;'Données projet'!$A$114,$BV$205^A69,IF(A69='Données projet'!$A$114,'Données projet'!$B$114,BY68+BX69-CG68)))</f>
        <v>442.4819999999998</v>
      </c>
      <c r="BZ69" s="13">
        <f>BY69*VLOOKUP('Données projet'!$B$12,Paramètres!$A$1:$I$89,3,0)*VLOOKUP('Données projet'!$B$12,Paramètres!$A$1:$I$89,5,0)</f>
        <v>264.6042359999999</v>
      </c>
      <c r="CA69" s="13">
        <f t="shared" ref="CA69:CA132" si="93">EXP(-1.0587+0.8836*LN(BZ69)+0.284)</f>
        <v>63.702810105204811</v>
      </c>
      <c r="CB69" s="20">
        <f t="shared" si="64"/>
        <v>571.80143863323156</v>
      </c>
      <c r="CC69" s="59">
        <f t="shared" si="65"/>
        <v>836.25449775041864</v>
      </c>
      <c r="CD69" s="59">
        <f ca="1">AVERAGE(OFFSET($CC$3,0,0,'Données projet'!$E$12+1,1))-AVERAGE(OFFSET($H$3,0,0,'Données projet'!$E$12+1,1))</f>
        <v>373.61861223558259</v>
      </c>
      <c r="CE69" s="59">
        <f t="shared" ref="CE69:CE132" si="94">$CE$3</f>
        <v>277.62293009761049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39.528342824445424</v>
      </c>
      <c r="CL69" s="21">
        <f>EXP(-LN(2)/25)*CL68+(1-EXP(-LN(2)/25))/(LN(2)/25)*Calculateur!CG69*Calculateur!CI69*VLOOKUP('Données projet'!$B$12,Paramètres!$A$1:$I$89,3,0)*0.475*44/12</f>
        <v>16.370693112241799</v>
      </c>
      <c r="CM69" s="21">
        <f>EXP(-LN(2)/2)*CM68+(1-EXP(-LN(2)/2))/(LN(2)/2)*CG69*CJ69*VLOOKUP('Données projet'!$B$12,Paramètres!$A$1:$I$89,3,0)*0.475*44/12</f>
        <v>1.2211547812185377</v>
      </c>
      <c r="CN69" s="22">
        <f t="shared" si="66"/>
        <v>57.120190717905764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12.795000000000002</v>
      </c>
      <c r="N70" s="13">
        <f>IF('Données projet'!$A$36&gt;35,N69+M70-V69,IF(A70&lt;'Données projet'!$A$36,$K$205^A70,IF(A70='Données projet'!$A$36,'Données projet'!$B$36,N69+M70-V69)))</f>
        <v>325.23500000000001</v>
      </c>
      <c r="O70" s="13">
        <f>N70*VLOOKUP('Données projet'!$B$9,Paramètres!$A$1:$I$89,3,0)*VLOOKUP('Données projet'!$B$9,Paramètres!$A$1:$I$89,5,0)</f>
        <v>294.272628</v>
      </c>
      <c r="P70" s="13">
        <f t="shared" si="87"/>
        <v>69.974442654220198</v>
      </c>
      <c r="Q70" s="20">
        <f t="shared" si="54"/>
        <v>634.39698138943356</v>
      </c>
      <c r="R70" s="59">
        <f t="shared" si="55"/>
        <v>899.35104869765041</v>
      </c>
      <c r="S70" s="59">
        <f ca="1">AVERAGE(OFFSET($R$3,0,0,'Données projet'!$E$9+1,1))-AVERAGE(OFFSET($H$3,0,0,'Données projet'!$E$9+1,1))</f>
        <v>737.40414421611001</v>
      </c>
      <c r="T70" s="59">
        <f t="shared" si="88"/>
        <v>245.32893490531674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19.577729866376664</v>
      </c>
      <c r="AA70" s="21">
        <f>EXP(-LN(2)/25)*AA69+(1-EXP(-LN(2)/25))/(LN(2)/25)*Calculateur!V70*Calculateur!X70*VLOOKUP('Données projet'!$B$9,Paramètres!$A$1:$I$89,3,0)*0.475*44/12</f>
        <v>40.889448016038969</v>
      </c>
      <c r="AB70" s="21">
        <f>EXP(-LN(2)/2)*AB69+(1-EXP(-LN(2)/2))/(LN(2)/2)*V70*Y70*VLOOKUP('Données projet'!$B$9,Paramètres!$A$1:$I$89,3,0)*0.475*44/12</f>
        <v>4.900253569306404</v>
      </c>
      <c r="AC70" s="22">
        <f t="shared" si="57"/>
        <v>65.367431451722041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1.3999999999999773</v>
      </c>
      <c r="AJ70" s="13">
        <f>AI70*VLOOKUP('Données projet'!$B$10,Paramètres!$A$1:$I$89,3,0)*VLOOKUP('Données projet'!$B$10,Paramètres!$A$1:$I$89,5,0)</f>
        <v>0.83719999999998651</v>
      </c>
      <c r="AK70" s="13">
        <f t="shared" si="89"/>
        <v>0.39388003094446933</v>
      </c>
      <c r="AL70" s="20">
        <f t="shared" si="58"/>
        <v>2.144131053894927</v>
      </c>
      <c r="AM70" s="59">
        <f t="shared" si="59"/>
        <v>267.09819836211182</v>
      </c>
      <c r="AN70" s="59">
        <f ca="1">AVERAGE(OFFSET($AM$3,0,0,'Données projet'!$E$10+1,1))-AVERAGE(OFFSET($H$3,0,0,'Données projet'!$E$10+1,1))</f>
        <v>318.6615972007902</v>
      </c>
      <c r="AO70" s="59">
        <f t="shared" si="90"/>
        <v>326.82168950869504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120.42514934256367</v>
      </c>
      <c r="AV70" s="21">
        <f>EXP(-LN(2)/25)*AV69+(1-EXP(-LN(2)/25))/(LN(2)/25)*Calculateur!AQ70*Calculateur!AS70*VLOOKUP('Données projet'!$B$10,Paramètres!$A$1:$I$89,3,0)*0.475*44/12</f>
        <v>39.720642205360491</v>
      </c>
      <c r="AW70" s="21">
        <f>EXP(-LN(2)/2)*AW69+(1-EXP(-LN(2)/2))/(LN(2)/2)*AQ70*AT70*VLOOKUP('Données projet'!$B$10,Paramètres!$A$1:$I$89,3,0)*0.475*44/12</f>
        <v>5.2828649188718222</v>
      </c>
      <c r="AX70" s="21">
        <f t="shared" si="60"/>
        <v>165.42865646679596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4.2</v>
      </c>
      <c r="BD70" s="12">
        <f>IF('Données projet'!$A$88&gt;35,BD69+BC70-BL69,IF(A70&lt;'Données projet'!$A$88,$BA$205^A70,IF(A70='Données projet'!$A$88,'Données projet'!$B$88,BD69+BC70-BL69)))</f>
        <v>180.39999999999995</v>
      </c>
      <c r="BE70" s="13">
        <f>BD70*VLOOKUP('Données projet'!$B$11,Paramètres!$A$1:$I$89,3,0)*VLOOKUP('Données projet'!$B$11,Paramètres!$A$1:$I$89,5,0)</f>
        <v>182.92559999999997</v>
      </c>
      <c r="BF70" s="13">
        <f t="shared" si="91"/>
        <v>45.972466250451397</v>
      </c>
      <c r="BG70" s="20">
        <f t="shared" si="61"/>
        <v>398.66413205286949</v>
      </c>
      <c r="BH70" s="59">
        <f t="shared" si="62"/>
        <v>663.61819936108645</v>
      </c>
      <c r="BI70" s="59">
        <f ca="1">AVERAGE(OFFSET($BH$3,0,0,'Données projet'!$E$11+1,1))-AVERAGE(OFFSET($H$3,0,0,'Données projet'!$E$11+1,1))</f>
        <v>402.96916953216805</v>
      </c>
      <c r="BJ70" s="59">
        <f t="shared" si="92"/>
        <v>164.89273051331318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5.6970572365610925</v>
      </c>
      <c r="BR70" s="21">
        <f>EXP(-LN(2)/2)*BR69+(1-EXP(-LN(2)/2))/(LN(2)/2)*BL70*BO70*VLOOKUP('Données projet'!$B$11,Paramètres!$A$1:$I$89,3,0)*0.475*44/12</f>
        <v>1.5971878809054045</v>
      </c>
      <c r="BS70" s="22">
        <f t="shared" si="63"/>
        <v>7.2942451174664971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11.896999999999997</v>
      </c>
      <c r="BY70" s="12">
        <f>IF('Données projet'!$A$114&gt;35,BY69+BX70-CG69,IF(A70&lt;'Données projet'!$A$114,$BV$205^A70,IF(A70='Données projet'!$A$114,'Données projet'!$B$114,BY69+BX70-CG69)))</f>
        <v>454.37899999999979</v>
      </c>
      <c r="BZ70" s="13">
        <f>BY70*VLOOKUP('Données projet'!$B$12,Paramètres!$A$1:$I$89,3,0)*VLOOKUP('Données projet'!$B$12,Paramètres!$A$1:$I$89,5,0)</f>
        <v>271.71864199999993</v>
      </c>
      <c r="CA70" s="13">
        <f t="shared" si="93"/>
        <v>65.213873692530555</v>
      </c>
      <c r="CB70" s="20">
        <f t="shared" si="64"/>
        <v>586.82413149782394</v>
      </c>
      <c r="CC70" s="59">
        <f t="shared" si="65"/>
        <v>851.77819880604079</v>
      </c>
      <c r="CD70" s="59">
        <f ca="1">AVERAGE(OFFSET($CC$3,0,0,'Données projet'!$E$12+1,1))-AVERAGE(OFFSET($H$3,0,0,'Données projet'!$E$12+1,1))</f>
        <v>373.61861223558259</v>
      </c>
      <c r="CE70" s="59">
        <f t="shared" si="94"/>
        <v>277.62293009761049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38.753216131566518</v>
      </c>
      <c r="CL70" s="21">
        <f>EXP(-LN(2)/25)*CL69+(1-EXP(-LN(2)/25))/(LN(2)/25)*Calculateur!CG70*Calculateur!CI70*VLOOKUP('Données projet'!$B$12,Paramètres!$A$1:$I$89,3,0)*0.475*44/12</f>
        <v>15.923035648190211</v>
      </c>
      <c r="CM70" s="21">
        <f>EXP(-LN(2)/2)*CM69+(1-EXP(-LN(2)/2))/(LN(2)/2)*CG70*CJ70*VLOOKUP('Données projet'!$B$12,Paramètres!$A$1:$I$89,3,0)*0.475*44/12</f>
        <v>0.86348682667800292</v>
      </c>
      <c r="CN70" s="22">
        <f t="shared" si="66"/>
        <v>55.539738606434732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12.795000000000002</v>
      </c>
      <c r="N71" s="13">
        <f>IF('Données projet'!$A$36&gt;35,N70+M71-V70,IF(A71&lt;'Données projet'!$A$36,$K$205^A71,IF(A71='Données projet'!$A$36,'Données projet'!$B$36,N70+M71-V70)))</f>
        <v>338.03000000000003</v>
      </c>
      <c r="O71" s="13">
        <f>N71*VLOOKUP('Données projet'!$B$9,Paramètres!$A$1:$I$89,3,0)*VLOOKUP('Données projet'!$B$9,Paramètres!$A$1:$I$89,5,0)</f>
        <v>305.84954400000004</v>
      </c>
      <c r="P71" s="13">
        <f t="shared" si="87"/>
        <v>72.401370969152978</v>
      </c>
      <c r="Q71" s="20">
        <f t="shared" si="54"/>
        <v>658.78701023794144</v>
      </c>
      <c r="R71" s="59">
        <f t="shared" si="55"/>
        <v>924.23339436516028</v>
      </c>
      <c r="S71" s="59">
        <f ca="1">AVERAGE(OFFSET($R$3,0,0,'Données projet'!$E$9+1,1))-AVERAGE(OFFSET($H$3,0,0,'Données projet'!$E$9+1,1))</f>
        <v>737.40414421611001</v>
      </c>
      <c r="T71" s="59">
        <f t="shared" si="88"/>
        <v>245.32893490531674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19.193822524933136</v>
      </c>
      <c r="AA71" s="21">
        <f>EXP(-LN(2)/25)*AA70+(1-EXP(-LN(2)/25))/(LN(2)/25)*Calculateur!V71*Calculateur!X71*VLOOKUP('Données projet'!$B$9,Paramètres!$A$1:$I$89,3,0)*0.475*44/12</f>
        <v>39.771323909757768</v>
      </c>
      <c r="AB71" s="21">
        <f>EXP(-LN(2)/2)*AB70+(1-EXP(-LN(2)/2))/(LN(2)/2)*V71*Y71*VLOOKUP('Données projet'!$B$9,Paramètres!$A$1:$I$89,3,0)*0.475*44/12</f>
        <v>3.465002528390142</v>
      </c>
      <c r="AC71" s="22">
        <f t="shared" si="57"/>
        <v>62.430148963081052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1.3999999999999773</v>
      </c>
      <c r="AJ71" s="13">
        <f>AI71*VLOOKUP('Données projet'!$B$10,Paramètres!$A$1:$I$89,3,0)*VLOOKUP('Données projet'!$B$10,Paramètres!$A$1:$I$89,5,0)</f>
        <v>0.83719999999998651</v>
      </c>
      <c r="AK71" s="13">
        <f t="shared" si="89"/>
        <v>0.39388003094446933</v>
      </c>
      <c r="AL71" s="20">
        <f t="shared" si="58"/>
        <v>2.144131053894927</v>
      </c>
      <c r="AM71" s="59">
        <f t="shared" si="59"/>
        <v>267.59051518111374</v>
      </c>
      <c r="AN71" s="59">
        <f ca="1">AVERAGE(OFFSET($AM$3,0,0,'Données projet'!$E$10+1,1))-AVERAGE(OFFSET($H$3,0,0,'Données projet'!$E$10+1,1))</f>
        <v>318.6615972007902</v>
      </c>
      <c r="AO71" s="59">
        <f t="shared" si="90"/>
        <v>326.82168950869504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118.06368561604431</v>
      </c>
      <c r="AV71" s="21">
        <f>EXP(-LN(2)/25)*AV70+(1-EXP(-LN(2)/25))/(LN(2)/25)*Calculateur!AQ71*Calculateur!AS71*VLOOKUP('Données projet'!$B$10,Paramètres!$A$1:$I$89,3,0)*0.475*44/12</f>
        <v>38.63447915543712</v>
      </c>
      <c r="AW71" s="21">
        <f>EXP(-LN(2)/2)*AW70+(1-EXP(-LN(2)/2))/(LN(2)/2)*AQ71*AT71*VLOOKUP('Données projet'!$B$10,Paramètres!$A$1:$I$89,3,0)*0.475*44/12</f>
        <v>3.7355496082267861</v>
      </c>
      <c r="AX71" s="21">
        <f t="shared" si="60"/>
        <v>160.43371437970822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4.2</v>
      </c>
      <c r="BD71" s="12">
        <f>IF('Données projet'!$A$88&gt;35,BD70+BC71-BL70,IF(A71&lt;'Données projet'!$A$88,$BA$205^A71,IF(A71='Données projet'!$A$88,'Données projet'!$B$88,BD70+BC71-BL70)))</f>
        <v>184.59999999999994</v>
      </c>
      <c r="BE71" s="13">
        <f>BD71*VLOOKUP('Données projet'!$B$11,Paramètres!$A$1:$I$89,3,0)*VLOOKUP('Données projet'!$B$11,Paramètres!$A$1:$I$89,5,0)</f>
        <v>187.18439999999995</v>
      </c>
      <c r="BF71" s="13">
        <f t="shared" si="91"/>
        <v>46.916923809907296</v>
      </c>
      <c r="BG71" s="20">
        <f t="shared" si="61"/>
        <v>407.7264723022551</v>
      </c>
      <c r="BH71" s="59">
        <f t="shared" si="62"/>
        <v>673.172856429474</v>
      </c>
      <c r="BI71" s="59">
        <f ca="1">AVERAGE(OFFSET($BH$3,0,0,'Données projet'!$E$11+1,1))-AVERAGE(OFFSET($H$3,0,0,'Données projet'!$E$11+1,1))</f>
        <v>402.96916953216805</v>
      </c>
      <c r="BJ71" s="59">
        <f t="shared" si="92"/>
        <v>164.89273051331318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5.5412709068321098</v>
      </c>
      <c r="BR71" s="21">
        <f>EXP(-LN(2)/2)*BR70+(1-EXP(-LN(2)/2))/(LN(2)/2)*BL71*BO71*VLOOKUP('Données projet'!$B$11,Paramètres!$A$1:$I$89,3,0)*0.475*44/12</f>
        <v>1.1293823814171835</v>
      </c>
      <c r="BS71" s="22">
        <f t="shared" si="63"/>
        <v>6.6706532882492935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11.896999999999997</v>
      </c>
      <c r="BY71" s="12">
        <f>IF('Données projet'!$A$114&gt;35,BY70+BX71-CG70,IF(A71&lt;'Données projet'!$A$114,$BV$205^A71,IF(A71='Données projet'!$A$114,'Données projet'!$B$114,BY70+BX71-CG70)))</f>
        <v>466.27599999999978</v>
      </c>
      <c r="BZ71" s="13">
        <f>BY71*VLOOKUP('Données projet'!$B$12,Paramètres!$A$1:$I$89,3,0)*VLOOKUP('Données projet'!$B$12,Paramètres!$A$1:$I$89,5,0)</f>
        <v>278.83304799999985</v>
      </c>
      <c r="CA71" s="13">
        <f t="shared" si="93"/>
        <v>66.720338466956676</v>
      </c>
      <c r="CB71" s="20">
        <f t="shared" si="64"/>
        <v>601.83881476328258</v>
      </c>
      <c r="CC71" s="59">
        <f t="shared" si="65"/>
        <v>867.28519889050142</v>
      </c>
      <c r="CD71" s="59">
        <f ca="1">AVERAGE(OFFSET($CC$3,0,0,'Données projet'!$E$12+1,1))-AVERAGE(OFFSET($H$3,0,0,'Données projet'!$E$12+1,1))</f>
        <v>373.61861223558259</v>
      </c>
      <c r="CE71" s="59">
        <f t="shared" si="94"/>
        <v>277.62293009761049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37.993289200354369</v>
      </c>
      <c r="CL71" s="21">
        <f>EXP(-LN(2)/25)*CL70+(1-EXP(-LN(2)/25))/(LN(2)/25)*Calculateur!CG71*Calculateur!CI71*VLOOKUP('Données projet'!$B$12,Paramètres!$A$1:$I$89,3,0)*0.475*44/12</f>
        <v>15.487619401034397</v>
      </c>
      <c r="CM71" s="21">
        <f>EXP(-LN(2)/2)*CM70+(1-EXP(-LN(2)/2))/(LN(2)/2)*CG71*CJ71*VLOOKUP('Données projet'!$B$12,Paramètres!$A$1:$I$89,3,0)*0.475*44/12</f>
        <v>0.61057739060926897</v>
      </c>
      <c r="CN71" s="22">
        <f t="shared" si="66"/>
        <v>54.091485991998034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12.795000000000002</v>
      </c>
      <c r="N72" s="13">
        <f>IF('Données projet'!$A$36&gt;35,N71+M72-V71,IF(A72&lt;'Données projet'!$A$36,$K$205^A72,IF(A72='Données projet'!$A$36,'Données projet'!$B$36,N71+M72-V71)))</f>
        <v>350.82500000000005</v>
      </c>
      <c r="O72" s="13">
        <f>N72*VLOOKUP('Données projet'!$B$9,Paramètres!$A$1:$I$89,3,0)*VLOOKUP('Données projet'!$B$9,Paramètres!$A$1:$I$89,5,0)</f>
        <v>317.42646000000008</v>
      </c>
      <c r="P72" s="13">
        <f t="shared" si="87"/>
        <v>74.817627226984229</v>
      </c>
      <c r="Q72" s="20">
        <f t="shared" si="54"/>
        <v>683.158451920331</v>
      </c>
      <c r="R72" s="59">
        <f t="shared" si="55"/>
        <v>949.08861227039756</v>
      </c>
      <c r="S72" s="59">
        <f ca="1">AVERAGE(OFFSET($R$3,0,0,'Données projet'!$E$9+1,1))-AVERAGE(OFFSET($H$3,0,0,'Données projet'!$E$9+1,1))</f>
        <v>737.40414421611001</v>
      </c>
      <c r="T72" s="59">
        <f t="shared" si="88"/>
        <v>245.32893490531674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18.81744337229496</v>
      </c>
      <c r="AA72" s="21">
        <f>EXP(-LN(2)/25)*AA71+(1-EXP(-LN(2)/25))/(LN(2)/25)*Calculateur!V72*Calculateur!X72*VLOOKUP('Données projet'!$B$9,Paramètres!$A$1:$I$89,3,0)*0.475*44/12</f>
        <v>38.683774965962414</v>
      </c>
      <c r="AB72" s="21">
        <f>EXP(-LN(2)/2)*AB71+(1-EXP(-LN(2)/2))/(LN(2)/2)*V72*Y72*VLOOKUP('Données projet'!$B$9,Paramètres!$A$1:$I$89,3,0)*0.475*44/12</f>
        <v>2.4501267846532024</v>
      </c>
      <c r="AC72" s="22">
        <f t="shared" si="57"/>
        <v>59.951345122910574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1.3999999999999773</v>
      </c>
      <c r="AJ72" s="13">
        <f>AI72*VLOOKUP('Données projet'!$B$10,Paramètres!$A$1:$I$89,3,0)*VLOOKUP('Données projet'!$B$10,Paramètres!$A$1:$I$89,5,0)</f>
        <v>0.83719999999998651</v>
      </c>
      <c r="AK72" s="13">
        <f t="shared" si="89"/>
        <v>0.39388003094446933</v>
      </c>
      <c r="AL72" s="20">
        <f t="shared" si="58"/>
        <v>2.144131053894927</v>
      </c>
      <c r="AM72" s="59">
        <f t="shared" si="59"/>
        <v>268.07429140396147</v>
      </c>
      <c r="AN72" s="59">
        <f ca="1">AVERAGE(OFFSET($AM$3,0,0,'Données projet'!$E$10+1,1))-AVERAGE(OFFSET($H$3,0,0,'Données projet'!$E$10+1,1))</f>
        <v>318.6615972007902</v>
      </c>
      <c r="AO72" s="59">
        <f t="shared" si="90"/>
        <v>326.82168950869504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115.74852875285134</v>
      </c>
      <c r="AV72" s="21">
        <f>EXP(-LN(2)/25)*AV71+(1-EXP(-LN(2)/25))/(LN(2)/25)*Calculateur!AQ72*Calculateur!AS72*VLOOKUP('Données projet'!$B$10,Paramètres!$A$1:$I$89,3,0)*0.475*44/12</f>
        <v>37.578017291232733</v>
      </c>
      <c r="AW72" s="21">
        <f>EXP(-LN(2)/2)*AW71+(1-EXP(-LN(2)/2))/(LN(2)/2)*AQ72*AT72*VLOOKUP('Données projet'!$B$10,Paramètres!$A$1:$I$89,3,0)*0.475*44/12</f>
        <v>2.6414324594359115</v>
      </c>
      <c r="AX72" s="21">
        <f t="shared" si="60"/>
        <v>155.96797850351999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4.2</v>
      </c>
      <c r="BD72" s="12">
        <f>IF('Données projet'!$A$88&gt;35,BD71+BC72-BL71,IF(A72&lt;'Données projet'!$A$88,$BA$205^A72,IF(A72='Données projet'!$A$88,'Données projet'!$B$88,BD71+BC72-BL71)))</f>
        <v>188.79999999999993</v>
      </c>
      <c r="BE72" s="13">
        <f>BD72*VLOOKUP('Données projet'!$B$11,Paramètres!$A$1:$I$89,3,0)*VLOOKUP('Données projet'!$B$11,Paramètres!$A$1:$I$89,5,0)</f>
        <v>191.44319999999993</v>
      </c>
      <c r="BF72" s="13">
        <f t="shared" si="91"/>
        <v>47.858883224170206</v>
      </c>
      <c r="BG72" s="20">
        <f t="shared" si="61"/>
        <v>416.78446161542962</v>
      </c>
      <c r="BH72" s="59">
        <f t="shared" si="62"/>
        <v>682.71462196549624</v>
      </c>
      <c r="BI72" s="59">
        <f ca="1">AVERAGE(OFFSET($BH$3,0,0,'Données projet'!$E$11+1,1))-AVERAGE(OFFSET($H$3,0,0,'Données projet'!$E$11+1,1))</f>
        <v>402.96916953216805</v>
      </c>
      <c r="BJ72" s="59">
        <f t="shared" si="92"/>
        <v>164.89273051331318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5.3897445624820133</v>
      </c>
      <c r="BR72" s="21">
        <f>EXP(-LN(2)/2)*BR71+(1-EXP(-LN(2)/2))/(LN(2)/2)*BL72*BO72*VLOOKUP('Données projet'!$B$11,Paramètres!$A$1:$I$89,3,0)*0.475*44/12</f>
        <v>0.79859394045270238</v>
      </c>
      <c r="BS72" s="22">
        <f t="shared" si="63"/>
        <v>6.188338502934716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11.896999999999997</v>
      </c>
      <c r="BY72" s="12">
        <f>IF('Données projet'!$A$114&gt;35,BY71+BX72-CG71,IF(A72&lt;'Données projet'!$A$114,$BV$205^A72,IF(A72='Données projet'!$A$114,'Données projet'!$B$114,BY71+BX72-CG71)))</f>
        <v>478.17299999999977</v>
      </c>
      <c r="BZ72" s="13">
        <f>BY72*VLOOKUP('Données projet'!$B$12,Paramètres!$A$1:$I$89,3,0)*VLOOKUP('Données projet'!$B$12,Paramètres!$A$1:$I$89,5,0)</f>
        <v>285.94745399999988</v>
      </c>
      <c r="CA72" s="13">
        <f t="shared" si="93"/>
        <v>68.222335259457765</v>
      </c>
      <c r="CB72" s="20">
        <f t="shared" si="64"/>
        <v>616.84571629355526</v>
      </c>
      <c r="CC72" s="59">
        <f t="shared" si="65"/>
        <v>882.77587664362181</v>
      </c>
      <c r="CD72" s="59">
        <f ca="1">AVERAGE(OFFSET($CC$3,0,0,'Données projet'!$E$12+1,1))-AVERAGE(OFFSET($H$3,0,0,'Données projet'!$E$12+1,1))</f>
        <v>373.61861223558259</v>
      </c>
      <c r="CE72" s="59">
        <f t="shared" si="94"/>
        <v>277.62293009761049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37.248263972753627</v>
      </c>
      <c r="CL72" s="21">
        <f>EXP(-LN(2)/25)*CL71+(1-EXP(-LN(2)/25))/(LN(2)/25)*Calculateur!CG72*Calculateur!CI72*VLOOKUP('Données projet'!$B$12,Paramètres!$A$1:$I$89,3,0)*0.475*44/12</f>
        <v>15.064109634054605</v>
      </c>
      <c r="CM72" s="21">
        <f>EXP(-LN(2)/2)*CM71+(1-EXP(-LN(2)/2))/(LN(2)/2)*CG72*CJ72*VLOOKUP('Données projet'!$B$12,Paramètres!$A$1:$I$89,3,0)*0.475*44/12</f>
        <v>0.43174341333900151</v>
      </c>
      <c r="CN72" s="22">
        <f t="shared" si="66"/>
        <v>52.744117020147229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12.795000000000002</v>
      </c>
      <c r="N73" s="13">
        <f>IF('Données projet'!$A$36&gt;35,N72+M73-V72,IF(A73&lt;'Données projet'!$A$36,$K$205^A73,IF(A73='Données projet'!$A$36,'Données projet'!$B$36,N72+M73-V72)))</f>
        <v>363.62000000000006</v>
      </c>
      <c r="O73" s="13">
        <f>N73*VLOOKUP('Données projet'!$B$9,Paramètres!$A$1:$I$89,3,0)*VLOOKUP('Données projet'!$B$9,Paramètres!$A$1:$I$89,5,0)</f>
        <v>329.00337600000006</v>
      </c>
      <c r="P73" s="13">
        <f t="shared" si="87"/>
        <v>77.2236452302744</v>
      </c>
      <c r="Q73" s="20">
        <f t="shared" si="54"/>
        <v>707.51206197606132</v>
      </c>
      <c r="R73" s="59">
        <f t="shared" si="55"/>
        <v>973.91760611307086</v>
      </c>
      <c r="S73" s="59">
        <f ca="1">AVERAGE(OFFSET($R$3,0,0,'Données projet'!$E$9+1,1))-AVERAGE(OFFSET($H$3,0,0,'Données projet'!$E$9+1,1))</f>
        <v>737.40414421611001</v>
      </c>
      <c r="T73" s="59">
        <f t="shared" si="88"/>
        <v>245.32893490531674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18.448444785271402</v>
      </c>
      <c r="AA73" s="21">
        <f>EXP(-LN(2)/25)*AA72+(1-EXP(-LN(2)/25))/(LN(2)/25)*Calculateur!V73*Calculateur!X73*VLOOKUP('Données projet'!$B$9,Paramètres!$A$1:$I$89,3,0)*0.475*44/12</f>
        <v>37.625965105226861</v>
      </c>
      <c r="AB73" s="21">
        <f>EXP(-LN(2)/2)*AB72+(1-EXP(-LN(2)/2))/(LN(2)/2)*V73*Y73*VLOOKUP('Données projet'!$B$9,Paramètres!$A$1:$I$89,3,0)*0.475*44/12</f>
        <v>1.7325012641950714</v>
      </c>
      <c r="AC73" s="22">
        <f t="shared" si="57"/>
        <v>57.806911154693331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1.3999999999999773</v>
      </c>
      <c r="AJ73" s="13">
        <f>AI73*VLOOKUP('Données projet'!$B$10,Paramètres!$A$1:$I$89,3,0)*VLOOKUP('Données projet'!$B$10,Paramètres!$A$1:$I$89,5,0)</f>
        <v>0.83719999999998651</v>
      </c>
      <c r="AK73" s="13">
        <f t="shared" si="89"/>
        <v>0.39388003094446933</v>
      </c>
      <c r="AL73" s="20">
        <f t="shared" si="58"/>
        <v>2.144131053894927</v>
      </c>
      <c r="AM73" s="59">
        <f t="shared" si="59"/>
        <v>268.5496751909044</v>
      </c>
      <c r="AN73" s="59">
        <f ca="1">AVERAGE(OFFSET($AM$3,0,0,'Données projet'!$E$10+1,1))-AVERAGE(OFFSET($H$3,0,0,'Données projet'!$E$10+1,1))</f>
        <v>318.6615972007902</v>
      </c>
      <c r="AO73" s="59">
        <f t="shared" si="90"/>
        <v>326.82168950869504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113.47877070363933</v>
      </c>
      <c r="AV73" s="21">
        <f>EXP(-LN(2)/25)*AV72+(1-EXP(-LN(2)/25))/(LN(2)/25)*Calculateur!AQ73*Calculateur!AS73*VLOOKUP('Données projet'!$B$10,Paramètres!$A$1:$I$89,3,0)*0.475*44/12</f>
        <v>36.550444432261934</v>
      </c>
      <c r="AW73" s="21">
        <f>EXP(-LN(2)/2)*AW72+(1-EXP(-LN(2)/2))/(LN(2)/2)*AQ73*AT73*VLOOKUP('Données projet'!$B$10,Paramètres!$A$1:$I$89,3,0)*0.475*44/12</f>
        <v>1.8677748041133932</v>
      </c>
      <c r="AX73" s="21">
        <f t="shared" si="60"/>
        <v>151.89698994001466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193</v>
      </c>
      <c r="BB73" s="12">
        <f>VLOOKUP(A73,'Données projet'!$A$87:$I$107,9,0)</f>
        <v>4.2</v>
      </c>
      <c r="BC73" s="12">
        <f t="array" ref="BC73">INDEX(BB:BB,MIN(IF(ISNUMBER(BB73:BB269),ROW(BB73:BB269),"")))</f>
        <v>4.2</v>
      </c>
      <c r="BD73" s="12">
        <f>IF('Données projet'!$A$88&gt;35,BD72+BC73-BL72,IF(A73&lt;'Données projet'!$A$88,$BA$205^A73,IF(A73='Données projet'!$A$88,'Données projet'!$B$88,BD72+BC73-BL72)))</f>
        <v>192.99999999999991</v>
      </c>
      <c r="BE73" s="13">
        <f>BD73*VLOOKUP('Données projet'!$B$11,Paramètres!$A$1:$I$89,3,0)*VLOOKUP('Données projet'!$B$11,Paramètres!$A$1:$I$89,5,0)</f>
        <v>195.70199999999991</v>
      </c>
      <c r="BF73" s="13">
        <f t="shared" si="91"/>
        <v>48.79840646516984</v>
      </c>
      <c r="BG73" s="20">
        <f t="shared" si="61"/>
        <v>425.83820792683736</v>
      </c>
      <c r="BH73" s="59">
        <f t="shared" si="62"/>
        <v>692.24375206384684</v>
      </c>
      <c r="BI73" s="59">
        <f ca="1">AVERAGE(OFFSET($BH$3,0,0,'Données projet'!$E$11+1,1))-AVERAGE(OFFSET($H$3,0,0,'Données projet'!$E$11+1,1))</f>
        <v>402.96916953216805</v>
      </c>
      <c r="BJ73" s="59">
        <f t="shared" si="92"/>
        <v>164.89273051331318</v>
      </c>
      <c r="BK73" s="15">
        <f>IF(ISNA(VLOOKUP(A73,'Données projet'!$A$87:$I$107,3,0)),0,VLOOKUP(A73,'Données projet'!$A$87:$I$107,3,0))</f>
        <v>8</v>
      </c>
      <c r="BL73" s="15">
        <f>IF(ISNA(VLOOKUP(A73,'Données projet'!$A$87:$I$107,4,0)),0,VLOOKUP(A73,'Données projet'!$A$87:$I$107,4,0))</f>
        <v>10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0.1075</v>
      </c>
      <c r="BO73" s="16">
        <f>IF(ISNA(VLOOKUP(A73,'Données projet'!$A$87:$I$107,7,0)),0%,VLOOKUP(A73,'Données projet'!$A$87:$I$107,7,0))</f>
        <v>0.25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6.4426350862329915</v>
      </c>
      <c r="BR73" s="21">
        <f>EXP(-LN(2)/2)*BR72+(1-EXP(-LN(2)/2))/(LN(2)/2)*BL73*BO73*VLOOKUP('Données projet'!$B$11,Paramètres!$A$1:$I$89,3,0)*0.475*44/12</f>
        <v>2.9565319192332509</v>
      </c>
      <c r="BS73" s="22">
        <f t="shared" si="63"/>
        <v>9.3991670054662428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490.07</v>
      </c>
      <c r="BW73" s="12">
        <f>VLOOKUP(A73,'Données projet'!$A$113:$I$133,9,0)</f>
        <v>11.896999999999997</v>
      </c>
      <c r="BX73" s="12">
        <f t="array" ref="BX73">INDEX(BW:BW,MIN(IF(ISNUMBER(BW73:BW269),ROW(BW73:BW269),"")))</f>
        <v>11.896999999999997</v>
      </c>
      <c r="BY73" s="12">
        <f>IF('Données projet'!$A$114&gt;35,BY72+BX73-CG72,IF(A73&lt;'Données projet'!$A$114,$BV$205^A73,IF(A73='Données projet'!$A$114,'Données projet'!$B$114,BY72+BX73-CG72)))</f>
        <v>490.06999999999977</v>
      </c>
      <c r="BZ73" s="13">
        <f>BY73*VLOOKUP('Données projet'!$B$12,Paramètres!$A$1:$I$89,3,0)*VLOOKUP('Données projet'!$B$12,Paramètres!$A$1:$I$89,5,0)</f>
        <v>293.06185999999991</v>
      </c>
      <c r="CA73" s="13">
        <f t="shared" si="93"/>
        <v>69.719988019761743</v>
      </c>
      <c r="CB73" s="20">
        <f t="shared" si="64"/>
        <v>631.84505196775149</v>
      </c>
      <c r="CC73" s="59">
        <f t="shared" si="65"/>
        <v>898.25059610476092</v>
      </c>
      <c r="CD73" s="59">
        <f ca="1">AVERAGE(OFFSET($CC$3,0,0,'Données projet'!$E$12+1,1))-AVERAGE(OFFSET($H$3,0,0,'Données projet'!$E$12+1,1))</f>
        <v>373.61861223558259</v>
      </c>
      <c r="CE73" s="59">
        <f t="shared" si="94"/>
        <v>277.62293009761049</v>
      </c>
      <c r="CF73" s="15">
        <f>IF(ISNA(VLOOKUP(A73,'Données projet'!$A$113:$I$133,3,0)),0,VLOOKUP(A73,'Données projet'!$A$113:$I$133,3,0))</f>
        <v>7</v>
      </c>
      <c r="CG73" s="15">
        <f>IF(ISNA(VLOOKUP(A73,'Données projet'!$A$113:$I$133,4,0)),0,VLOOKUP(A73,'Données projet'!$A$113:$I$133,4,0))</f>
        <v>67.88</v>
      </c>
      <c r="CH73" s="16">
        <f>IF(ISNA(VLOOKUP(A73,'Données projet'!$A$113:$I$133,5,0)),0%,VLOOKUP(A73,'Données projet'!$A$113:$I$133,5,0)*VLOOKUP('Données projet'!$B$12,Paramètres!$A$1:$I$89,7,0))</f>
        <v>0.27</v>
      </c>
      <c r="CI73" s="16">
        <f>IF(ISNA(VLOOKUP(A73,'Données projet'!$A$113:$I$133,6,0)),0%,VLOOKUP(A73,'Données projet'!$A$113:$I$133,6,0)*VLOOKUP('Données projet'!$B$12,Paramètres!$A$1:$I$89,7,0))</f>
        <v>9.0000000000000011E-2</v>
      </c>
      <c r="CJ73" s="16">
        <f>IF(ISNA(VLOOKUP(A73,'Données projet'!$A$113:$I$133,7,0)),0%,VLOOKUP(A73,'Données projet'!$A$113:$I$133,7,0))</f>
        <v>0.2</v>
      </c>
      <c r="CK73" s="21">
        <f>EXP(-LN(2)/35)*CK72+(1-EXP(-LN(2)/35))/(LN(2)/35)*CG73*CH73*VLOOKUP('Données projet'!$B$12,Paramètres!$A$1:$I$89,3,0)*0.475*44/12</f>
        <v>51.056868378126822</v>
      </c>
      <c r="CL73" s="21">
        <f>EXP(-LN(2)/25)*CL72+(1-EXP(-LN(2)/25))/(LN(2)/25)*Calculateur!CG73*Calculateur!CI73*VLOOKUP('Données projet'!$B$12,Paramètres!$A$1:$I$89,3,0)*0.475*44/12</f>
        <v>19.479438924117112</v>
      </c>
      <c r="CM73" s="21">
        <f>EXP(-LN(2)/2)*CM72+(1-EXP(-LN(2)/2))/(LN(2)/2)*CG73*CJ73*VLOOKUP('Données projet'!$B$12,Paramètres!$A$1:$I$89,3,0)*0.475*44/12</f>
        <v>9.4972577266937765</v>
      </c>
      <c r="CN73" s="22">
        <f t="shared" si="66"/>
        <v>80.033565028937701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12.795000000000002</v>
      </c>
      <c r="N74" s="13">
        <f>IF('Données projet'!$A$36&gt;35,N73+M74-V73,IF(A74&lt;'Données projet'!$A$36,$K$205^A74,IF(A74='Données projet'!$A$36,'Données projet'!$B$36,N73+M74-V73)))</f>
        <v>376.41500000000008</v>
      </c>
      <c r="O74" s="13">
        <f>N74*VLOOKUP('Données projet'!$B$9,Paramètres!$A$1:$I$89,3,0)*VLOOKUP('Données projet'!$B$9,Paramètres!$A$1:$I$89,5,0)</f>
        <v>340.58029200000004</v>
      </c>
      <c r="P74" s="13">
        <f t="shared" si="87"/>
        <v>79.619826521430525</v>
      </c>
      <c r="Q74" s="20">
        <f t="shared" si="54"/>
        <v>731.84853975815815</v>
      </c>
      <c r="R74" s="59">
        <f t="shared" si="55"/>
        <v>998.72122083620616</v>
      </c>
      <c r="S74" s="59">
        <f ca="1">AVERAGE(OFFSET($R$3,0,0,'Données projet'!$E$9+1,1))-AVERAGE(OFFSET($H$3,0,0,'Données projet'!$E$9+1,1))</f>
        <v>737.40414421611001</v>
      </c>
      <c r="T74" s="59">
        <f t="shared" si="88"/>
        <v>245.32893490531674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18.086682035472464</v>
      </c>
      <c r="AA74" s="21">
        <f>EXP(-LN(2)/25)*AA73+(1-EXP(-LN(2)/25))/(LN(2)/25)*Calculateur!V74*Calculateur!X74*VLOOKUP('Données projet'!$B$9,Paramètres!$A$1:$I$89,3,0)*0.475*44/12</f>
        <v>36.597081110760925</v>
      </c>
      <c r="AB74" s="21">
        <f>EXP(-LN(2)/2)*AB73+(1-EXP(-LN(2)/2))/(LN(2)/2)*V74*Y74*VLOOKUP('Données projet'!$B$9,Paramètres!$A$1:$I$89,3,0)*0.475*44/12</f>
        <v>1.2250633923266014</v>
      </c>
      <c r="AC74" s="22">
        <f t="shared" si="57"/>
        <v>55.908826538559993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1.3999999999999773</v>
      </c>
      <c r="AJ74" s="13">
        <f>AI74*VLOOKUP('Données projet'!$B$10,Paramètres!$A$1:$I$89,3,0)*VLOOKUP('Données projet'!$B$10,Paramètres!$A$1:$I$89,5,0)</f>
        <v>0.83719999999998651</v>
      </c>
      <c r="AK74" s="13">
        <f t="shared" si="89"/>
        <v>0.39388003094446933</v>
      </c>
      <c r="AL74" s="20">
        <f t="shared" si="58"/>
        <v>2.144131053894927</v>
      </c>
      <c r="AM74" s="59">
        <f t="shared" si="59"/>
        <v>269.01681213194286</v>
      </c>
      <c r="AN74" s="59">
        <f ca="1">AVERAGE(OFFSET($AM$3,0,0,'Données projet'!$E$10+1,1))-AVERAGE(OFFSET($H$3,0,0,'Données projet'!$E$10+1,1))</f>
        <v>318.6615972007902</v>
      </c>
      <c r="AO74" s="59">
        <f t="shared" si="90"/>
        <v>326.82168950869504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111.25352122535665</v>
      </c>
      <c r="AV74" s="21">
        <f>EXP(-LN(2)/25)*AV73+(1-EXP(-LN(2)/25))/(LN(2)/25)*Calculateur!AQ74*Calculateur!AS74*VLOOKUP('Données projet'!$B$10,Paramètres!$A$1:$I$89,3,0)*0.475*44/12</f>
        <v>35.550970607157396</v>
      </c>
      <c r="AW74" s="21">
        <f>EXP(-LN(2)/2)*AW73+(1-EXP(-LN(2)/2))/(LN(2)/2)*AQ74*AT74*VLOOKUP('Données projet'!$B$10,Paramètres!$A$1:$I$89,3,0)*0.475*44/12</f>
        <v>1.320716229717956</v>
      </c>
      <c r="AX74" s="21">
        <f t="shared" si="60"/>
        <v>148.12520806223199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</v>
      </c>
      <c r="BD74" s="12">
        <f>IF('Données projet'!$A$88&gt;35,BD73+BC74-BL73,IF(A74&lt;'Données projet'!$A$88,$BA$205^A74,IF(A74='Données projet'!$A$88,'Données projet'!$B$88,BD73+BC74-BL73)))</f>
        <v>186.99999999999991</v>
      </c>
      <c r="BE74" s="13">
        <f>BD74*VLOOKUP('Données projet'!$B$11,Paramètres!$A$1:$I$89,3,0)*VLOOKUP('Données projet'!$B$11,Paramètres!$A$1:$I$89,5,0)</f>
        <v>189.61799999999994</v>
      </c>
      <c r="BF74" s="13">
        <f t="shared" si="91"/>
        <v>47.4554881852685</v>
      </c>
      <c r="BG74" s="20">
        <f t="shared" si="61"/>
        <v>412.90299192267588</v>
      </c>
      <c r="BH74" s="59">
        <f t="shared" si="62"/>
        <v>679.77567300072383</v>
      </c>
      <c r="BI74" s="59">
        <f ca="1">AVERAGE(OFFSET($BH$3,0,0,'Données projet'!$E$11+1,1))-AVERAGE(OFFSET($H$3,0,0,'Données projet'!$E$11+1,1))</f>
        <v>402.96916953216805</v>
      </c>
      <c r="BJ74" s="59">
        <f t="shared" si="92"/>
        <v>164.89273051331318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6.2664608909964956</v>
      </c>
      <c r="BR74" s="21">
        <f>EXP(-LN(2)/2)*BR73+(1-EXP(-LN(2)/2))/(LN(2)/2)*BL74*BO74*VLOOKUP('Données projet'!$B$11,Paramètres!$A$1:$I$89,3,0)*0.475*44/12</f>
        <v>2.0905837688843101</v>
      </c>
      <c r="BS74" s="22">
        <f t="shared" si="63"/>
        <v>8.3570446598808061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9.7839999999999971</v>
      </c>
      <c r="BY74" s="12">
        <f>IF('Données projet'!$A$114&gt;35,BY73+BX74-CG73,IF(A74&lt;'Données projet'!$A$114,$BV$205^A74,IF(A74='Données projet'!$A$114,'Données projet'!$B$114,BY73+BX74-CG73)))</f>
        <v>431.97399999999976</v>
      </c>
      <c r="BZ74" s="13">
        <f>BY74*VLOOKUP('Données projet'!$B$12,Paramètres!$A$1:$I$89,3,0)*VLOOKUP('Données projet'!$B$12,Paramètres!$A$1:$I$89,5,0)</f>
        <v>258.32045199999988</v>
      </c>
      <c r="CA74" s="13">
        <f t="shared" si="93"/>
        <v>62.364231271731597</v>
      </c>
      <c r="CB74" s="20">
        <f t="shared" si="64"/>
        <v>558.52582336493231</v>
      </c>
      <c r="CC74" s="59">
        <f t="shared" si="65"/>
        <v>825.39850444298031</v>
      </c>
      <c r="CD74" s="59">
        <f ca="1">AVERAGE(OFFSET($CC$3,0,0,'Données projet'!$E$12+1,1))-AVERAGE(OFFSET($H$3,0,0,'Données projet'!$E$12+1,1))</f>
        <v>373.61861223558259</v>
      </c>
      <c r="CE74" s="59">
        <f t="shared" si="94"/>
        <v>277.62293009761049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50.055674330846486</v>
      </c>
      <c r="CL74" s="21">
        <f>EXP(-LN(2)/25)*CL73+(1-EXP(-LN(2)/25))/(LN(2)/25)*Calculateur!CG74*Calculateur!CI74*VLOOKUP('Données projet'!$B$12,Paramètres!$A$1:$I$89,3,0)*0.475*44/12</f>
        <v>18.946772642357956</v>
      </c>
      <c r="CM74" s="21">
        <f>EXP(-LN(2)/2)*CM73+(1-EXP(-LN(2)/2))/(LN(2)/2)*CG74*CJ74*VLOOKUP('Données projet'!$B$12,Paramètres!$A$1:$I$89,3,0)*0.475*44/12</f>
        <v>6.7155753412215047</v>
      </c>
      <c r="CN74" s="22">
        <f t="shared" si="66"/>
        <v>75.718022314425951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12.795000000000002</v>
      </c>
      <c r="N75" s="13">
        <f>IF('Données projet'!$A$36&gt;35,N74+M75-V74,IF(A75&lt;'Données projet'!$A$36,$K$205^A75,IF(A75='Données projet'!$A$36,'Données projet'!$B$36,N74+M75-V74)))</f>
        <v>389.21000000000009</v>
      </c>
      <c r="O75" s="13">
        <f>N75*VLOOKUP('Données projet'!$B$9,Paramètres!$A$1:$I$89,3,0)*VLOOKUP('Données projet'!$B$9,Paramètres!$A$1:$I$89,5,0)</f>
        <v>352.15720800000008</v>
      </c>
      <c r="P75" s="13">
        <f t="shared" si="87"/>
        <v>82.006543796021603</v>
      </c>
      <c r="Q75" s="20">
        <f t="shared" si="54"/>
        <v>756.16853437807106</v>
      </c>
      <c r="R75" s="59">
        <f t="shared" si="55"/>
        <v>1023.5002486155922</v>
      </c>
      <c r="S75" s="59">
        <f ca="1">AVERAGE(OFFSET($R$3,0,0,'Données projet'!$E$9+1,1))-AVERAGE(OFFSET($H$3,0,0,'Données projet'!$E$9+1,1))</f>
        <v>737.40414421611001</v>
      </c>
      <c r="T75" s="59">
        <f t="shared" si="88"/>
        <v>245.32893490531674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17.732013232543594</v>
      </c>
      <c r="AA75" s="21">
        <f>EXP(-LN(2)/25)*AA74+(1-EXP(-LN(2)/25))/(LN(2)/25)*Calculateur!V75*Calculateur!X75*VLOOKUP('Données projet'!$B$9,Paramètres!$A$1:$I$89,3,0)*0.475*44/12</f>
        <v>35.596332003230316</v>
      </c>
      <c r="AB75" s="21">
        <f>EXP(-LN(2)/2)*AB74+(1-EXP(-LN(2)/2))/(LN(2)/2)*V75*Y75*VLOOKUP('Données projet'!$B$9,Paramètres!$A$1:$I$89,3,0)*0.475*44/12</f>
        <v>0.86625063209753583</v>
      </c>
      <c r="AC75" s="22">
        <f t="shared" si="57"/>
        <v>54.194595867871442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1.3999999999999773</v>
      </c>
      <c r="AJ75" s="13">
        <f>AI75*VLOOKUP('Données projet'!$B$10,Paramètres!$A$1:$I$89,3,0)*VLOOKUP('Données projet'!$B$10,Paramètres!$A$1:$I$89,5,0)</f>
        <v>0.83719999999998651</v>
      </c>
      <c r="AK75" s="13">
        <f t="shared" si="89"/>
        <v>0.39388003094446933</v>
      </c>
      <c r="AL75" s="20">
        <f t="shared" si="58"/>
        <v>2.144131053894927</v>
      </c>
      <c r="AM75" s="59">
        <f t="shared" si="59"/>
        <v>269.47584529141602</v>
      </c>
      <c r="AN75" s="59">
        <f ca="1">AVERAGE(OFFSET($AM$3,0,0,'Données projet'!$E$10+1,1))-AVERAGE(OFFSET($H$3,0,0,'Données projet'!$E$10+1,1))</f>
        <v>318.6615972007902</v>
      </c>
      <c r="AO75" s="59">
        <f t="shared" si="90"/>
        <v>326.82168950869504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109.07190753207493</v>
      </c>
      <c r="AV75" s="21">
        <f>EXP(-LN(2)/25)*AV74+(1-EXP(-LN(2)/25))/(LN(2)/25)*Calculateur!AQ75*Calculateur!AS75*VLOOKUP('Données projet'!$B$10,Paramètres!$A$1:$I$89,3,0)*0.475*44/12</f>
        <v>34.578827446360386</v>
      </c>
      <c r="AW75" s="21">
        <f>EXP(-LN(2)/2)*AW74+(1-EXP(-LN(2)/2))/(LN(2)/2)*AQ75*AT75*VLOOKUP('Données projet'!$B$10,Paramètres!$A$1:$I$89,3,0)*0.475*44/12</f>
        <v>0.93388740205669685</v>
      </c>
      <c r="AX75" s="21">
        <f t="shared" si="60"/>
        <v>144.58462238049199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</v>
      </c>
      <c r="BD75" s="12">
        <f>IF('Données projet'!$A$88&gt;35,BD74+BC75-BL74,IF(A75&lt;'Données projet'!$A$88,$BA$205^A75,IF(A75='Données projet'!$A$88,'Données projet'!$B$88,BD74+BC75-BL74)))</f>
        <v>190.99999999999991</v>
      </c>
      <c r="BE75" s="13">
        <f>BD75*VLOOKUP('Données projet'!$B$11,Paramètres!$A$1:$I$89,3,0)*VLOOKUP('Données projet'!$B$11,Paramètres!$A$1:$I$89,5,0)</f>
        <v>193.67399999999992</v>
      </c>
      <c r="BF75" s="13">
        <f t="shared" si="91"/>
        <v>48.351314467254007</v>
      </c>
      <c r="BG75" s="20">
        <f t="shared" si="61"/>
        <v>421.52742269713394</v>
      </c>
      <c r="BH75" s="59">
        <f t="shared" si="62"/>
        <v>688.859136934655</v>
      </c>
      <c r="BI75" s="59">
        <f ca="1">AVERAGE(OFFSET($BH$3,0,0,'Données projet'!$E$11+1,1))-AVERAGE(OFFSET($H$3,0,0,'Données projet'!$E$11+1,1))</f>
        <v>402.96916953216805</v>
      </c>
      <c r="BJ75" s="59">
        <f t="shared" si="92"/>
        <v>164.89273051331318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6.0951041883933401</v>
      </c>
      <c r="BR75" s="21">
        <f>EXP(-LN(2)/2)*BR74+(1-EXP(-LN(2)/2))/(LN(2)/2)*BL75*BO75*VLOOKUP('Données projet'!$B$11,Paramètres!$A$1:$I$89,3,0)*0.475*44/12</f>
        <v>1.4782659596166259</v>
      </c>
      <c r="BS75" s="22">
        <f t="shared" si="63"/>
        <v>7.5733701480099658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9.7839999999999971</v>
      </c>
      <c r="BY75" s="12">
        <f>IF('Données projet'!$A$114&gt;35,BY74+BX75-CG74,IF(A75&lt;'Données projet'!$A$114,$BV$205^A75,IF(A75='Données projet'!$A$114,'Données projet'!$B$114,BY74+BX75-CG74)))</f>
        <v>441.75799999999975</v>
      </c>
      <c r="BZ75" s="13">
        <f>BY75*VLOOKUP('Données projet'!$B$12,Paramètres!$A$1:$I$89,3,0)*VLOOKUP('Données projet'!$B$12,Paramètres!$A$1:$I$89,5,0)</f>
        <v>264.1712839999999</v>
      </c>
      <c r="CA75" s="13">
        <f t="shared" si="93"/>
        <v>63.610701832955151</v>
      </c>
      <c r="CB75" s="20">
        <f t="shared" si="64"/>
        <v>570.88695865906334</v>
      </c>
      <c r="CC75" s="59">
        <f t="shared" si="65"/>
        <v>838.21867289658439</v>
      </c>
      <c r="CD75" s="59">
        <f ca="1">AVERAGE(OFFSET($CC$3,0,0,'Données projet'!$E$12+1,1))-AVERAGE(OFFSET($H$3,0,0,'Données projet'!$E$12+1,1))</f>
        <v>373.61861223558259</v>
      </c>
      <c r="CE75" s="59">
        <f t="shared" si="94"/>
        <v>277.62293009761049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49.074113088165248</v>
      </c>
      <c r="CL75" s="21">
        <f>EXP(-LN(2)/25)*CL74+(1-EXP(-LN(2)/25))/(LN(2)/25)*Calculateur!CG75*Calculateur!CI75*VLOOKUP('Données projet'!$B$12,Paramètres!$A$1:$I$89,3,0)*0.475*44/12</f>
        <v>18.428672148085209</v>
      </c>
      <c r="CM75" s="21">
        <f>EXP(-LN(2)/2)*CM74+(1-EXP(-LN(2)/2))/(LN(2)/2)*CG75*CJ75*VLOOKUP('Données projet'!$B$12,Paramètres!$A$1:$I$89,3,0)*0.475*44/12</f>
        <v>4.7486288633468892</v>
      </c>
      <c r="CN75" s="22">
        <f t="shared" si="66"/>
        <v>72.251414099597355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12.795000000000002</v>
      </c>
      <c r="N76" s="13">
        <f>IF('Données projet'!$A$36&gt;35,N75+M76-V75,IF(A76&lt;'Données projet'!$A$36,$K$205^A76,IF(A76='Données projet'!$A$36,'Données projet'!$B$36,N75+M76-V75)))</f>
        <v>402.00500000000011</v>
      </c>
      <c r="O76" s="13">
        <f>N76*VLOOKUP('Données projet'!$B$9,Paramètres!$A$1:$I$89,3,0)*VLOOKUP('Données projet'!$B$9,Paramètres!$A$1:$I$89,5,0)</f>
        <v>363.73412400000007</v>
      </c>
      <c r="P76" s="13">
        <f t="shared" si="87"/>
        <v>84.384143854645217</v>
      </c>
      <c r="Q76" s="20">
        <f t="shared" si="54"/>
        <v>780.47264984684045</v>
      </c>
      <c r="R76" s="59">
        <f t="shared" si="55"/>
        <v>1048.2554340447623</v>
      </c>
      <c r="S76" s="59">
        <f ca="1">AVERAGE(OFFSET($R$3,0,0,'Données projet'!$E$9+1,1))-AVERAGE(OFFSET($H$3,0,0,'Données projet'!$E$9+1,1))</f>
        <v>737.40414421611001</v>
      </c>
      <c r="T76" s="59">
        <f t="shared" si="88"/>
        <v>245.32893490531674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17.384299268513548</v>
      </c>
      <c r="AA76" s="21">
        <f>EXP(-LN(2)/25)*AA75+(1-EXP(-LN(2)/25))/(LN(2)/25)*Calculateur!V76*Calculateur!X76*VLOOKUP('Données projet'!$B$9,Paramètres!$A$1:$I$89,3,0)*0.475*44/12</f>
        <v>34.622948432672239</v>
      </c>
      <c r="AB76" s="21">
        <f>EXP(-LN(2)/2)*AB75+(1-EXP(-LN(2)/2))/(LN(2)/2)*V76*Y76*VLOOKUP('Données projet'!$B$9,Paramètres!$A$1:$I$89,3,0)*0.475*44/12</f>
        <v>0.61253169616330083</v>
      </c>
      <c r="AC76" s="22">
        <f t="shared" si="57"/>
        <v>52.619779397349092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1.3999999999999773</v>
      </c>
      <c r="AJ76" s="13">
        <f>AI76*VLOOKUP('Données projet'!$B$10,Paramètres!$A$1:$I$89,3,0)*VLOOKUP('Données projet'!$B$10,Paramètres!$A$1:$I$89,5,0)</f>
        <v>0.83719999999998651</v>
      </c>
      <c r="AK76" s="13">
        <f t="shared" si="89"/>
        <v>0.39388003094446933</v>
      </c>
      <c r="AL76" s="20">
        <f t="shared" si="58"/>
        <v>2.144131053894927</v>
      </c>
      <c r="AM76" s="59">
        <f t="shared" si="59"/>
        <v>269.92691525181669</v>
      </c>
      <c r="AN76" s="59">
        <f ca="1">AVERAGE(OFFSET($AM$3,0,0,'Données projet'!$E$10+1,1))-AVERAGE(OFFSET($H$3,0,0,'Données projet'!$E$10+1,1))</f>
        <v>318.6615972007902</v>
      </c>
      <c r="AO76" s="59">
        <f t="shared" si="90"/>
        <v>326.82168950869504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106.93307395266551</v>
      </c>
      <c r="AV76" s="21">
        <f>EXP(-LN(2)/25)*AV75+(1-EXP(-LN(2)/25))/(LN(2)/25)*Calculateur!AQ76*Calculateur!AS76*VLOOKUP('Données projet'!$B$10,Paramètres!$A$1:$I$89,3,0)*0.475*44/12</f>
        <v>33.633267591418154</v>
      </c>
      <c r="AW76" s="21">
        <f>EXP(-LN(2)/2)*AW75+(1-EXP(-LN(2)/2))/(LN(2)/2)*AQ76*AT76*VLOOKUP('Données projet'!$B$10,Paramètres!$A$1:$I$89,3,0)*0.475*44/12</f>
        <v>0.66035811485897811</v>
      </c>
      <c r="AX76" s="21">
        <f t="shared" si="60"/>
        <v>141.22669965894264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</v>
      </c>
      <c r="BD76" s="12">
        <f>IF('Données projet'!$A$88&gt;35,BD75+BC76-BL75,IF(A76&lt;'Données projet'!$A$88,$BA$205^A76,IF(A76='Données projet'!$A$88,'Données projet'!$B$88,BD75+BC76-BL75)))</f>
        <v>194.99999999999991</v>
      </c>
      <c r="BE76" s="13">
        <f>BD76*VLOOKUP('Données projet'!$B$11,Paramètres!$A$1:$I$89,3,0)*VLOOKUP('Données projet'!$B$11,Paramètres!$A$1:$I$89,5,0)</f>
        <v>197.7299999999999</v>
      </c>
      <c r="BF76" s="13">
        <f t="shared" si="91"/>
        <v>49.244959487759665</v>
      </c>
      <c r="BG76" s="20">
        <f t="shared" si="61"/>
        <v>430.14805444118127</v>
      </c>
      <c r="BH76" s="59">
        <f t="shared" si="62"/>
        <v>697.93083863910306</v>
      </c>
      <c r="BI76" s="59">
        <f ca="1">AVERAGE(OFFSET($BH$3,0,0,'Données projet'!$E$11+1,1))-AVERAGE(OFFSET($H$3,0,0,'Données projet'!$E$11+1,1))</f>
        <v>402.96916953216805</v>
      </c>
      <c r="BJ76" s="59">
        <f t="shared" si="92"/>
        <v>164.89273051331318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5.9284332438341254</v>
      </c>
      <c r="BR76" s="21">
        <f>EXP(-LN(2)/2)*BR75+(1-EXP(-LN(2)/2))/(LN(2)/2)*BL76*BO76*VLOOKUP('Données projet'!$B$11,Paramètres!$A$1:$I$89,3,0)*0.475*44/12</f>
        <v>1.0452918844421553</v>
      </c>
      <c r="BS76" s="22">
        <f t="shared" si="63"/>
        <v>6.9737251282762802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9.7839999999999971</v>
      </c>
      <c r="BY76" s="12">
        <f>IF('Données projet'!$A$114&gt;35,BY75+BX76-CG75,IF(A76&lt;'Données projet'!$A$114,$BV$205^A76,IF(A76='Données projet'!$A$114,'Données projet'!$B$114,BY75+BX76-CG75)))</f>
        <v>451.54199999999975</v>
      </c>
      <c r="BZ76" s="13">
        <f>BY76*VLOOKUP('Données projet'!$B$12,Paramètres!$A$1:$I$89,3,0)*VLOOKUP('Données projet'!$B$12,Paramètres!$A$1:$I$89,5,0)</f>
        <v>270.02211599999987</v>
      </c>
      <c r="CA76" s="13">
        <f t="shared" si="93"/>
        <v>64.853962838834434</v>
      </c>
      <c r="CB76" s="20">
        <f t="shared" si="64"/>
        <v>583.24250397763637</v>
      </c>
      <c r="CC76" s="59">
        <f t="shared" si="65"/>
        <v>851.02528817555822</v>
      </c>
      <c r="CD76" s="59">
        <f ca="1">AVERAGE(OFFSET($CC$3,0,0,'Données projet'!$E$12+1,1))-AVERAGE(OFFSET($H$3,0,0,'Données projet'!$E$12+1,1))</f>
        <v>373.61861223558259</v>
      </c>
      <c r="CE76" s="59">
        <f t="shared" si="94"/>
        <v>277.62293009761049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48.111799662759744</v>
      </c>
      <c r="CL76" s="21">
        <f>EXP(-LN(2)/25)*CL75+(1-EXP(-LN(2)/25))/(LN(2)/25)*Calculateur!CG76*Calculateur!CI76*VLOOKUP('Données projet'!$B$12,Paramètres!$A$1:$I$89,3,0)*0.475*44/12</f>
        <v>17.92473913907407</v>
      </c>
      <c r="CM76" s="21">
        <f>EXP(-LN(2)/2)*CM75+(1-EXP(-LN(2)/2))/(LN(2)/2)*CG76*CJ76*VLOOKUP('Données projet'!$B$12,Paramètres!$A$1:$I$89,3,0)*0.475*44/12</f>
        <v>3.3577876706107528</v>
      </c>
      <c r="CN76" s="22">
        <f t="shared" si="66"/>
        <v>69.394326472444561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>
        <f>VLOOKUP(A77,'Données projet'!$A$35:$I$55,2,0)</f>
        <v>414.8</v>
      </c>
      <c r="L77" s="12">
        <f>VLOOKUP(A77,'Données projet'!$A$35:$I$55,9,0)</f>
        <v>12.795000000000002</v>
      </c>
      <c r="M77" s="12">
        <f t="array" ref="M77">INDEX(L:L,MIN(IF(ISNUMBER(L77:L273),ROW(L77:L273),"")))</f>
        <v>12.795000000000002</v>
      </c>
      <c r="N77" s="13">
        <f>IF('Données projet'!$A$36&gt;35,N76+M77-V76,IF(A77&lt;'Données projet'!$A$36,$K$205^A77,IF(A77='Données projet'!$A$36,'Données projet'!$B$36,N76+M77-V76)))</f>
        <v>414.80000000000013</v>
      </c>
      <c r="O77" s="13">
        <f>N77*VLOOKUP('Données projet'!$B$9,Paramètres!$A$1:$I$89,3,0)*VLOOKUP('Données projet'!$B$9,Paramètres!$A$1:$I$89,5,0)</f>
        <v>375.31104000000011</v>
      </c>
      <c r="P77" s="13">
        <f t="shared" si="87"/>
        <v>86.752950168429535</v>
      </c>
      <c r="Q77" s="20">
        <f t="shared" si="54"/>
        <v>804.76144954334825</v>
      </c>
      <c r="R77" s="59">
        <f t="shared" si="55"/>
        <v>1072.9874786462992</v>
      </c>
      <c r="S77" s="59">
        <f ca="1">AVERAGE(OFFSET($R$3,0,0,'Données projet'!$E$9+1,1))-AVERAGE(OFFSET($H$3,0,0,'Données projet'!$E$9+1,1))</f>
        <v>737.40414421611001</v>
      </c>
      <c r="T77" s="59">
        <f t="shared" si="88"/>
        <v>245.32893490531674</v>
      </c>
      <c r="U77" s="15">
        <f>IF(ISNA(VLOOKUP(A77,'Données projet'!$A$35:$I$55,3,0)),0,VLOOKUP(A77,'Données projet'!$A$35:$I$55,3,0))</f>
        <v>6</v>
      </c>
      <c r="V77" s="15">
        <f>IF(ISNA(VLOOKUP(A77,'Données projet'!$A$35:$I$55,4,0)),0,VLOOKUP(A77,'Données projet'!$A$35:$I$55,4,0))</f>
        <v>75.29000000000002</v>
      </c>
      <c r="W77" s="16">
        <f>IF(ISNA(VLOOKUP(A77,'Données projet'!$A$35:$I$55,5,0)),0%,VLOOKUP(A77,'Données projet'!$A$35:$I$55,5,0)*VLOOKUP('Données projet'!$B$9,Paramètres!$A$1:$I$89,7,0))</f>
        <v>0.15049999999999999</v>
      </c>
      <c r="X77" s="16">
        <f>IF(ISNA(VLOOKUP(A77,'Données projet'!$A$35:$I$55,6,0)),0%,VLOOKUP(A77,'Données projet'!$A$35:$I$55,6,0)*VLOOKUP('Données projet'!$B$9,Paramètres!$A$1:$I$89,7,0))</f>
        <v>8.6000000000000007E-2</v>
      </c>
      <c r="Y77" s="16">
        <f>IF(ISNA(VLOOKUP(A77,'Données projet'!$A$35:$I$55,7,0)),0%,VLOOKUP(A77,'Données projet'!$A$35:$I$55,7,0))</f>
        <v>0.1</v>
      </c>
      <c r="Z77" s="21">
        <f>EXP(-LN(2)/35)*Z76+(1-EXP(-LN(2)/35))/(LN(2)/35)*V77*W77*VLOOKUP('Données projet'!$B$9,Paramètres!$A$1:$I$89,3,0)*0.475*44/12</f>
        <v>28.377150387342887</v>
      </c>
      <c r="AA77" s="21">
        <f>EXP(-LN(2)/25)*AA76+(1-EXP(-LN(2)/25))/(LN(2)/25)*Calculateur!V77*Calculateur!X77*VLOOKUP('Données projet'!$B$9,Paramètres!$A$1:$I$89,3,0)*0.475*44/12</f>
        <v>40.127108569984337</v>
      </c>
      <c r="AB77" s="21">
        <f>EXP(-LN(2)/2)*AB76+(1-EXP(-LN(2)/2))/(LN(2)/2)*V77*Y77*VLOOKUP('Données projet'!$B$9,Paramètres!$A$1:$I$89,3,0)*0.475*44/12</f>
        <v>6.8606563499786484</v>
      </c>
      <c r="AC77" s="22">
        <f t="shared" si="57"/>
        <v>75.364915307305878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1.3999999999999773</v>
      </c>
      <c r="AJ77" s="13">
        <f>AI77*VLOOKUP('Données projet'!$B$10,Paramètres!$A$1:$I$89,3,0)*VLOOKUP('Données projet'!$B$10,Paramètres!$A$1:$I$89,5,0)</f>
        <v>0.83719999999998651</v>
      </c>
      <c r="AK77" s="13">
        <f t="shared" si="89"/>
        <v>0.39388003094446933</v>
      </c>
      <c r="AL77" s="20">
        <f t="shared" si="58"/>
        <v>2.144131053894927</v>
      </c>
      <c r="AM77" s="59">
        <f t="shared" si="59"/>
        <v>270.37016015684577</v>
      </c>
      <c r="AN77" s="59">
        <f ca="1">AVERAGE(OFFSET($AM$3,0,0,'Données projet'!$E$10+1,1))-AVERAGE(OFFSET($H$3,0,0,'Données projet'!$E$10+1,1))</f>
        <v>318.6615972007902</v>
      </c>
      <c r="AO77" s="59">
        <f t="shared" si="90"/>
        <v>326.82168950869504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104.83618159518863</v>
      </c>
      <c r="AV77" s="21">
        <f>EXP(-LN(2)/25)*AV76+(1-EXP(-LN(2)/25))/(LN(2)/25)*Calculateur!AQ77*Calculateur!AS77*VLOOKUP('Données projet'!$B$10,Paramètres!$A$1:$I$89,3,0)*0.475*44/12</f>
        <v>32.71356412043415</v>
      </c>
      <c r="AW77" s="21">
        <f>EXP(-LN(2)/2)*AW76+(1-EXP(-LN(2)/2))/(LN(2)/2)*AQ77*AT77*VLOOKUP('Données projet'!$B$10,Paramètres!$A$1:$I$89,3,0)*0.475*44/12</f>
        <v>0.46694370102834848</v>
      </c>
      <c r="AX77" s="21">
        <f t="shared" si="60"/>
        <v>138.01668941665113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</v>
      </c>
      <c r="BD77" s="12">
        <f>IF('Données projet'!$A$88&gt;35,BD76+BC77-BL76,IF(A77&lt;'Données projet'!$A$88,$BA$205^A77,IF(A77='Données projet'!$A$88,'Données projet'!$B$88,BD76+BC77-BL76)))</f>
        <v>198.99999999999991</v>
      </c>
      <c r="BE77" s="13">
        <f>BD77*VLOOKUP('Données projet'!$B$11,Paramètres!$A$1:$I$89,3,0)*VLOOKUP('Données projet'!$B$11,Paramètres!$A$1:$I$89,5,0)</f>
        <v>201.78599999999992</v>
      </c>
      <c r="BF77" s="13">
        <f t="shared" si="91"/>
        <v>50.136473146268756</v>
      </c>
      <c r="BG77" s="20">
        <f t="shared" si="61"/>
        <v>438.76497406308454</v>
      </c>
      <c r="BH77" s="59">
        <f t="shared" si="62"/>
        <v>706.9910031660354</v>
      </c>
      <c r="BI77" s="59">
        <f ca="1">AVERAGE(OFFSET($BH$3,0,0,'Données projet'!$E$11+1,1))-AVERAGE(OFFSET($H$3,0,0,'Données projet'!$E$11+1,1))</f>
        <v>402.96916953216805</v>
      </c>
      <c r="BJ77" s="59">
        <f t="shared" si="92"/>
        <v>164.89273051331318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5.7663199250187267</v>
      </c>
      <c r="BR77" s="21">
        <f>EXP(-LN(2)/2)*BR76+(1-EXP(-LN(2)/2))/(LN(2)/2)*BL77*BO77*VLOOKUP('Données projet'!$B$11,Paramètres!$A$1:$I$89,3,0)*0.475*44/12</f>
        <v>0.73913297980831305</v>
      </c>
      <c r="BS77" s="22">
        <f t="shared" si="63"/>
        <v>6.50545290482704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9.7839999999999971</v>
      </c>
      <c r="BY77" s="12">
        <f>IF('Données projet'!$A$114&gt;35,BY76+BX77-CG76,IF(A77&lt;'Données projet'!$A$114,$BV$205^A77,IF(A77='Données projet'!$A$114,'Données projet'!$B$114,BY76+BX77-CG76)))</f>
        <v>461.32599999999974</v>
      </c>
      <c r="BZ77" s="13">
        <f>BY77*VLOOKUP('Données projet'!$B$12,Paramètres!$A$1:$I$89,3,0)*VLOOKUP('Données projet'!$B$12,Paramètres!$A$1:$I$89,5,0)</f>
        <v>275.87294799999984</v>
      </c>
      <c r="CA77" s="13">
        <f t="shared" si="93"/>
        <v>66.094091843346078</v>
      </c>
      <c r="CB77" s="20">
        <f t="shared" si="64"/>
        <v>595.59259439382743</v>
      </c>
      <c r="CC77" s="59">
        <f t="shared" si="65"/>
        <v>863.81862349677829</v>
      </c>
      <c r="CD77" s="59">
        <f ca="1">AVERAGE(OFFSET($CC$3,0,0,'Données projet'!$E$12+1,1))-AVERAGE(OFFSET($H$3,0,0,'Données projet'!$E$12+1,1))</f>
        <v>373.61861223558259</v>
      </c>
      <c r="CE77" s="59">
        <f t="shared" si="94"/>
        <v>277.62293009761049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47.168356616673215</v>
      </c>
      <c r="CL77" s="21">
        <f>EXP(-LN(2)/25)*CL76+(1-EXP(-LN(2)/25))/(LN(2)/25)*Calculateur!CG77*Calculateur!CI77*VLOOKUP('Données projet'!$B$12,Paramètres!$A$1:$I$89,3,0)*0.475*44/12</f>
        <v>17.434586204695027</v>
      </c>
      <c r="CM77" s="21">
        <f>EXP(-LN(2)/2)*CM76+(1-EXP(-LN(2)/2))/(LN(2)/2)*CG77*CJ77*VLOOKUP('Données projet'!$B$12,Paramètres!$A$1:$I$89,3,0)*0.475*44/12</f>
        <v>2.374314431673445</v>
      </c>
      <c r="CN77" s="22">
        <f t="shared" si="66"/>
        <v>66.977257253041685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12.082500000000003</v>
      </c>
      <c r="N78" s="13">
        <f>IF('Données projet'!$A$36&gt;35,N77+M78-V77,IF(A78&lt;'Données projet'!$A$36,$K$205^A78,IF(A78='Données projet'!$A$36,'Données projet'!$B$36,N77+M78-V77)))</f>
        <v>351.59250000000009</v>
      </c>
      <c r="O78" s="13">
        <f>N78*VLOOKUP('Données projet'!$B$9,Paramètres!$A$1:$I$89,3,0)*VLOOKUP('Données projet'!$B$9,Paramètres!$A$1:$I$89,5,0)</f>
        <v>318.12089400000008</v>
      </c>
      <c r="P78" s="13">
        <f t="shared" si="87"/>
        <v>74.962235198318652</v>
      </c>
      <c r="Q78" s="20">
        <f t="shared" si="54"/>
        <v>684.6197833537384</v>
      </c>
      <c r="R78" s="59">
        <f t="shared" si="55"/>
        <v>953.28136805356326</v>
      </c>
      <c r="S78" s="59">
        <f ca="1">AVERAGE(OFFSET($R$3,0,0,'Données projet'!$E$9+1,1))-AVERAGE(OFFSET($H$3,0,0,'Données projet'!$E$9+1,1))</f>
        <v>737.40414421611001</v>
      </c>
      <c r="T78" s="59">
        <f t="shared" si="88"/>
        <v>245.32893490531674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27.820691776599773</v>
      </c>
      <c r="AA78" s="21">
        <f>EXP(-LN(2)/25)*AA77+(1-EXP(-LN(2)/25))/(LN(2)/25)*Calculateur!V78*Calculateur!X78*VLOOKUP('Données projet'!$B$9,Paramètres!$A$1:$I$89,3,0)*0.475*44/12</f>
        <v>39.029830675945185</v>
      </c>
      <c r="AB78" s="21">
        <f>EXP(-LN(2)/2)*AB77+(1-EXP(-LN(2)/2))/(LN(2)/2)*V78*Y78*VLOOKUP('Données projet'!$B$9,Paramètres!$A$1:$I$89,3,0)*0.475*44/12</f>
        <v>4.8512166284604499</v>
      </c>
      <c r="AC78" s="22">
        <f t="shared" si="57"/>
        <v>71.701739081005414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1.3999999999999773</v>
      </c>
      <c r="AJ78" s="13">
        <f>AI78*VLOOKUP('Données projet'!$B$10,Paramètres!$A$1:$I$89,3,0)*VLOOKUP('Données projet'!$B$10,Paramètres!$A$1:$I$89,5,0)</f>
        <v>0.83719999999998651</v>
      </c>
      <c r="AK78" s="13">
        <f t="shared" si="89"/>
        <v>0.39388003094446933</v>
      </c>
      <c r="AL78" s="20">
        <f t="shared" si="58"/>
        <v>2.144131053894927</v>
      </c>
      <c r="AM78" s="59">
        <f t="shared" si="59"/>
        <v>270.80571575371971</v>
      </c>
      <c r="AN78" s="59">
        <f ca="1">AVERAGE(OFFSET($AM$3,0,0,'Données projet'!$E$10+1,1))-AVERAGE(OFFSET($H$3,0,0,'Données projet'!$E$10+1,1))</f>
        <v>318.6615972007902</v>
      </c>
      <c r="AO78" s="59">
        <f t="shared" si="90"/>
        <v>326.82168950869504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102.78040801786383</v>
      </c>
      <c r="AV78" s="21">
        <f>EXP(-LN(2)/25)*AV77+(1-EXP(-LN(2)/25))/(LN(2)/25)*Calculateur!AQ78*Calculateur!AS78*VLOOKUP('Données projet'!$B$10,Paramètres!$A$1:$I$89,3,0)*0.475*44/12</f>
        <v>31.819009989229308</v>
      </c>
      <c r="AW78" s="21">
        <f>EXP(-LN(2)/2)*AW77+(1-EXP(-LN(2)/2))/(LN(2)/2)*AQ78*AT78*VLOOKUP('Données projet'!$B$10,Paramètres!$A$1:$I$89,3,0)*0.475*44/12</f>
        <v>0.33017905742948911</v>
      </c>
      <c r="AX78" s="21">
        <f t="shared" si="60"/>
        <v>134.92959706452262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203</v>
      </c>
      <c r="BB78" s="12">
        <f>VLOOKUP(A78,'Données projet'!$A$87:$I$107,9,0)</f>
        <v>4</v>
      </c>
      <c r="BC78" s="12">
        <f t="array" ref="BC78">INDEX(BB:BB,MIN(IF(ISNUMBER(BB78:BB274),ROW(BB78:BB274),"")))</f>
        <v>4</v>
      </c>
      <c r="BD78" s="12">
        <f>IF('Données projet'!$A$88&gt;35,BD77+BC78-BL77,IF(A78&lt;'Données projet'!$A$88,$BA$205^A78,IF(A78='Données projet'!$A$88,'Données projet'!$B$88,BD77+BC78-BL77)))</f>
        <v>202.99999999999991</v>
      </c>
      <c r="BE78" s="13">
        <f>BD78*VLOOKUP('Données projet'!$B$11,Paramètres!$A$1:$I$89,3,0)*VLOOKUP('Données projet'!$B$11,Paramètres!$A$1:$I$89,5,0)</f>
        <v>205.84199999999996</v>
      </c>
      <c r="BF78" s="13">
        <f t="shared" si="91"/>
        <v>51.025903221558437</v>
      </c>
      <c r="BG78" s="20">
        <f t="shared" si="61"/>
        <v>447.37826477754749</v>
      </c>
      <c r="BH78" s="59">
        <f t="shared" si="62"/>
        <v>716.03984947737229</v>
      </c>
      <c r="BI78" s="59">
        <f ca="1">AVERAGE(OFFSET($BH$3,0,0,'Données projet'!$E$11+1,1))-AVERAGE(OFFSET($H$3,0,0,'Données projet'!$E$11+1,1))</f>
        <v>402.96916953216805</v>
      </c>
      <c r="BJ78" s="59">
        <f t="shared" si="92"/>
        <v>164.89273051331318</v>
      </c>
      <c r="BK78" s="15">
        <f>IF(ISNA(VLOOKUP(A78,'Données projet'!$A$87:$I$107,3,0)),0,VLOOKUP(A78,'Données projet'!$A$87:$I$107,3,0))</f>
        <v>9</v>
      </c>
      <c r="BL78" s="15">
        <f>IF(ISNA(VLOOKUP(A78,'Données projet'!$A$87:$I$107,4,0)),0,VLOOKUP(A78,'Données projet'!$A$87:$I$107,4,0))</f>
        <v>10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0.1075</v>
      </c>
      <c r="BO78" s="16">
        <f>IF(ISNA(VLOOKUP(A78,'Données projet'!$A$87:$I$107,7,0)),0%,VLOOKUP(A78,'Données projet'!$A$87:$I$107,7,0))</f>
        <v>0.25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6.8089129756779014</v>
      </c>
      <c r="BR78" s="21">
        <f>EXP(-LN(2)/2)*BR77+(1-EXP(-LN(2)/2))/(LN(2)/2)*BL78*BO78*VLOOKUP('Données projet'!$B$11,Paramètres!$A$1:$I$89,3,0)*0.475*44/12</f>
        <v>2.9144866707457369</v>
      </c>
      <c r="BS78" s="22">
        <f t="shared" si="63"/>
        <v>9.7233996464236387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9.7839999999999971</v>
      </c>
      <c r="BY78" s="12">
        <f>IF('Données projet'!$A$114&gt;35,BY77+BX78-CG77,IF(A78&lt;'Données projet'!$A$114,$BV$205^A78,IF(A78='Données projet'!$A$114,'Données projet'!$B$114,BY77+BX78-CG77)))</f>
        <v>471.10999999999973</v>
      </c>
      <c r="BZ78" s="13">
        <f>BY78*VLOOKUP('Données projet'!$B$12,Paramètres!$A$1:$I$89,3,0)*VLOOKUP('Données projet'!$B$12,Paramètres!$A$1:$I$89,5,0)</f>
        <v>281.72377999999986</v>
      </c>
      <c r="CA78" s="13">
        <f t="shared" si="93"/>
        <v>67.331162922926637</v>
      </c>
      <c r="CB78" s="20">
        <f t="shared" si="64"/>
        <v>607.93735892409688</v>
      </c>
      <c r="CC78" s="59">
        <f t="shared" si="65"/>
        <v>876.59894362392174</v>
      </c>
      <c r="CD78" s="59">
        <f ca="1">AVERAGE(OFFSET($CC$3,0,0,'Données projet'!$E$12+1,1))-AVERAGE(OFFSET($H$3,0,0,'Données projet'!$E$12+1,1))</f>
        <v>373.61861223558259</v>
      </c>
      <c r="CE78" s="59">
        <f t="shared" si="94"/>
        <v>277.62293009761049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46.243413913277003</v>
      </c>
      <c r="CL78" s="21">
        <f>EXP(-LN(2)/25)*CL77+(1-EXP(-LN(2)/25))/(LN(2)/25)*Calculateur!CG78*Calculateur!CI78*VLOOKUP('Données projet'!$B$12,Paramètres!$A$1:$I$89,3,0)*0.475*44/12</f>
        <v>16.957836528082598</v>
      </c>
      <c r="CM78" s="21">
        <f>EXP(-LN(2)/2)*CM77+(1-EXP(-LN(2)/2))/(LN(2)/2)*CG78*CJ78*VLOOKUP('Données projet'!$B$12,Paramètres!$A$1:$I$89,3,0)*0.475*44/12</f>
        <v>1.6788938353053768</v>
      </c>
      <c r="CN78" s="22">
        <f t="shared" si="66"/>
        <v>64.880144276664979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12.082500000000003</v>
      </c>
      <c r="N79" s="13">
        <f>IF('Données projet'!$A$36&gt;35,N78+M79-V78,IF(A79&lt;'Données projet'!$A$36,$K$205^A79,IF(A79='Données projet'!$A$36,'Données projet'!$B$36,N78+M79-V78)))</f>
        <v>363.67500000000007</v>
      </c>
      <c r="O79" s="13">
        <f>N79*VLOOKUP('Données projet'!$B$9,Paramètres!$A$1:$I$89,3,0)*VLOOKUP('Données projet'!$B$9,Paramètres!$A$1:$I$89,5,0)</f>
        <v>329.05314000000004</v>
      </c>
      <c r="P79" s="13">
        <f t="shared" si="87"/>
        <v>77.233966119321479</v>
      </c>
      <c r="Q79" s="20">
        <f t="shared" si="54"/>
        <v>707.61670982448493</v>
      </c>
      <c r="R79" s="59">
        <f t="shared" si="55"/>
        <v>976.70629420533442</v>
      </c>
      <c r="S79" s="59">
        <f ca="1">AVERAGE(OFFSET($R$3,0,0,'Données projet'!$E$9+1,1))-AVERAGE(OFFSET($H$3,0,0,'Données projet'!$E$9+1,1))</f>
        <v>737.40414421611001</v>
      </c>
      <c r="T79" s="59">
        <f t="shared" si="88"/>
        <v>245.32893490531674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27.275144979807092</v>
      </c>
      <c r="AA79" s="21">
        <f>EXP(-LN(2)/25)*AA78+(1-EXP(-LN(2)/25))/(LN(2)/25)*Calculateur!V79*Calculateur!X79*VLOOKUP('Données projet'!$B$9,Paramètres!$A$1:$I$89,3,0)*0.475*44/12</f>
        <v>37.962557903621871</v>
      </c>
      <c r="AB79" s="21">
        <f>EXP(-LN(2)/2)*AB78+(1-EXP(-LN(2)/2))/(LN(2)/2)*V79*Y79*VLOOKUP('Données projet'!$B$9,Paramètres!$A$1:$I$89,3,0)*0.475*44/12</f>
        <v>3.4303281749893242</v>
      </c>
      <c r="AC79" s="22">
        <f t="shared" si="57"/>
        <v>68.668031058418293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1.3999999999999773</v>
      </c>
      <c r="AJ79" s="13">
        <f>AI79*VLOOKUP('Données projet'!$B$10,Paramètres!$A$1:$I$89,3,0)*VLOOKUP('Données projet'!$B$10,Paramètres!$A$1:$I$89,5,0)</f>
        <v>0.83719999999998651</v>
      </c>
      <c r="AK79" s="13">
        <f t="shared" si="89"/>
        <v>0.39388003094446933</v>
      </c>
      <c r="AL79" s="20">
        <f t="shared" si="58"/>
        <v>2.144131053894927</v>
      </c>
      <c r="AM79" s="59">
        <f t="shared" si="59"/>
        <v>271.23371543474434</v>
      </c>
      <c r="AN79" s="59">
        <f ca="1">AVERAGE(OFFSET($AM$3,0,0,'Données projet'!$E$10+1,1))-AVERAGE(OFFSET($H$3,0,0,'Données projet'!$E$10+1,1))</f>
        <v>318.6615972007902</v>
      </c>
      <c r="AO79" s="59">
        <f t="shared" si="90"/>
        <v>326.82168950869504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100.76494690649231</v>
      </c>
      <c r="AV79" s="21">
        <f>EXP(-LN(2)/25)*AV78+(1-EXP(-LN(2)/25))/(LN(2)/25)*Calculateur!AQ79*Calculateur!AS79*VLOOKUP('Données projet'!$B$10,Paramètres!$A$1:$I$89,3,0)*0.475*44/12</f>
        <v>30.948917487784819</v>
      </c>
      <c r="AW79" s="21">
        <f>EXP(-LN(2)/2)*AW78+(1-EXP(-LN(2)/2))/(LN(2)/2)*AQ79*AT79*VLOOKUP('Données projet'!$B$10,Paramètres!$A$1:$I$89,3,0)*0.475*44/12</f>
        <v>0.23347185051417427</v>
      </c>
      <c r="AX79" s="21">
        <f t="shared" si="60"/>
        <v>131.9473362447913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3.6</v>
      </c>
      <c r="BD79" s="12">
        <f>IF('Données projet'!$A$88&gt;35,BD78+BC79-BL78,IF(A79&lt;'Données projet'!$A$88,$BA$205^A79,IF(A79='Données projet'!$A$88,'Données projet'!$B$88,BD78+BC79-BL78)))</f>
        <v>196.59999999999991</v>
      </c>
      <c r="BE79" s="13">
        <f>BD79*VLOOKUP('Données projet'!$B$11,Paramètres!$A$1:$I$89,3,0)*VLOOKUP('Données projet'!$B$11,Paramètres!$A$1:$I$89,5,0)</f>
        <v>199.35239999999993</v>
      </c>
      <c r="BF79" s="13">
        <f t="shared" si="91"/>
        <v>49.601817992937235</v>
      </c>
      <c r="BG79" s="20">
        <f t="shared" si="61"/>
        <v>433.59526300436556</v>
      </c>
      <c r="BH79" s="59">
        <f t="shared" si="62"/>
        <v>702.68484738521499</v>
      </c>
      <c r="BI79" s="59">
        <f ca="1">AVERAGE(OFFSET($BH$3,0,0,'Données projet'!$E$11+1,1))-AVERAGE(OFFSET($H$3,0,0,'Données projet'!$E$11+1,1))</f>
        <v>402.96916953216805</v>
      </c>
      <c r="BJ79" s="59">
        <f t="shared" si="92"/>
        <v>164.89273051331318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6.6227228922928179</v>
      </c>
      <c r="BR79" s="21">
        <f>EXP(-LN(2)/2)*BR78+(1-EXP(-LN(2)/2))/(LN(2)/2)*BL79*BO79*VLOOKUP('Données projet'!$B$11,Paramètres!$A$1:$I$89,3,0)*0.475*44/12</f>
        <v>2.0608532885621154</v>
      </c>
      <c r="BS79" s="22">
        <f t="shared" si="63"/>
        <v>8.6835761808549332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9.7839999999999971</v>
      </c>
      <c r="BY79" s="12">
        <f>IF('Données projet'!$A$114&gt;35,BY78+BX79-CG78,IF(A79&lt;'Données projet'!$A$114,$BV$205^A79,IF(A79='Données projet'!$A$114,'Données projet'!$B$114,BY78+BX79-CG78)))</f>
        <v>480.89399999999972</v>
      </c>
      <c r="BZ79" s="13">
        <f>BY79*VLOOKUP('Données projet'!$B$12,Paramètres!$A$1:$I$89,3,0)*VLOOKUP('Données projet'!$B$12,Paramètres!$A$1:$I$89,5,0)</f>
        <v>287.57461199999989</v>
      </c>
      <c r="CA79" s="13">
        <f t="shared" si="93"/>
        <v>68.565246901335968</v>
      </c>
      <c r="CB79" s="20">
        <f t="shared" si="64"/>
        <v>620.27692091982669</v>
      </c>
      <c r="CC79" s="59">
        <f t="shared" si="65"/>
        <v>889.36650530067618</v>
      </c>
      <c r="CD79" s="59">
        <f ca="1">AVERAGE(OFFSET($CC$3,0,0,'Données projet'!$E$12+1,1))-AVERAGE(OFFSET($H$3,0,0,'Données projet'!$E$12+1,1))</f>
        <v>373.61861223558259</v>
      </c>
      <c r="CE79" s="59">
        <f t="shared" si="94"/>
        <v>277.62293009761049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45.336608772135044</v>
      </c>
      <c r="CL79" s="21">
        <f>EXP(-LN(2)/25)*CL78+(1-EXP(-LN(2)/25))/(LN(2)/25)*Calculateur!CG79*Calculateur!CI79*VLOOKUP('Données projet'!$B$12,Paramètres!$A$1:$I$89,3,0)*0.475*44/12</f>
        <v>16.494123596448315</v>
      </c>
      <c r="CM79" s="21">
        <f>EXP(-LN(2)/2)*CM78+(1-EXP(-LN(2)/2))/(LN(2)/2)*CG79*CJ79*VLOOKUP('Données projet'!$B$12,Paramètres!$A$1:$I$89,3,0)*0.475*44/12</f>
        <v>1.1871572158367227</v>
      </c>
      <c r="CN79" s="22">
        <f t="shared" si="66"/>
        <v>63.017889584420075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12.082500000000003</v>
      </c>
      <c r="N80" s="13">
        <f>IF('Données projet'!$A$36&gt;35,N79+M80-V79,IF(A80&lt;'Données projet'!$A$36,$K$205^A80,IF(A80='Données projet'!$A$36,'Données projet'!$B$36,N79+M80-V79)))</f>
        <v>375.75750000000005</v>
      </c>
      <c r="O80" s="13">
        <f>N80*VLOOKUP('Données projet'!$B$9,Paramètres!$A$1:$I$89,3,0)*VLOOKUP('Données projet'!$B$9,Paramètres!$A$1:$I$89,5,0)</f>
        <v>339.98538600000006</v>
      </c>
      <c r="P80" s="13">
        <f t="shared" si="87"/>
        <v>79.496927069315888</v>
      </c>
      <c r="Q80" s="20">
        <f t="shared" si="54"/>
        <v>730.59836192905857</v>
      </c>
      <c r="R80" s="59">
        <f t="shared" si="55"/>
        <v>1000.1085211533309</v>
      </c>
      <c r="S80" s="59">
        <f ca="1">AVERAGE(OFFSET($R$3,0,0,'Données projet'!$E$9+1,1))-AVERAGE(OFFSET($H$3,0,0,'Données projet'!$E$9+1,1))</f>
        <v>737.40414421611001</v>
      </c>
      <c r="T80" s="59">
        <f t="shared" si="88"/>
        <v>245.32893490531674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26.740296022948826</v>
      </c>
      <c r="AA80" s="21">
        <f>EXP(-LN(2)/25)*AA79+(1-EXP(-LN(2)/25))/(LN(2)/25)*Calculateur!V80*Calculateur!X80*VLOOKUP('Données projet'!$B$9,Paramètres!$A$1:$I$89,3,0)*0.475*44/12</f>
        <v>36.924469761383179</v>
      </c>
      <c r="AB80" s="21">
        <f>EXP(-LN(2)/2)*AB79+(1-EXP(-LN(2)/2))/(LN(2)/2)*V80*Y80*VLOOKUP('Données projet'!$B$9,Paramètres!$A$1:$I$89,3,0)*0.475*44/12</f>
        <v>2.4256083142302249</v>
      </c>
      <c r="AC80" s="22">
        <f t="shared" si="57"/>
        <v>66.090374098562236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1.3999999999999773</v>
      </c>
      <c r="AJ80" s="13">
        <f>AI80*VLOOKUP('Données projet'!$B$10,Paramètres!$A$1:$I$89,3,0)*VLOOKUP('Données projet'!$B$10,Paramètres!$A$1:$I$89,5,0)</f>
        <v>0.83719999999998651</v>
      </c>
      <c r="AK80" s="13">
        <f t="shared" si="89"/>
        <v>0.39388003094446933</v>
      </c>
      <c r="AL80" s="20">
        <f t="shared" si="58"/>
        <v>2.144131053894927</v>
      </c>
      <c r="AM80" s="59">
        <f t="shared" si="59"/>
        <v>271.6542902781672</v>
      </c>
      <c r="AN80" s="59">
        <f ca="1">AVERAGE(OFFSET($AM$3,0,0,'Données projet'!$E$10+1,1))-AVERAGE(OFFSET($H$3,0,0,'Données projet'!$E$10+1,1))</f>
        <v>318.6615972007902</v>
      </c>
      <c r="AO80" s="59">
        <f t="shared" si="90"/>
        <v>326.82168950869504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98.789007758204889</v>
      </c>
      <c r="AV80" s="21">
        <f>EXP(-LN(2)/25)*AV79+(1-EXP(-LN(2)/25))/(LN(2)/25)*Calculateur!AQ80*Calculateur!AS80*VLOOKUP('Données projet'!$B$10,Paramètres!$A$1:$I$89,3,0)*0.475*44/12</f>
        <v>30.102617711548508</v>
      </c>
      <c r="AW80" s="21">
        <f>EXP(-LN(2)/2)*AW79+(1-EXP(-LN(2)/2))/(LN(2)/2)*AQ80*AT80*VLOOKUP('Données projet'!$B$10,Paramètres!$A$1:$I$89,3,0)*0.475*44/12</f>
        <v>0.16508952871474455</v>
      </c>
      <c r="AX80" s="21">
        <f t="shared" si="60"/>
        <v>129.05671499846812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3.6</v>
      </c>
      <c r="BD80" s="12">
        <f>IF('Données projet'!$A$88&gt;35,BD79+BC80-BL79,IF(A80&lt;'Données projet'!$A$88,$BA$205^A80,IF(A80='Données projet'!$A$88,'Données projet'!$B$88,BD79+BC80-BL79)))</f>
        <v>200.1999999999999</v>
      </c>
      <c r="BE80" s="13">
        <f>BD80*VLOOKUP('Données projet'!$B$11,Paramètres!$A$1:$I$89,3,0)*VLOOKUP('Données projet'!$B$11,Paramètres!$A$1:$I$89,5,0)</f>
        <v>203.00279999999992</v>
      </c>
      <c r="BF80" s="13">
        <f t="shared" si="91"/>
        <v>50.403518824343074</v>
      </c>
      <c r="BG80" s="20">
        <f t="shared" si="61"/>
        <v>441.3493386190641</v>
      </c>
      <c r="BH80" s="59">
        <f t="shared" si="62"/>
        <v>710.85949784333638</v>
      </c>
      <c r="BI80" s="59">
        <f ca="1">AVERAGE(OFFSET($BH$3,0,0,'Données projet'!$E$11+1,1))-AVERAGE(OFFSET($H$3,0,0,'Données projet'!$E$11+1,1))</f>
        <v>402.96916953216805</v>
      </c>
      <c r="BJ80" s="59">
        <f t="shared" si="92"/>
        <v>164.89273051331318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6.4416241865292099</v>
      </c>
      <c r="BR80" s="21">
        <f>EXP(-LN(2)/2)*BR79+(1-EXP(-LN(2)/2))/(LN(2)/2)*BL80*BO80*VLOOKUP('Données projet'!$B$11,Paramètres!$A$1:$I$89,3,0)*0.475*44/12</f>
        <v>1.4572433353728687</v>
      </c>
      <c r="BS80" s="22">
        <f t="shared" si="63"/>
        <v>7.8988675219020781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9.7839999999999971</v>
      </c>
      <c r="BY80" s="12">
        <f>IF('Données projet'!$A$114&gt;35,BY79+BX80-CG79,IF(A80&lt;'Données projet'!$A$114,$BV$205^A80,IF(A80='Données projet'!$A$114,'Données projet'!$B$114,BY79+BX80-CG79)))</f>
        <v>490.67799999999971</v>
      </c>
      <c r="BZ80" s="13">
        <f>BY80*VLOOKUP('Données projet'!$B$12,Paramètres!$A$1:$I$89,3,0)*VLOOKUP('Données projet'!$B$12,Paramètres!$A$1:$I$89,5,0)</f>
        <v>293.42544399999986</v>
      </c>
      <c r="CA80" s="13">
        <f t="shared" si="93"/>
        <v>69.796411555705205</v>
      </c>
      <c r="CB80" s="20">
        <f t="shared" si="64"/>
        <v>632.61139842618638</v>
      </c>
      <c r="CC80" s="59">
        <f t="shared" si="65"/>
        <v>902.12155765045873</v>
      </c>
      <c r="CD80" s="59">
        <f ca="1">AVERAGE(OFFSET($CC$3,0,0,'Données projet'!$E$12+1,1))-AVERAGE(OFFSET($H$3,0,0,'Données projet'!$E$12+1,1))</f>
        <v>373.61861223558259</v>
      </c>
      <c r="CE80" s="59">
        <f t="shared" si="94"/>
        <v>277.62293009761049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44.447585526714356</v>
      </c>
      <c r="CL80" s="21">
        <f>EXP(-LN(2)/25)*CL79+(1-EXP(-LN(2)/25))/(LN(2)/25)*Calculateur!CG80*Calculateur!CI80*VLOOKUP('Données projet'!$B$12,Paramètres!$A$1:$I$89,3,0)*0.475*44/12</f>
        <v>16.043090919315173</v>
      </c>
      <c r="CM80" s="21">
        <f>EXP(-LN(2)/2)*CM79+(1-EXP(-LN(2)/2))/(LN(2)/2)*CG80*CJ80*VLOOKUP('Données projet'!$B$12,Paramètres!$A$1:$I$89,3,0)*0.475*44/12</f>
        <v>0.83944691765268853</v>
      </c>
      <c r="CN80" s="22">
        <f t="shared" si="66"/>
        <v>61.330123363682212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12.082500000000003</v>
      </c>
      <c r="N81" s="13">
        <f>IF('Données projet'!$A$36&gt;35,N80+M81-V80,IF(A81&lt;'Données projet'!$A$36,$K$205^A81,IF(A81='Données projet'!$A$36,'Données projet'!$B$36,N80+M81-V80)))</f>
        <v>387.84000000000003</v>
      </c>
      <c r="O81" s="13">
        <f>N81*VLOOKUP('Données projet'!$B$9,Paramètres!$A$1:$I$89,3,0)*VLOOKUP('Données projet'!$B$9,Paramètres!$A$1:$I$89,5,0)</f>
        <v>350.91763200000003</v>
      </c>
      <c r="P81" s="13">
        <f t="shared" si="87"/>
        <v>81.751432393323299</v>
      </c>
      <c r="Q81" s="20">
        <f t="shared" si="54"/>
        <v>753.56528715170464</v>
      </c>
      <c r="R81" s="59">
        <f t="shared" si="55"/>
        <v>1023.4887251861309</v>
      </c>
      <c r="S81" s="59">
        <f ca="1">AVERAGE(OFFSET($R$3,0,0,'Données projet'!$E$9+1,1))-AVERAGE(OFFSET($H$3,0,0,'Données projet'!$E$9+1,1))</f>
        <v>737.40414421611001</v>
      </c>
      <c r="T81" s="59">
        <f t="shared" si="88"/>
        <v>245.32893490531674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26.215935127908896</v>
      </c>
      <c r="AA81" s="21">
        <f>EXP(-LN(2)/25)*AA80+(1-EXP(-LN(2)/25))/(LN(2)/25)*Calculateur!V81*Calculateur!X81*VLOOKUP('Données projet'!$B$9,Paramètres!$A$1:$I$89,3,0)*0.475*44/12</f>
        <v>35.914768193984685</v>
      </c>
      <c r="AB81" s="21">
        <f>EXP(-LN(2)/2)*AB80+(1-EXP(-LN(2)/2))/(LN(2)/2)*V81*Y81*VLOOKUP('Données projet'!$B$9,Paramètres!$A$1:$I$89,3,0)*0.475*44/12</f>
        <v>1.7151640874946621</v>
      </c>
      <c r="AC81" s="22">
        <f t="shared" si="57"/>
        <v>63.845867409388241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1.3999999999999773</v>
      </c>
      <c r="AJ81" s="13">
        <f>AI81*VLOOKUP('Données projet'!$B$10,Paramètres!$A$1:$I$89,3,0)*VLOOKUP('Données projet'!$B$10,Paramètres!$A$1:$I$89,5,0)</f>
        <v>0.83719999999998651</v>
      </c>
      <c r="AK81" s="13">
        <f t="shared" si="89"/>
        <v>0.39388003094446933</v>
      </c>
      <c r="AL81" s="20">
        <f t="shared" si="58"/>
        <v>2.144131053894927</v>
      </c>
      <c r="AM81" s="59">
        <f t="shared" si="59"/>
        <v>272.06756908832114</v>
      </c>
      <c r="AN81" s="59">
        <f ca="1">AVERAGE(OFFSET($AM$3,0,0,'Données projet'!$E$10+1,1))-AVERAGE(OFFSET($H$3,0,0,'Données projet'!$E$10+1,1))</f>
        <v>318.6615972007902</v>
      </c>
      <c r="AO81" s="59">
        <f t="shared" si="90"/>
        <v>326.82168950869504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96.851815571411507</v>
      </c>
      <c r="AV81" s="21">
        <f>EXP(-LN(2)/25)*AV80+(1-EXP(-LN(2)/25))/(LN(2)/25)*Calculateur!AQ81*Calculateur!AS81*VLOOKUP('Données projet'!$B$10,Paramètres!$A$1:$I$89,3,0)*0.475*44/12</f>
        <v>29.279460047198349</v>
      </c>
      <c r="AW81" s="21">
        <f>EXP(-LN(2)/2)*AW80+(1-EXP(-LN(2)/2))/(LN(2)/2)*AQ81*AT81*VLOOKUP('Données projet'!$B$10,Paramètres!$A$1:$I$89,3,0)*0.475*44/12</f>
        <v>0.11673592525708713</v>
      </c>
      <c r="AX81" s="21">
        <f t="shared" si="60"/>
        <v>126.24801154386695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3.6</v>
      </c>
      <c r="BD81" s="12">
        <f>IF('Données projet'!$A$88&gt;35,BD80+BC81-BL80,IF(A81&lt;'Données projet'!$A$88,$BA$205^A81,IF(A81='Données projet'!$A$88,'Données projet'!$B$88,BD80+BC81-BL80)))</f>
        <v>203.7999999999999</v>
      </c>
      <c r="BE81" s="13">
        <f>BD81*VLOOKUP('Données projet'!$B$11,Paramètres!$A$1:$I$89,3,0)*VLOOKUP('Données projet'!$B$11,Paramètres!$A$1:$I$89,5,0)</f>
        <v>206.65319999999991</v>
      </c>
      <c r="BF81" s="13">
        <f t="shared" si="91"/>
        <v>51.203543269642587</v>
      </c>
      <c r="BG81" s="20">
        <f t="shared" si="61"/>
        <v>449.10049452796062</v>
      </c>
      <c r="BH81" s="59">
        <f t="shared" si="62"/>
        <v>719.02393256238679</v>
      </c>
      <c r="BI81" s="59">
        <f ca="1">AVERAGE(OFFSET($BH$3,0,0,'Données projet'!$E$11+1,1))-AVERAGE(OFFSET($H$3,0,0,'Données projet'!$E$11+1,1))</f>
        <v>402.96916953216805</v>
      </c>
      <c r="BJ81" s="59">
        <f t="shared" si="92"/>
        <v>164.89273051331318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6.265477634398275</v>
      </c>
      <c r="BR81" s="21">
        <f>EXP(-LN(2)/2)*BR80+(1-EXP(-LN(2)/2))/(LN(2)/2)*BL81*BO81*VLOOKUP('Données projet'!$B$11,Paramètres!$A$1:$I$89,3,0)*0.475*44/12</f>
        <v>1.0304266442810579</v>
      </c>
      <c r="BS81" s="22">
        <f t="shared" si="63"/>
        <v>7.2959042786793331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9.7839999999999971</v>
      </c>
      <c r="BY81" s="12">
        <f>IF('Données projet'!$A$114&gt;35,BY80+BX81-CG80,IF(A81&lt;'Données projet'!$A$114,$BV$205^A81,IF(A81='Données projet'!$A$114,'Données projet'!$B$114,BY80+BX81-CG80)))</f>
        <v>500.4619999999997</v>
      </c>
      <c r="BZ81" s="13">
        <f>BY81*VLOOKUP('Données projet'!$B$12,Paramètres!$A$1:$I$89,3,0)*VLOOKUP('Données projet'!$B$12,Paramètres!$A$1:$I$89,5,0)</f>
        <v>299.27627599999983</v>
      </c>
      <c r="CA81" s="13">
        <f t="shared" si="93"/>
        <v>71.024721805685132</v>
      </c>
      <c r="CB81" s="20">
        <f t="shared" si="64"/>
        <v>644.94090451156796</v>
      </c>
      <c r="CC81" s="59">
        <f t="shared" si="65"/>
        <v>914.86434254599419</v>
      </c>
      <c r="CD81" s="59">
        <f ca="1">AVERAGE(OFFSET($CC$3,0,0,'Données projet'!$E$12+1,1))-AVERAGE(OFFSET($H$3,0,0,'Données projet'!$E$12+1,1))</f>
        <v>373.61861223558259</v>
      </c>
      <c r="CE81" s="59">
        <f t="shared" si="94"/>
        <v>277.62293009761049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43.57599548488573</v>
      </c>
      <c r="CL81" s="21">
        <f>EXP(-LN(2)/25)*CL80+(1-EXP(-LN(2)/25))/(LN(2)/25)*Calculateur!CG81*Calculateur!CI81*VLOOKUP('Données projet'!$B$12,Paramètres!$A$1:$I$89,3,0)*0.475*44/12</f>
        <v>15.604391754457016</v>
      </c>
      <c r="CM81" s="21">
        <f>EXP(-LN(2)/2)*CM80+(1-EXP(-LN(2)/2))/(LN(2)/2)*CG81*CJ81*VLOOKUP('Données projet'!$B$12,Paramètres!$A$1:$I$89,3,0)*0.475*44/12</f>
        <v>0.59357860791836148</v>
      </c>
      <c r="CN81" s="22">
        <f t="shared" si="66"/>
        <v>59.77396584726111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12.082500000000003</v>
      </c>
      <c r="N82" s="13">
        <f>IF('Données projet'!$A$36&gt;35,N81+M82-V81,IF(A82&lt;'Données projet'!$A$36,$K$205^A82,IF(A82='Données projet'!$A$36,'Données projet'!$B$36,N81+M82-V81)))</f>
        <v>399.92250000000001</v>
      </c>
      <c r="O82" s="13">
        <f>N82*VLOOKUP('Données projet'!$B$9,Paramètres!$A$1:$I$89,3,0)*VLOOKUP('Données projet'!$B$9,Paramètres!$A$1:$I$89,5,0)</f>
        <v>361.84987799999999</v>
      </c>
      <c r="P82" s="13">
        <f t="shared" si="87"/>
        <v>83.997775738072022</v>
      </c>
      <c r="Q82" s="20">
        <f t="shared" si="54"/>
        <v>776.51799692714212</v>
      </c>
      <c r="R82" s="59">
        <f t="shared" si="55"/>
        <v>1046.8475443083191</v>
      </c>
      <c r="S82" s="59">
        <f ca="1">AVERAGE(OFFSET($R$3,0,0,'Données projet'!$E$9+1,1))-AVERAGE(OFFSET($H$3,0,0,'Données projet'!$E$9+1,1))</f>
        <v>737.40414421611001</v>
      </c>
      <c r="T82" s="59">
        <f t="shared" si="88"/>
        <v>245.32893490531674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25.701856630192136</v>
      </c>
      <c r="AA82" s="21">
        <f>EXP(-LN(2)/25)*AA81+(1-EXP(-LN(2)/25))/(LN(2)/25)*Calculateur!V82*Calculateur!X82*VLOOKUP('Données projet'!$B$9,Paramètres!$A$1:$I$89,3,0)*0.475*44/12</f>
        <v>34.9326769690446</v>
      </c>
      <c r="AB82" s="21">
        <f>EXP(-LN(2)/2)*AB81+(1-EXP(-LN(2)/2))/(LN(2)/2)*V82*Y82*VLOOKUP('Données projet'!$B$9,Paramètres!$A$1:$I$89,3,0)*0.475*44/12</f>
        <v>1.2128041571151125</v>
      </c>
      <c r="AC82" s="22">
        <f t="shared" si="57"/>
        <v>61.847337756351848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1.3999999999999773</v>
      </c>
      <c r="AJ82" s="13">
        <f>AI82*VLOOKUP('Données projet'!$B$10,Paramètres!$A$1:$I$89,3,0)*VLOOKUP('Données projet'!$B$10,Paramètres!$A$1:$I$89,5,0)</f>
        <v>0.83719999999998651</v>
      </c>
      <c r="AK82" s="13">
        <f t="shared" si="89"/>
        <v>0.39388003094446933</v>
      </c>
      <c r="AL82" s="20">
        <f t="shared" si="58"/>
        <v>2.144131053894927</v>
      </c>
      <c r="AM82" s="59">
        <f t="shared" si="59"/>
        <v>272.47367843507186</v>
      </c>
      <c r="AN82" s="59">
        <f ca="1">AVERAGE(OFFSET($AM$3,0,0,'Données projet'!$E$10+1,1))-AVERAGE(OFFSET($H$3,0,0,'Données projet'!$E$10+1,1))</f>
        <v>318.6615972007902</v>
      </c>
      <c r="AO82" s="59">
        <f t="shared" si="90"/>
        <v>326.82168950869504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94.95261054183058</v>
      </c>
      <c r="AV82" s="21">
        <f>EXP(-LN(2)/25)*AV81+(1-EXP(-LN(2)/25))/(LN(2)/25)*Calculateur!AQ82*Calculateur!AS82*VLOOKUP('Données projet'!$B$10,Paramètres!$A$1:$I$89,3,0)*0.475*44/12</f>
        <v>28.478811672467824</v>
      </c>
      <c r="AW82" s="21">
        <f>EXP(-LN(2)/2)*AW81+(1-EXP(-LN(2)/2))/(LN(2)/2)*AQ82*AT82*VLOOKUP('Données projet'!$B$10,Paramètres!$A$1:$I$89,3,0)*0.475*44/12</f>
        <v>8.2544764357372277E-2</v>
      </c>
      <c r="AX82" s="21">
        <f t="shared" si="60"/>
        <v>123.51396697865577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3.6</v>
      </c>
      <c r="BD82" s="12">
        <f>IF('Données projet'!$A$88&gt;35,BD81+BC82-BL81,IF(A82&lt;'Données projet'!$A$88,$BA$205^A82,IF(A82='Données projet'!$A$88,'Données projet'!$B$88,BD81+BC82-BL81)))</f>
        <v>207.39999999999989</v>
      </c>
      <c r="BE82" s="13">
        <f>BD82*VLOOKUP('Données projet'!$B$11,Paramètres!$A$1:$I$89,3,0)*VLOOKUP('Données projet'!$B$11,Paramètres!$A$1:$I$89,5,0)</f>
        <v>210.30359999999993</v>
      </c>
      <c r="BF82" s="13">
        <f t="shared" si="91"/>
        <v>52.001924357524459</v>
      </c>
      <c r="BG82" s="20">
        <f t="shared" si="61"/>
        <v>456.84878825602163</v>
      </c>
      <c r="BH82" s="59">
        <f t="shared" si="62"/>
        <v>727.17833563719864</v>
      </c>
      <c r="BI82" s="59">
        <f ca="1">AVERAGE(OFFSET($BH$3,0,0,'Données projet'!$E$11+1,1))-AVERAGE(OFFSET($H$3,0,0,'Données projet'!$E$11+1,1))</f>
        <v>402.96916953216805</v>
      </c>
      <c r="BJ82" s="59">
        <f t="shared" si="92"/>
        <v>164.89273051331318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6.094147818998505</v>
      </c>
      <c r="BR82" s="21">
        <f>EXP(-LN(2)/2)*BR81+(1-EXP(-LN(2)/2))/(LN(2)/2)*BL82*BO82*VLOOKUP('Données projet'!$B$11,Paramètres!$A$1:$I$89,3,0)*0.475*44/12</f>
        <v>0.72862166768643455</v>
      </c>
      <c r="BS82" s="22">
        <f t="shared" si="63"/>
        <v>6.8227694866849395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9.7839999999999971</v>
      </c>
      <c r="BY82" s="12">
        <f>IF('Données projet'!$A$114&gt;35,BY81+BX82-CG81,IF(A82&lt;'Données projet'!$A$114,$BV$205^A82,IF(A82='Données projet'!$A$114,'Données projet'!$B$114,BY81+BX82-CG81)))</f>
        <v>510.2459999999997</v>
      </c>
      <c r="BZ82" s="13">
        <f>BY82*VLOOKUP('Données projet'!$B$12,Paramètres!$A$1:$I$89,3,0)*VLOOKUP('Données projet'!$B$12,Paramètres!$A$1:$I$89,5,0)</f>
        <v>305.12710799999985</v>
      </c>
      <c r="CA82" s="13">
        <f t="shared" si="93"/>
        <v>72.25023988738603</v>
      </c>
      <c r="CB82" s="20">
        <f t="shared" si="64"/>
        <v>657.26554757053043</v>
      </c>
      <c r="CC82" s="59">
        <f t="shared" si="65"/>
        <v>927.59509495170732</v>
      </c>
      <c r="CD82" s="59">
        <f ca="1">AVERAGE(OFFSET($CC$3,0,0,'Données projet'!$E$12+1,1))-AVERAGE(OFFSET($H$3,0,0,'Données projet'!$E$12+1,1))</f>
        <v>373.61861223558259</v>
      </c>
      <c r="CE82" s="59">
        <f t="shared" si="94"/>
        <v>277.62293009761049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42.721496792159932</v>
      </c>
      <c r="CL82" s="21">
        <f>EXP(-LN(2)/25)*CL81+(1-EXP(-LN(2)/25))/(LN(2)/25)*Calculateur!CG82*Calculateur!CI82*VLOOKUP('Données projet'!$B$12,Paramètres!$A$1:$I$89,3,0)*0.475*44/12</f>
        <v>15.17768884133209</v>
      </c>
      <c r="CM82" s="21">
        <f>EXP(-LN(2)/2)*CM81+(1-EXP(-LN(2)/2))/(LN(2)/2)*CG82*CJ82*VLOOKUP('Données projet'!$B$12,Paramètres!$A$1:$I$89,3,0)*0.475*44/12</f>
        <v>0.41972345882634432</v>
      </c>
      <c r="CN82" s="22">
        <f t="shared" si="66"/>
        <v>58.318909092318371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12.082500000000003</v>
      </c>
      <c r="N83" s="13">
        <f>IF('Données projet'!$A$36&gt;35,N82+M83-V82,IF(A83&lt;'Données projet'!$A$36,$K$205^A83,IF(A83='Données projet'!$A$36,'Données projet'!$B$36,N82+M83-V82)))</f>
        <v>412.005</v>
      </c>
      <c r="O83" s="13">
        <f>N83*VLOOKUP('Données projet'!$B$9,Paramètres!$A$1:$I$89,3,0)*VLOOKUP('Données projet'!$B$9,Paramètres!$A$1:$I$89,5,0)</f>
        <v>372.78212400000001</v>
      </c>
      <c r="P83" s="13">
        <f t="shared" si="87"/>
        <v>86.236231998585495</v>
      </c>
      <c r="Q83" s="20">
        <f t="shared" si="54"/>
        <v>799.45697003086968</v>
      </c>
      <c r="R83" s="59">
        <f t="shared" si="55"/>
        <v>1070.1855816695559</v>
      </c>
      <c r="S83" s="59">
        <f ca="1">AVERAGE(OFFSET($R$3,0,0,'Données projet'!$E$9+1,1))-AVERAGE(OFFSET($H$3,0,0,'Données projet'!$E$9+1,1))</f>
        <v>737.40414421611001</v>
      </c>
      <c r="T83" s="59">
        <f t="shared" si="88"/>
        <v>245.32893490531674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25.19785889825868</v>
      </c>
      <c r="AA83" s="21">
        <f>EXP(-LN(2)/25)*AA82+(1-EXP(-LN(2)/25))/(LN(2)/25)*Calculateur!V83*Calculateur!X83*VLOOKUP('Données projet'!$B$9,Paramètres!$A$1:$I$89,3,0)*0.475*44/12</f>
        <v>33.97744108029643</v>
      </c>
      <c r="AB83" s="21">
        <f>EXP(-LN(2)/2)*AB82+(1-EXP(-LN(2)/2))/(LN(2)/2)*V83*Y83*VLOOKUP('Données projet'!$B$9,Paramètres!$A$1:$I$89,3,0)*0.475*44/12</f>
        <v>0.85758204374733105</v>
      </c>
      <c r="AC83" s="22">
        <f t="shared" si="57"/>
        <v>60.032882022302438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1.3999999999999773</v>
      </c>
      <c r="AJ83" s="13">
        <f>AI83*VLOOKUP('Données projet'!$B$10,Paramètres!$A$1:$I$89,3,0)*VLOOKUP('Données projet'!$B$10,Paramètres!$A$1:$I$89,5,0)</f>
        <v>0.83719999999998651</v>
      </c>
      <c r="AK83" s="13">
        <f t="shared" si="89"/>
        <v>0.39388003094446933</v>
      </c>
      <c r="AL83" s="20">
        <f t="shared" si="58"/>
        <v>2.144131053894927</v>
      </c>
      <c r="AM83" s="59">
        <f t="shared" si="59"/>
        <v>272.87274269258103</v>
      </c>
      <c r="AN83" s="59">
        <f ca="1">AVERAGE(OFFSET($AM$3,0,0,'Données projet'!$E$10+1,1))-AVERAGE(OFFSET($H$3,0,0,'Données projet'!$E$10+1,1))</f>
        <v>318.6615972007902</v>
      </c>
      <c r="AO83" s="59">
        <f t="shared" si="90"/>
        <v>326.82168950869504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93.090647764479044</v>
      </c>
      <c r="AV83" s="21">
        <f>EXP(-LN(2)/25)*AV82+(1-EXP(-LN(2)/25))/(LN(2)/25)*Calculateur!AQ83*Calculateur!AS83*VLOOKUP('Données projet'!$B$10,Paramètres!$A$1:$I$89,3,0)*0.475*44/12</f>
        <v>27.700057069648576</v>
      </c>
      <c r="AW83" s="21">
        <f>EXP(-LN(2)/2)*AW82+(1-EXP(-LN(2)/2))/(LN(2)/2)*AQ83*AT83*VLOOKUP('Données projet'!$B$10,Paramètres!$A$1:$I$89,3,0)*0.475*44/12</f>
        <v>5.8367962628543567E-2</v>
      </c>
      <c r="AX83" s="21">
        <f t="shared" si="60"/>
        <v>120.84907279675616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211</v>
      </c>
      <c r="BB83" s="12">
        <f>VLOOKUP(A83,'Données projet'!$A$87:$I$107,9,0)</f>
        <v>3.6</v>
      </c>
      <c r="BC83" s="12">
        <f t="array" ref="BC83">INDEX(BB:BB,MIN(IF(ISNUMBER(BB83:BB279),ROW(BB83:BB279),"")))</f>
        <v>3.6</v>
      </c>
      <c r="BD83" s="12">
        <f>IF('Données projet'!$A$88&gt;35,BD82+BC83-BL82,IF(A83&lt;'Données projet'!$A$88,$BA$205^A83,IF(A83='Données projet'!$A$88,'Données projet'!$B$88,BD82+BC83-BL82)))</f>
        <v>210.99999999999989</v>
      </c>
      <c r="BE83" s="13">
        <f>BD83*VLOOKUP('Données projet'!$B$11,Paramètres!$A$1:$I$89,3,0)*VLOOKUP('Données projet'!$B$11,Paramètres!$A$1:$I$89,5,0)</f>
        <v>213.95399999999989</v>
      </c>
      <c r="BF83" s="13">
        <f t="shared" si="91"/>
        <v>52.798693904379121</v>
      </c>
      <c r="BG83" s="20">
        <f t="shared" si="61"/>
        <v>464.59427521679351</v>
      </c>
      <c r="BH83" s="59">
        <f t="shared" si="62"/>
        <v>735.32288685547962</v>
      </c>
      <c r="BI83" s="59">
        <f ca="1">AVERAGE(OFFSET($BH$3,0,0,'Données projet'!$E$11+1,1))-AVERAGE(OFFSET($H$3,0,0,'Données projet'!$E$11+1,1))</f>
        <v>402.96916953216805</v>
      </c>
      <c r="BJ83" s="59">
        <f t="shared" si="92"/>
        <v>164.89273051331318</v>
      </c>
      <c r="BK83" s="15">
        <f>IF(ISNA(VLOOKUP(A83,'Données projet'!$A$87:$I$107,3,0)),0,VLOOKUP(A83,'Données projet'!$A$87:$I$107,3,0))</f>
        <v>10</v>
      </c>
      <c r="BL83" s="21">
        <f>IF(ISNA(VLOOKUP(A83,'Données projet'!$A$87:$I$107,4,0)),0,VLOOKUP(A83,'Données projet'!$A$87:$I$107,4,0))</f>
        <v>10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0.1075</v>
      </c>
      <c r="BO83" s="16">
        <f>IF(ISNA(VLOOKUP(A83,'Données projet'!$A$87:$I$107,7,0)),0%,VLOOKUP(A83,'Données projet'!$A$87:$I$107,7,0))</f>
        <v>0.25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7.1277763986570832</v>
      </c>
      <c r="BR83" s="21">
        <f>EXP(-LN(2)/2)*BR82+(1-EXP(-LN(2)/2))/(LN(2)/2)*BL83*BO83*VLOOKUP('Données projet'!$B$11,Paramètres!$A$1:$I$89,3,0)*0.475*44/12</f>
        <v>2.9070540506651881</v>
      </c>
      <c r="BS83" s="22">
        <f t="shared" si="63"/>
        <v>10.034830449322271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520.03</v>
      </c>
      <c r="BW83" s="12">
        <f>VLOOKUP(A83,'Données projet'!$A$113:$I$133,9,0)</f>
        <v>9.7839999999999971</v>
      </c>
      <c r="BX83" s="12">
        <f t="array" ref="BX83">INDEX(BW:BW,MIN(IF(ISNUMBER(BW83:BW279),ROW(BW83:BW279),"")))</f>
        <v>9.7839999999999971</v>
      </c>
      <c r="BY83" s="12">
        <f>IF('Données projet'!$A$114&gt;35,BY82+BX83-CG82,IF(A83&lt;'Données projet'!$A$114,$BV$205^A83,IF(A83='Données projet'!$A$114,'Données projet'!$B$114,BY82+BX83-CG82)))</f>
        <v>520.02999999999975</v>
      </c>
      <c r="BZ83" s="13">
        <f>BY83*VLOOKUP('Données projet'!$B$12,Paramètres!$A$1:$I$89,3,0)*VLOOKUP('Données projet'!$B$12,Paramètres!$A$1:$I$89,5,0)</f>
        <v>310.97793999999988</v>
      </c>
      <c r="CA83" s="13">
        <f t="shared" si="93"/>
        <v>73.473025513598785</v>
      </c>
      <c r="CB83" s="20">
        <f t="shared" si="64"/>
        <v>669.58543160285092</v>
      </c>
      <c r="CC83" s="59">
        <f t="shared" si="65"/>
        <v>940.31404324153709</v>
      </c>
      <c r="CD83" s="59">
        <f ca="1">AVERAGE(OFFSET($CC$3,0,0,'Données projet'!$E$12+1,1))-AVERAGE(OFFSET($H$3,0,0,'Données projet'!$E$12+1,1))</f>
        <v>373.61861223558259</v>
      </c>
      <c r="CE83" s="59">
        <f t="shared" si="94"/>
        <v>277.62293009761049</v>
      </c>
      <c r="CF83" s="15">
        <f>IF(ISNA(VLOOKUP(A83,'Données projet'!$A$113:$I$133,3,0)),0,VLOOKUP(A83,'Données projet'!$A$113:$I$133,3,0))</f>
        <v>8</v>
      </c>
      <c r="CG83" s="15">
        <f>IF(ISNA(VLOOKUP(A83,'Données projet'!$A$113:$I$133,4,0)),0,VLOOKUP(A83,'Données projet'!$A$113:$I$133,4,0))</f>
        <v>520.03</v>
      </c>
      <c r="CH83" s="16">
        <f>IF(ISNA(VLOOKUP(A83,'Données projet'!$A$113:$I$133,5,0)),0%,VLOOKUP(A83,'Données projet'!$A$113:$I$133,5,0)*VLOOKUP('Données projet'!$B$12,Paramètres!$A$1:$I$89,7,0))</f>
        <v>0.27</v>
      </c>
      <c r="CI83" s="16">
        <f>IF(ISNA(VLOOKUP(A83,'Données projet'!$A$113:$I$133,6,0)),0%,VLOOKUP(A83,'Données projet'!$A$113:$I$133,6,0)*VLOOKUP('Données projet'!$B$12,Paramètres!$A$1:$I$89,7,0))</f>
        <v>9.0000000000000011E-2</v>
      </c>
      <c r="CJ83" s="16">
        <f>IF(ISNA(VLOOKUP(A83,'Données projet'!$A$113:$I$133,7,0)),0%,VLOOKUP(A83,'Données projet'!$A$113:$I$133,7,0))</f>
        <v>0.2</v>
      </c>
      <c r="CK83" s="21">
        <f>EXP(-LN(2)/35)*CK82+(1-EXP(-LN(2)/35))/(LN(2)/35)*CG83*CH83*VLOOKUP('Données projet'!$B$12,Paramètres!$A$1:$I$89,3,0)*0.475*44/12</f>
        <v>153.26747033765446</v>
      </c>
      <c r="CL83" s="21">
        <f>EXP(-LN(2)/25)*CL82+(1-EXP(-LN(2)/25))/(LN(2)/25)*Calculateur!CG83*Calculateur!CI83*VLOOKUP('Données projet'!$B$12,Paramètres!$A$1:$I$89,3,0)*0.475*44/12</f>
        <v>51.744372778297887</v>
      </c>
      <c r="CM83" s="21">
        <f>EXP(-LN(2)/2)*CM82+(1-EXP(-LN(2)/2))/(LN(2)/2)*CG83*CJ83*VLOOKUP('Données projet'!$B$12,Paramètres!$A$1:$I$89,3,0)*0.475*44/12</f>
        <v>70.716642801208678</v>
      </c>
      <c r="CN83" s="22">
        <f t="shared" si="66"/>
        <v>275.72848591716104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12.082500000000003</v>
      </c>
      <c r="N84" s="13">
        <f>IF('Données projet'!$A$36&gt;35,N83+M84-V83,IF(A84&lt;'Données projet'!$A$36,$K$205^A84,IF(A84='Données projet'!$A$36,'Données projet'!$B$36,N83+M84-V83)))</f>
        <v>424.08749999999998</v>
      </c>
      <c r="O84" s="13">
        <f>N84*VLOOKUP('Données projet'!$B$9,Paramètres!$A$1:$I$89,3,0)*VLOOKUP('Données projet'!$B$9,Paramètres!$A$1:$I$89,5,0)</f>
        <v>383.71436999999997</v>
      </c>
      <c r="P84" s="13">
        <f t="shared" si="87"/>
        <v>88.467059030009779</v>
      </c>
      <c r="Q84" s="20">
        <f t="shared" si="54"/>
        <v>822.38265556060048</v>
      </c>
      <c r="R84" s="59">
        <f t="shared" si="55"/>
        <v>1093.5034085841019</v>
      </c>
      <c r="S84" s="59">
        <f ca="1">AVERAGE(OFFSET($R$3,0,0,'Données projet'!$E$9+1,1))-AVERAGE(OFFSET($H$3,0,0,'Données projet'!$E$9+1,1))</f>
        <v>737.40414421611001</v>
      </c>
      <c r="T84" s="59">
        <f t="shared" si="88"/>
        <v>245.32893490531674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24.703744254440174</v>
      </c>
      <c r="AA84" s="21">
        <f>EXP(-LN(2)/25)*AA83+(1-EXP(-LN(2)/25))/(LN(2)/25)*Calculateur!V84*Calculateur!X84*VLOOKUP('Données projet'!$B$9,Paramètres!$A$1:$I$89,3,0)*0.475*44/12</f>
        <v>33.048326167159757</v>
      </c>
      <c r="AB84" s="21">
        <f>EXP(-LN(2)/2)*AB83+(1-EXP(-LN(2)/2))/(LN(2)/2)*V84*Y84*VLOOKUP('Données projet'!$B$9,Paramètres!$A$1:$I$89,3,0)*0.475*44/12</f>
        <v>0.60640207855755623</v>
      </c>
      <c r="AC84" s="22">
        <f t="shared" si="57"/>
        <v>58.35847250015749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1.3999999999999773</v>
      </c>
      <c r="AJ84" s="13">
        <f>AI84*VLOOKUP('Données projet'!$B$10,Paramètres!$A$1:$I$89,3,0)*VLOOKUP('Données projet'!$B$10,Paramètres!$A$1:$I$89,5,0)</f>
        <v>0.83719999999998651</v>
      </c>
      <c r="AK84" s="13">
        <f t="shared" si="89"/>
        <v>0.39388003094446933</v>
      </c>
      <c r="AL84" s="20">
        <f t="shared" si="58"/>
        <v>2.144131053894927</v>
      </c>
      <c r="AM84" s="59">
        <f t="shared" si="59"/>
        <v>273.26488407739635</v>
      </c>
      <c r="AN84" s="59">
        <f ca="1">AVERAGE(OFFSET($AM$3,0,0,'Données projet'!$E$10+1,1))-AVERAGE(OFFSET($H$3,0,0,'Données projet'!$E$10+1,1))</f>
        <v>318.6615972007902</v>
      </c>
      <c r="AO84" s="59">
        <f t="shared" si="90"/>
        <v>326.82168950869504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91.265196941506218</v>
      </c>
      <c r="AV84" s="21">
        <f>EXP(-LN(2)/25)*AV83+(1-EXP(-LN(2)/25))/(LN(2)/25)*Calculateur!AQ84*Calculateur!AS84*VLOOKUP('Données projet'!$B$10,Paramètres!$A$1:$I$89,3,0)*0.475*44/12</f>
        <v>26.942597552396343</v>
      </c>
      <c r="AW84" s="21">
        <f>EXP(-LN(2)/2)*AW83+(1-EXP(-LN(2)/2))/(LN(2)/2)*AQ84*AT84*VLOOKUP('Données projet'!$B$10,Paramètres!$A$1:$I$89,3,0)*0.475*44/12</f>
        <v>4.1272382178686139E-2</v>
      </c>
      <c r="AX84" s="21">
        <f t="shared" si="60"/>
        <v>118.24906687608124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3.6</v>
      </c>
      <c r="BD84" s="12">
        <f>IF('Données projet'!$A$88&gt;35,BD83+BC84-BL83,IF(A84&lt;'Données projet'!$A$88,$BA$205^A84,IF(A84='Données projet'!$A$88,'Données projet'!$B$88,BD83+BC84-BL83)))</f>
        <v>204.59999999999988</v>
      </c>
      <c r="BE84" s="13">
        <f>BD84*VLOOKUP('Données projet'!$B$11,Paramètres!$A$1:$I$89,3,0)*VLOOKUP('Données projet'!$B$11,Paramètres!$A$1:$I$89,5,0)</f>
        <v>207.4643999999999</v>
      </c>
      <c r="BF84" s="13">
        <f t="shared" si="91"/>
        <v>51.381102169014021</v>
      </c>
      <c r="BG84" s="20">
        <f t="shared" si="61"/>
        <v>450.82258294436588</v>
      </c>
      <c r="BH84" s="59">
        <f t="shared" si="62"/>
        <v>721.94333596786737</v>
      </c>
      <c r="BI84" s="59">
        <f ca="1">AVERAGE(OFFSET($BH$3,0,0,'Données projet'!$E$11+1,1))-AVERAGE(OFFSET($H$3,0,0,'Données projet'!$E$11+1,1))</f>
        <v>402.96916953216805</v>
      </c>
      <c r="BJ84" s="59">
        <f t="shared" si="92"/>
        <v>164.89273051331318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6.9328669782023349</v>
      </c>
      <c r="BR84" s="21">
        <f>EXP(-LN(2)/2)*BR83+(1-EXP(-LN(2)/2))/(LN(2)/2)*BL84*BO84*VLOOKUP('Données projet'!$B$11,Paramètres!$A$1:$I$89,3,0)*0.475*44/12</f>
        <v>2.055597632501176</v>
      </c>
      <c r="BS84" s="22">
        <f t="shared" si="63"/>
        <v>8.9884646107035113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-2.2737367544323206E-13</v>
      </c>
      <c r="BZ84" s="13">
        <f>BY84*VLOOKUP('Données projet'!$B$12,Paramètres!$A$1:$I$89,3,0)*VLOOKUP('Données projet'!$B$12,Paramètres!$A$1:$I$89,5,0)</f>
        <v>-1.3596945791505279E-13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373.61861223558259</v>
      </c>
      <c r="CE84" s="59">
        <f t="shared" si="94"/>
        <v>277.62293009761049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150.26198872825918</v>
      </c>
      <c r="CL84" s="21">
        <f>EXP(-LN(2)/25)*CL83+(1-EXP(-LN(2)/25))/(LN(2)/25)*Calculateur!CG84*Calculateur!CI84*VLOOKUP('Données projet'!$B$12,Paramètres!$A$1:$I$89,3,0)*0.475*44/12</f>
        <v>50.329420183557033</v>
      </c>
      <c r="CM84" s="21">
        <f>EXP(-LN(2)/2)*CM83+(1-EXP(-LN(2)/2))/(LN(2)/2)*CG84*CJ84*VLOOKUP('Données projet'!$B$12,Paramètres!$A$1:$I$89,3,0)*0.475*44/12</f>
        <v>50.004217667481512</v>
      </c>
      <c r="CN84" s="22">
        <f t="shared" si="66"/>
        <v>250.59562657929774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>
        <f>VLOOKUP(A85,'Données projet'!$A$35:$I$55,2,0)</f>
        <v>436.17</v>
      </c>
      <c r="L85" s="12">
        <f>VLOOKUP(A85,'Données projet'!$A$35:$I$55,9,0)</f>
        <v>12.082500000000003</v>
      </c>
      <c r="M85" s="12">
        <f t="array" ref="M85">INDEX(L:L,MIN(IF(ISNUMBER(L85:L281),ROW(L85:L281),"")))</f>
        <v>12.082500000000003</v>
      </c>
      <c r="N85" s="13">
        <f>IF('Données projet'!$A$36&gt;35,N84+M85-V84,IF(A85&lt;'Données projet'!$A$36,$K$205^A85,IF(A85='Données projet'!$A$36,'Données projet'!$B$36,N84+M85-V84)))</f>
        <v>436.16999999999996</v>
      </c>
      <c r="O85" s="13">
        <f>N85*VLOOKUP('Données projet'!$B$9,Paramètres!$A$1:$I$89,3,0)*VLOOKUP('Données projet'!$B$9,Paramètres!$A$1:$I$89,5,0)</f>
        <v>394.64661599999999</v>
      </c>
      <c r="P85" s="13">
        <f t="shared" si="87"/>
        <v>90.690499158874985</v>
      </c>
      <c r="Q85" s="20">
        <f t="shared" si="54"/>
        <v>845.29547556837406</v>
      </c>
      <c r="R85" s="59">
        <f t="shared" si="55"/>
        <v>1116.8015672003612</v>
      </c>
      <c r="S85" s="59">
        <f ca="1">AVERAGE(OFFSET($R$3,0,0,'Données projet'!$E$9+1,1))-AVERAGE(OFFSET($H$3,0,0,'Données projet'!$E$9+1,1))</f>
        <v>737.40414421611001</v>
      </c>
      <c r="T85" s="59">
        <f t="shared" si="88"/>
        <v>245.32893490531674</v>
      </c>
      <c r="U85" s="15">
        <f>IF(ISNA(VLOOKUP(A85,'Données projet'!$A$35:$I$55,3,0)),0,VLOOKUP(A85,'Données projet'!$A$35:$I$55,3,0))</f>
        <v>7</v>
      </c>
      <c r="V85" s="15">
        <f>IF(ISNA(VLOOKUP(A85,'Données projet'!$A$35:$I$55,4,0)),0,VLOOKUP(A85,'Données projet'!$A$35:$I$55,4,0))</f>
        <v>58.140000000000043</v>
      </c>
      <c r="W85" s="16">
        <f>IF(ISNA(VLOOKUP(A85,'Données projet'!$A$35:$I$55,5,0)),0%,VLOOKUP(A85,'Données projet'!$A$35:$I$55,5,0)*VLOOKUP('Données projet'!$B$9,Paramètres!$A$1:$I$89,7,0))</f>
        <v>0.15049999999999999</v>
      </c>
      <c r="X85" s="16">
        <f>IF(ISNA(VLOOKUP(A85,'Données projet'!$A$35:$I$55,6,0)),0%,VLOOKUP(A85,'Données projet'!$A$35:$I$55,6,0)*VLOOKUP('Données projet'!$B$9,Paramètres!$A$1:$I$89,7,0))</f>
        <v>8.6000000000000007E-2</v>
      </c>
      <c r="Y85" s="16">
        <f>IF(ISNA(VLOOKUP(A85,'Données projet'!$A$35:$I$55,7,0)),0%,VLOOKUP(A85,'Données projet'!$A$35:$I$55,7,0))</f>
        <v>0.1</v>
      </c>
      <c r="Z85" s="21">
        <f>EXP(-LN(2)/35)*Z84+(1-EXP(-LN(2)/35))/(LN(2)/35)*V85*W85*VLOOKUP('Données projet'!$B$9,Paramètres!$A$1:$I$89,3,0)*0.475*44/12</f>
        <v>32.971397908241109</v>
      </c>
      <c r="AA85" s="21">
        <f>EXP(-LN(2)/25)*AA84+(1-EXP(-LN(2)/25))/(LN(2)/25)*Calculateur!V85*Calculateur!X85*VLOOKUP('Données projet'!$B$9,Paramètres!$A$1:$I$89,3,0)*0.475*44/12</f>
        <v>37.126114373591477</v>
      </c>
      <c r="AB85" s="21">
        <f>EXP(-LN(2)/2)*AB84+(1-EXP(-LN(2)/2))/(LN(2)/2)*V85*Y85*VLOOKUP('Données projet'!$B$9,Paramètres!$A$1:$I$89,3,0)*0.475*44/12</f>
        <v>5.3922211495490986</v>
      </c>
      <c r="AC85" s="22">
        <f t="shared" si="57"/>
        <v>75.489733431381694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1.3999999999999773</v>
      </c>
      <c r="AJ85" s="13">
        <f>AI85*VLOOKUP('Données projet'!$B$10,Paramètres!$A$1:$I$89,3,0)*VLOOKUP('Données projet'!$B$10,Paramètres!$A$1:$I$89,5,0)</f>
        <v>0.83719999999998651</v>
      </c>
      <c r="AK85" s="13">
        <f t="shared" si="89"/>
        <v>0.39388003094446933</v>
      </c>
      <c r="AL85" s="20">
        <f t="shared" si="58"/>
        <v>2.144131053894927</v>
      </c>
      <c r="AM85" s="59">
        <f t="shared" si="59"/>
        <v>273.65022268588194</v>
      </c>
      <c r="AN85" s="59">
        <f ca="1">AVERAGE(OFFSET($AM$3,0,0,'Données projet'!$E$10+1,1))-AVERAGE(OFFSET($H$3,0,0,'Données projet'!$E$10+1,1))</f>
        <v>318.6615972007902</v>
      </c>
      <c r="AO85" s="59">
        <f t="shared" si="90"/>
        <v>326.82168950869504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89.475542095756822</v>
      </c>
      <c r="AV85" s="21">
        <f>EXP(-LN(2)/25)*AV84+(1-EXP(-LN(2)/25))/(LN(2)/25)*Calculateur!AQ85*Calculateur!AS85*VLOOKUP('Données projet'!$B$10,Paramètres!$A$1:$I$89,3,0)*0.475*44/12</f>
        <v>26.205850805476437</v>
      </c>
      <c r="AW85" s="21">
        <f>EXP(-LN(2)/2)*AW84+(1-EXP(-LN(2)/2))/(LN(2)/2)*AQ85*AT85*VLOOKUP('Données projet'!$B$10,Paramètres!$A$1:$I$89,3,0)*0.475*44/12</f>
        <v>2.9183981314271783E-2</v>
      </c>
      <c r="AX85" s="21">
        <f t="shared" si="60"/>
        <v>115.71057688254754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3.6</v>
      </c>
      <c r="BD85" s="12">
        <f>IF('Données projet'!$A$88&gt;35,BD84+BC85-BL84,IF(A85&lt;'Données projet'!$A$88,$BA$205^A85,IF(A85='Données projet'!$A$88,'Données projet'!$B$88,BD84+BC85-BL84)))</f>
        <v>208.19999999999987</v>
      </c>
      <c r="BE85" s="13">
        <f>BD85*VLOOKUP('Données projet'!$B$11,Paramètres!$A$1:$I$89,3,0)*VLOOKUP('Données projet'!$B$11,Paramètres!$A$1:$I$89,5,0)</f>
        <v>211.11479999999989</v>
      </c>
      <c r="BF85" s="13">
        <f t="shared" si="91"/>
        <v>52.179122428493628</v>
      </c>
      <c r="BG85" s="20">
        <f t="shared" si="61"/>
        <v>458.57024822962609</v>
      </c>
      <c r="BH85" s="59">
        <f t="shared" si="62"/>
        <v>730.07633986161318</v>
      </c>
      <c r="BI85" s="59">
        <f ca="1">AVERAGE(OFFSET($BH$3,0,0,'Données projet'!$E$11+1,1))-AVERAGE(OFFSET($H$3,0,0,'Données projet'!$E$11+1,1))</f>
        <v>402.96916953216805</v>
      </c>
      <c r="BJ85" s="59">
        <f t="shared" si="92"/>
        <v>164.89273051331318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6.7432873660997625</v>
      </c>
      <c r="BR85" s="21">
        <f>EXP(-LN(2)/2)*BR84+(1-EXP(-LN(2)/2))/(LN(2)/2)*BL85*BO85*VLOOKUP('Données projet'!$B$11,Paramètres!$A$1:$I$89,3,0)*0.475*44/12</f>
        <v>1.4535270253325943</v>
      </c>
      <c r="BS85" s="22">
        <f t="shared" si="63"/>
        <v>8.1968143914323566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-2.2737367544323206E-13</v>
      </c>
      <c r="BZ85" s="13">
        <f>BY85*VLOOKUP('Données projet'!$B$12,Paramètres!$A$1:$I$89,3,0)*VLOOKUP('Données projet'!$B$12,Paramètres!$A$1:$I$89,5,0)</f>
        <v>-1.3596945791505279E-13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373.61861223558259</v>
      </c>
      <c r="CE85" s="59">
        <f t="shared" si="94"/>
        <v>277.62293009761049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147.31544278006137</v>
      </c>
      <c r="CL85" s="21">
        <f>EXP(-LN(2)/25)*CL84+(1-EXP(-LN(2)/25))/(LN(2)/25)*Calculateur!CG85*Calculateur!CI85*VLOOKUP('Données projet'!$B$12,Paramètres!$A$1:$I$89,3,0)*0.475*44/12</f>
        <v>48.953159541928486</v>
      </c>
      <c r="CM85" s="21">
        <f>EXP(-LN(2)/2)*CM84+(1-EXP(-LN(2)/2))/(LN(2)/2)*CG85*CJ85*VLOOKUP('Données projet'!$B$12,Paramètres!$A$1:$I$89,3,0)*0.475*44/12</f>
        <v>35.358321400604346</v>
      </c>
      <c r="CN85" s="22">
        <f t="shared" si="66"/>
        <v>231.62692372259423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11.667500000000004</v>
      </c>
      <c r="N86" s="13">
        <f>IF('Données projet'!$A$36&gt;35,N85+M86-V85,IF(A86&lt;'Données projet'!$A$36,$K$205^A86,IF(A86='Données projet'!$A$36,'Données projet'!$B$36,N85+M86-V85)))</f>
        <v>389.69749999999993</v>
      </c>
      <c r="O86" s="13">
        <f>N86*VLOOKUP('Données projet'!$B$9,Paramètres!$A$1:$I$89,3,0)*VLOOKUP('Données projet'!$B$9,Paramètres!$A$1:$I$89,5,0)</f>
        <v>352.59829799999994</v>
      </c>
      <c r="P86" s="13">
        <f t="shared" si="87"/>
        <v>82.097297257859907</v>
      </c>
      <c r="Q86" s="20">
        <f t="shared" si="54"/>
        <v>757.09482840743919</v>
      </c>
      <c r="R86" s="59">
        <f t="shared" si="55"/>
        <v>1028.9795738845428</v>
      </c>
      <c r="S86" s="59">
        <f ca="1">AVERAGE(OFFSET($R$3,0,0,'Données projet'!$E$9+1,1))-AVERAGE(OFFSET($H$3,0,0,'Données projet'!$E$9+1,1))</f>
        <v>737.40414421611001</v>
      </c>
      <c r="T86" s="59">
        <f t="shared" si="88"/>
        <v>245.32893490531674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32.324848905827473</v>
      </c>
      <c r="AA86" s="21">
        <f>EXP(-LN(2)/25)*AA85+(1-EXP(-LN(2)/25))/(LN(2)/25)*Calculateur!V86*Calculateur!X86*VLOOKUP('Données projet'!$B$9,Paramètres!$A$1:$I$89,3,0)*0.475*44/12</f>
        <v>36.110898823668116</v>
      </c>
      <c r="AB86" s="21">
        <f>EXP(-LN(2)/2)*AB85+(1-EXP(-LN(2)/2))/(LN(2)/2)*V86*Y86*VLOOKUP('Données projet'!$B$9,Paramètres!$A$1:$I$89,3,0)*0.475*44/12</f>
        <v>3.8128761405036884</v>
      </c>
      <c r="AC86" s="22">
        <f t="shared" si="57"/>
        <v>72.248623869999278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1.3999999999999773</v>
      </c>
      <c r="AJ86" s="13">
        <f>AI86*VLOOKUP('Données projet'!$B$10,Paramètres!$A$1:$I$89,3,0)*VLOOKUP('Données projet'!$B$10,Paramètres!$A$1:$I$89,5,0)</f>
        <v>0.83719999999998651</v>
      </c>
      <c r="AK86" s="13">
        <f t="shared" si="89"/>
        <v>0.39388003094446933</v>
      </c>
      <c r="AL86" s="20">
        <f t="shared" si="58"/>
        <v>2.144131053894927</v>
      </c>
      <c r="AM86" s="59">
        <f t="shared" si="59"/>
        <v>274.02887653099839</v>
      </c>
      <c r="AN86" s="59">
        <f ca="1">AVERAGE(OFFSET($AM$3,0,0,'Données projet'!$E$10+1,1))-AVERAGE(OFFSET($H$3,0,0,'Données projet'!$E$10+1,1))</f>
        <v>318.6615972007902</v>
      </c>
      <c r="AO86" s="59">
        <f t="shared" si="90"/>
        <v>326.82168950869504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87.720981289950899</v>
      </c>
      <c r="AV86" s="21">
        <f>EXP(-LN(2)/25)*AV85+(1-EXP(-LN(2)/25))/(LN(2)/25)*Calculateur!AQ86*Calculateur!AS86*VLOOKUP('Données projet'!$B$10,Paramètres!$A$1:$I$89,3,0)*0.475*44/12</f>
        <v>25.489250437094885</v>
      </c>
      <c r="AW86" s="21">
        <f>EXP(-LN(2)/2)*AW85+(1-EXP(-LN(2)/2))/(LN(2)/2)*AQ86*AT86*VLOOKUP('Données projet'!$B$10,Paramètres!$A$1:$I$89,3,0)*0.475*44/12</f>
        <v>2.0636191089343069E-2</v>
      </c>
      <c r="AX86" s="21">
        <f t="shared" si="60"/>
        <v>113.23086791813512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3.6</v>
      </c>
      <c r="BD86" s="12">
        <f>IF('Données projet'!$A$88&gt;35,BD85+BC86-BL85,IF(A86&lt;'Données projet'!$A$88,$BA$205^A86,IF(A86='Données projet'!$A$88,'Données projet'!$B$88,BD85+BC86-BL85)))</f>
        <v>211.79999999999987</v>
      </c>
      <c r="BE86" s="13">
        <f>BD86*VLOOKUP('Données projet'!$B$11,Paramètres!$A$1:$I$89,3,0)*VLOOKUP('Données projet'!$B$11,Paramètres!$A$1:$I$89,5,0)</f>
        <v>214.76519999999991</v>
      </c>
      <c r="BF86" s="13">
        <f t="shared" si="91"/>
        <v>52.975538059190747</v>
      </c>
      <c r="BG86" s="20">
        <f t="shared" si="61"/>
        <v>466.31511878642374</v>
      </c>
      <c r="BH86" s="59">
        <f t="shared" si="62"/>
        <v>738.19986426352716</v>
      </c>
      <c r="BI86" s="59">
        <f ca="1">AVERAGE(OFFSET($BH$3,0,0,'Données projet'!$E$11+1,1))-AVERAGE(OFFSET($H$3,0,0,'Données projet'!$E$11+1,1))</f>
        <v>402.96916953216805</v>
      </c>
      <c r="BJ86" s="59">
        <f t="shared" si="92"/>
        <v>164.89273051331318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6.5588918184596938</v>
      </c>
      <c r="BR86" s="21">
        <f>EXP(-LN(2)/2)*BR85+(1-EXP(-LN(2)/2))/(LN(2)/2)*BL86*BO86*VLOOKUP('Données projet'!$B$11,Paramètres!$A$1:$I$89,3,0)*0.475*44/12</f>
        <v>1.0277988162505882</v>
      </c>
      <c r="BS86" s="22">
        <f t="shared" si="63"/>
        <v>7.5866906347102816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-2.2737367544323206E-13</v>
      </c>
      <c r="BZ86" s="13">
        <f>BY86*VLOOKUP('Données projet'!$B$12,Paramètres!$A$1:$I$89,3,0)*VLOOKUP('Données projet'!$B$12,Paramètres!$A$1:$I$89,5,0)</f>
        <v>-1.3596945791505279E-13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373.61861223558259</v>
      </c>
      <c r="CE86" s="59">
        <f t="shared" si="94"/>
        <v>277.62293009761049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144.42667680069218</v>
      </c>
      <c r="CL86" s="21">
        <f>EXP(-LN(2)/25)*CL85+(1-EXP(-LN(2)/25))/(LN(2)/25)*Calculateur!CG86*Calculateur!CI86*VLOOKUP('Données projet'!$B$12,Paramètres!$A$1:$I$89,3,0)*0.475*44/12</f>
        <v>47.614532819919674</v>
      </c>
      <c r="CM86" s="21">
        <f>EXP(-LN(2)/2)*CM85+(1-EXP(-LN(2)/2))/(LN(2)/2)*CG86*CJ86*VLOOKUP('Données projet'!$B$12,Paramètres!$A$1:$I$89,3,0)*0.475*44/12</f>
        <v>25.00210883374076</v>
      </c>
      <c r="CN86" s="22">
        <f t="shared" si="66"/>
        <v>217.0433184543526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11.667500000000004</v>
      </c>
      <c r="N87" s="13">
        <f>IF('Données projet'!$A$36&gt;35,N86+M87-V86,IF(A87&lt;'Données projet'!$A$36,$K$205^A87,IF(A87='Données projet'!$A$36,'Données projet'!$B$36,N86+M87-V86)))</f>
        <v>401.36499999999995</v>
      </c>
      <c r="O87" s="13">
        <f>N87*VLOOKUP('Données projet'!$B$9,Paramètres!$A$1:$I$89,3,0)*VLOOKUP('Données projet'!$B$9,Paramètres!$A$1:$I$89,5,0)</f>
        <v>363.15505199999996</v>
      </c>
      <c r="P87" s="13">
        <f t="shared" si="87"/>
        <v>84.265428925746718</v>
      </c>
      <c r="Q87" s="20">
        <f t="shared" si="54"/>
        <v>779.25733761234221</v>
      </c>
      <c r="R87" s="59">
        <f t="shared" si="55"/>
        <v>1051.5141681368925</v>
      </c>
      <c r="S87" s="59">
        <f ca="1">AVERAGE(OFFSET($R$3,0,0,'Données projet'!$E$9+1,1))-AVERAGE(OFFSET($H$3,0,0,'Données projet'!$E$9+1,1))</f>
        <v>737.40414421611001</v>
      </c>
      <c r="T87" s="59">
        <f t="shared" si="88"/>
        <v>245.32893490531674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31.690978334995215</v>
      </c>
      <c r="AA87" s="21">
        <f>EXP(-LN(2)/25)*AA86+(1-EXP(-LN(2)/25))/(LN(2)/25)*Calculateur!V87*Calculateur!X87*VLOOKUP('Données projet'!$B$9,Paramètres!$A$1:$I$89,3,0)*0.475*44/12</f>
        <v>35.123444396345278</v>
      </c>
      <c r="AB87" s="21">
        <f>EXP(-LN(2)/2)*AB86+(1-EXP(-LN(2)/2))/(LN(2)/2)*V87*Y87*VLOOKUP('Données projet'!$B$9,Paramètres!$A$1:$I$89,3,0)*0.475*44/12</f>
        <v>2.6961105747745497</v>
      </c>
      <c r="AC87" s="22">
        <f t="shared" si="57"/>
        <v>69.51053330611505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1.3999999999999773</v>
      </c>
      <c r="AJ87" s="13">
        <f>AI87*VLOOKUP('Données projet'!$B$10,Paramètres!$A$1:$I$89,3,0)*VLOOKUP('Données projet'!$B$10,Paramètres!$A$1:$I$89,5,0)</f>
        <v>0.83719999999998651</v>
      </c>
      <c r="AK87" s="13">
        <f t="shared" si="89"/>
        <v>0.39388003094446933</v>
      </c>
      <c r="AL87" s="20">
        <f t="shared" si="58"/>
        <v>2.144131053894927</v>
      </c>
      <c r="AM87" s="59">
        <f t="shared" si="59"/>
        <v>274.40096157844522</v>
      </c>
      <c r="AN87" s="59">
        <f ca="1">AVERAGE(OFFSET($AM$3,0,0,'Données projet'!$E$10+1,1))-AVERAGE(OFFSET($H$3,0,0,'Données projet'!$E$10+1,1))</f>
        <v>318.6615972007902</v>
      </c>
      <c r="AO87" s="59">
        <f t="shared" si="90"/>
        <v>326.82168950869504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86.000826351370421</v>
      </c>
      <c r="AV87" s="21">
        <f>EXP(-LN(2)/25)*AV86+(1-EXP(-LN(2)/25))/(LN(2)/25)*Calculateur!AQ87*Calculateur!AS87*VLOOKUP('Données projet'!$B$10,Paramètres!$A$1:$I$89,3,0)*0.475*44/12</f>
        <v>24.7922455434711</v>
      </c>
      <c r="AW87" s="21">
        <f>EXP(-LN(2)/2)*AW86+(1-EXP(-LN(2)/2))/(LN(2)/2)*AQ87*AT87*VLOOKUP('Données projet'!$B$10,Paramètres!$A$1:$I$89,3,0)*0.475*44/12</f>
        <v>1.4591990657135892E-2</v>
      </c>
      <c r="AX87" s="21">
        <f t="shared" si="60"/>
        <v>110.80766388549866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3.6</v>
      </c>
      <c r="BD87" s="12">
        <f>IF('Données projet'!$A$88&gt;35,BD86+BC87-BL86,IF(A87&lt;'Données projet'!$A$88,$BA$205^A87,IF(A87='Données projet'!$A$88,'Données projet'!$B$88,BD86+BC87-BL86)))</f>
        <v>215.39999999999986</v>
      </c>
      <c r="BE87" s="13">
        <f>BD87*VLOOKUP('Données projet'!$B$11,Paramètres!$A$1:$I$89,3,0)*VLOOKUP('Données projet'!$B$11,Paramètres!$A$1:$I$89,5,0)</f>
        <v>218.41559999999987</v>
      </c>
      <c r="BF87" s="13">
        <f t="shared" si="91"/>
        <v>53.770379482810164</v>
      </c>
      <c r="BG87" s="20">
        <f t="shared" si="61"/>
        <v>474.05724759922737</v>
      </c>
      <c r="BH87" s="59">
        <f t="shared" si="62"/>
        <v>746.31407812377768</v>
      </c>
      <c r="BI87" s="59">
        <f ca="1">AVERAGE(OFFSET($BH$3,0,0,'Données projet'!$E$11+1,1))-AVERAGE(OFFSET($H$3,0,0,'Données projet'!$E$11+1,1))</f>
        <v>402.96916953216805</v>
      </c>
      <c r="BJ87" s="59">
        <f t="shared" si="92"/>
        <v>164.89273051331318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6.3795385767667829</v>
      </c>
      <c r="BR87" s="21">
        <f>EXP(-LN(2)/2)*BR86+(1-EXP(-LN(2)/2))/(LN(2)/2)*BL87*BO87*VLOOKUP('Données projet'!$B$11,Paramètres!$A$1:$I$89,3,0)*0.475*44/12</f>
        <v>0.72676351266629735</v>
      </c>
      <c r="BS87" s="22">
        <f t="shared" si="63"/>
        <v>7.1063020894330799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-2.2737367544323206E-13</v>
      </c>
      <c r="BZ87" s="13">
        <f>BY87*VLOOKUP('Données projet'!$B$12,Paramètres!$A$1:$I$89,3,0)*VLOOKUP('Données projet'!$B$12,Paramètres!$A$1:$I$89,5,0)</f>
        <v>-1.3596945791505279E-13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373.61861223558259</v>
      </c>
      <c r="CE87" s="59">
        <f t="shared" si="94"/>
        <v>277.62293009761049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141.59455776020513</v>
      </c>
      <c r="CL87" s="21">
        <f>EXP(-LN(2)/25)*CL86+(1-EXP(-LN(2)/25))/(LN(2)/25)*Calculateur!CG87*Calculateur!CI87*VLOOKUP('Données projet'!$B$12,Paramètres!$A$1:$I$89,3,0)*0.475*44/12</f>
        <v>46.312510916019512</v>
      </c>
      <c r="CM87" s="21">
        <f>EXP(-LN(2)/2)*CM86+(1-EXP(-LN(2)/2))/(LN(2)/2)*CG87*CJ87*VLOOKUP('Données projet'!$B$12,Paramètres!$A$1:$I$89,3,0)*0.475*44/12</f>
        <v>17.679160700302177</v>
      </c>
      <c r="CN87" s="22">
        <f t="shared" si="66"/>
        <v>205.58622937652683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11.667500000000004</v>
      </c>
      <c r="N88" s="13">
        <f>IF('Données projet'!$A$36&gt;35,N87+M88-V87,IF(A88&lt;'Données projet'!$A$36,$K$205^A88,IF(A88='Données projet'!$A$36,'Données projet'!$B$36,N87+M88-V87)))</f>
        <v>413.03249999999997</v>
      </c>
      <c r="O88" s="13">
        <f>N88*VLOOKUP('Données projet'!$B$9,Paramètres!$A$1:$I$89,3,0)*VLOOKUP('Données projet'!$B$9,Paramètres!$A$1:$I$89,5,0)</f>
        <v>373.71180599999997</v>
      </c>
      <c r="P88" s="13">
        <f t="shared" si="87"/>
        <v>86.426235603807172</v>
      </c>
      <c r="Q88" s="20">
        <f t="shared" si="54"/>
        <v>801.40708912663069</v>
      </c>
      <c r="R88" s="59">
        <f t="shared" si="55"/>
        <v>1074.0295498549121</v>
      </c>
      <c r="S88" s="59">
        <f ca="1">AVERAGE(OFFSET($R$3,0,0,'Données projet'!$E$9+1,1))-AVERAGE(OFFSET($H$3,0,0,'Données projet'!$E$9+1,1))</f>
        <v>737.40414421611001</v>
      </c>
      <c r="T88" s="59">
        <f t="shared" si="88"/>
        <v>245.32893490531674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31.069537579434105</v>
      </c>
      <c r="AA88" s="21">
        <f>EXP(-LN(2)/25)*AA87+(1-EXP(-LN(2)/25))/(LN(2)/25)*Calculateur!V88*Calculateur!X88*VLOOKUP('Données projet'!$B$9,Paramètres!$A$1:$I$89,3,0)*0.475*44/12</f>
        <v>34.162991962265551</v>
      </c>
      <c r="AB88" s="21">
        <f>EXP(-LN(2)/2)*AB87+(1-EXP(-LN(2)/2))/(LN(2)/2)*V88*Y88*VLOOKUP('Données projet'!$B$9,Paramètres!$A$1:$I$89,3,0)*0.475*44/12</f>
        <v>1.9064380702518446</v>
      </c>
      <c r="AC88" s="22">
        <f t="shared" si="57"/>
        <v>67.138967611951486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1.3999999999999773</v>
      </c>
      <c r="AJ88" s="13">
        <f>AI88*VLOOKUP('Données projet'!$B$10,Paramètres!$A$1:$I$89,3,0)*VLOOKUP('Données projet'!$B$10,Paramètres!$A$1:$I$89,5,0)</f>
        <v>0.83719999999998651</v>
      </c>
      <c r="AK88" s="13">
        <f t="shared" si="89"/>
        <v>0.39388003094446933</v>
      </c>
      <c r="AL88" s="20">
        <f t="shared" si="58"/>
        <v>2.144131053894927</v>
      </c>
      <c r="AM88" s="59">
        <f t="shared" si="59"/>
        <v>274.76659178217642</v>
      </c>
      <c r="AN88" s="59">
        <f ca="1">AVERAGE(OFFSET($AM$3,0,0,'Données projet'!$E$10+1,1))-AVERAGE(OFFSET($H$3,0,0,'Données projet'!$E$10+1,1))</f>
        <v>318.6615972007902</v>
      </c>
      <c r="AO88" s="59">
        <f t="shared" si="90"/>
        <v>326.82168950869504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84.314402601944593</v>
      </c>
      <c r="AV88" s="21">
        <f>EXP(-LN(2)/25)*AV87+(1-EXP(-LN(2)/25))/(LN(2)/25)*Calculateur!AQ88*Calculateur!AS88*VLOOKUP('Données projet'!$B$10,Paramètres!$A$1:$I$89,3,0)*0.475*44/12</f>
        <v>24.114300285317352</v>
      </c>
      <c r="AW88" s="21">
        <f>EXP(-LN(2)/2)*AW87+(1-EXP(-LN(2)/2))/(LN(2)/2)*AQ88*AT88*VLOOKUP('Données projet'!$B$10,Paramètres!$A$1:$I$89,3,0)*0.475*44/12</f>
        <v>1.0318095544671535E-2</v>
      </c>
      <c r="AX88" s="21">
        <f t="shared" si="60"/>
        <v>108.43902098280662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219</v>
      </c>
      <c r="BB88" s="12">
        <f>VLOOKUP(A88,'Données projet'!$A$87:$I$107,9,0)</f>
        <v>3.6</v>
      </c>
      <c r="BC88" s="12">
        <f t="array" ref="BC88">INDEX(BB:BB,MIN(IF(ISNUMBER(BB88:BB284),ROW(BB88:BB284),"")))</f>
        <v>3.6</v>
      </c>
      <c r="BD88" s="12">
        <f>IF('Données projet'!$A$88&gt;35,BD87+BC88-BL87,IF(A88&lt;'Données projet'!$A$88,$BA$205^A88,IF(A88='Données projet'!$A$88,'Données projet'!$B$88,BD87+BC88-BL87)))</f>
        <v>218.99999999999986</v>
      </c>
      <c r="BE88" s="13">
        <f>BD88*VLOOKUP('Données projet'!$B$11,Paramètres!$A$1:$I$89,3,0)*VLOOKUP('Données projet'!$B$11,Paramètres!$A$1:$I$89,5,0)</f>
        <v>222.06599999999986</v>
      </c>
      <c r="BF88" s="13">
        <f t="shared" si="91"/>
        <v>54.563676045889295</v>
      </c>
      <c r="BG88" s="20">
        <f t="shared" si="61"/>
        <v>481.79668577992356</v>
      </c>
      <c r="BH88" s="59">
        <f t="shared" si="62"/>
        <v>754.41914650820513</v>
      </c>
      <c r="BI88" s="59">
        <f ca="1">AVERAGE(OFFSET($BH$3,0,0,'Données projet'!$E$11+1,1))-AVERAGE(OFFSET($H$3,0,0,'Données projet'!$E$11+1,1))</f>
        <v>402.96916953216805</v>
      </c>
      <c r="BJ88" s="59">
        <f t="shared" si="92"/>
        <v>164.89273051331318</v>
      </c>
      <c r="BK88" s="15">
        <f>IF(ISNA(VLOOKUP(A88,'Données projet'!$A$87:$I$107,3,0)),0,VLOOKUP(A88,'Données projet'!$A$87:$I$107,3,0))</f>
        <v>11</v>
      </c>
      <c r="BL88" s="15">
        <f>IF(ISNA(VLOOKUP(A88,'Données projet'!$A$87:$I$107,4,0)),0,VLOOKUP(A88,'Données projet'!$A$87:$I$107,4,0))</f>
        <v>10</v>
      </c>
      <c r="BM88" s="16">
        <f>IF(ISNA(VLOOKUP(A88,'Données projet'!$A$87:$I$107,5,0)),0%,VLOOKUP(A88,'Données projet'!$A$87:$I$107,5,0)*VLOOKUP('Données projet'!$B$11,Paramètres!$A$1:$I$89,7,0))</f>
        <v>0.1075</v>
      </c>
      <c r="BN88" s="16">
        <f>IF(ISNA(VLOOKUP(A88,'Données projet'!$A$87:$I$107,6,0)),0%,VLOOKUP(A88,'Données projet'!$A$87:$I$107,6,0)*VLOOKUP('Données projet'!$B$11,Paramètres!$A$1:$I$89,7,0))</f>
        <v>0.1075</v>
      </c>
      <c r="BO88" s="16">
        <f>IF(ISNA(VLOOKUP(A88,'Données projet'!$A$87:$I$107,7,0)),0%,VLOOKUP(A88,'Données projet'!$A$87:$I$107,7,0))</f>
        <v>0.25</v>
      </c>
      <c r="BP88" s="21">
        <f>EXP(-LN(2)/35)*BP87+(1-EXP(-LN(2)/35))/(LN(2)/35)*BL88*BM88*VLOOKUP('Données projet'!$B$11,Paramètres!$A$1:$I$89,3,0)*0.475*44/12</f>
        <v>1.2050179872098921</v>
      </c>
      <c r="BQ88" s="21">
        <f>EXP(-LN(2)/25)*BQ87+(1-EXP(-LN(2)/25))/(LN(2)/25)*Calculateur!BL88*Calculateur!BN88*VLOOKUP('Données projet'!$B$11,Paramètres!$A$1:$I$89,3,0)*0.475*44/12</f>
        <v>7.4053631311461396</v>
      </c>
      <c r="BR88" s="21">
        <f>EXP(-LN(2)/2)*BR87+(1-EXP(-LN(2)/2))/(LN(2)/2)*BL88*BO88*VLOOKUP('Données projet'!$B$11,Paramètres!$A$1:$I$89,3,0)*0.475*44/12</f>
        <v>2.9057401366499533</v>
      </c>
      <c r="BS88" s="22">
        <f t="shared" si="63"/>
        <v>11.516121255005984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-2.2737367544323206E-13</v>
      </c>
      <c r="BZ88" s="13">
        <f>BY88*VLOOKUP('Données projet'!$B$12,Paramètres!$A$1:$I$89,3,0)*VLOOKUP('Données projet'!$B$12,Paramètres!$A$1:$I$89,5,0)</f>
        <v>-1.3596945791505279E-13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373.61861223558259</v>
      </c>
      <c r="CE88" s="59">
        <f t="shared" si="94"/>
        <v>277.62293009761049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138.81797484667999</v>
      </c>
      <c r="CL88" s="21">
        <f>EXP(-LN(2)/25)*CL87+(1-EXP(-LN(2)/25))/(LN(2)/25)*Calculateur!CG88*Calculateur!CI88*VLOOKUP('Données projet'!$B$12,Paramètres!$A$1:$I$89,3,0)*0.475*44/12</f>
        <v>45.046092869551856</v>
      </c>
      <c r="CM88" s="21">
        <f>EXP(-LN(2)/2)*CM87+(1-EXP(-LN(2)/2))/(LN(2)/2)*CG88*CJ88*VLOOKUP('Données projet'!$B$12,Paramètres!$A$1:$I$89,3,0)*0.475*44/12</f>
        <v>12.501054416870382</v>
      </c>
      <c r="CN88" s="22">
        <f t="shared" si="66"/>
        <v>196.3651221331022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11.667500000000004</v>
      </c>
      <c r="N89" s="13">
        <f>IF('Données projet'!$A$36&gt;35,N88+M89-V88,IF(A89&lt;'Données projet'!$A$36,$K$205^A89,IF(A89='Données projet'!$A$36,'Données projet'!$B$36,N88+M89-V88)))</f>
        <v>424.7</v>
      </c>
      <c r="O89" s="13">
        <f>N89*VLOOKUP('Données projet'!$B$9,Paramètres!$A$1:$I$89,3,0)*VLOOKUP('Données projet'!$B$9,Paramètres!$A$1:$I$89,5,0)</f>
        <v>384.26855999999998</v>
      </c>
      <c r="P89" s="13">
        <f t="shared" si="87"/>
        <v>88.579947979334634</v>
      </c>
      <c r="Q89" s="20">
        <f t="shared" si="54"/>
        <v>823.54448473067441</v>
      </c>
      <c r="R89" s="59">
        <f t="shared" si="55"/>
        <v>1096.5262327960791</v>
      </c>
      <c r="S89" s="59">
        <f ca="1">AVERAGE(OFFSET($R$3,0,0,'Données projet'!$E$9+1,1))-AVERAGE(OFFSET($H$3,0,0,'Données projet'!$E$9+1,1))</f>
        <v>737.40414421611001</v>
      </c>
      <c r="T89" s="59">
        <f t="shared" si="88"/>
        <v>245.32893490531674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30.460282898048114</v>
      </c>
      <c r="AA89" s="21">
        <f>EXP(-LN(2)/25)*AA88+(1-EXP(-LN(2)/25))/(LN(2)/25)*Calculateur!V89*Calculateur!X89*VLOOKUP('Données projet'!$B$9,Paramètres!$A$1:$I$89,3,0)*0.475*44/12</f>
        <v>33.22880315050373</v>
      </c>
      <c r="AB89" s="21">
        <f>EXP(-LN(2)/2)*AB88+(1-EXP(-LN(2)/2))/(LN(2)/2)*V89*Y89*VLOOKUP('Données projet'!$B$9,Paramètres!$A$1:$I$89,3,0)*0.475*44/12</f>
        <v>1.3480552873872751</v>
      </c>
      <c r="AC89" s="22">
        <f t="shared" si="57"/>
        <v>65.037141335939111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1.3999999999999773</v>
      </c>
      <c r="AJ89" s="13">
        <f>AI89*VLOOKUP('Données projet'!$B$10,Paramètres!$A$1:$I$89,3,0)*VLOOKUP('Données projet'!$B$10,Paramètres!$A$1:$I$89,5,0)</f>
        <v>0.83719999999998651</v>
      </c>
      <c r="AK89" s="13">
        <f t="shared" si="89"/>
        <v>0.39388003094446933</v>
      </c>
      <c r="AL89" s="20">
        <f t="shared" si="58"/>
        <v>2.144131053894927</v>
      </c>
      <c r="AM89" s="59">
        <f t="shared" si="59"/>
        <v>275.12587911929961</v>
      </c>
      <c r="AN89" s="59">
        <f ca="1">AVERAGE(OFFSET($AM$3,0,0,'Données projet'!$E$10+1,1))-AVERAGE(OFFSET($H$3,0,0,'Données projet'!$E$10+1,1))</f>
        <v>318.6615972007902</v>
      </c>
      <c r="AO89" s="59">
        <f t="shared" si="90"/>
        <v>326.82168950869504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82.661048593628081</v>
      </c>
      <c r="AV89" s="21">
        <f>EXP(-LN(2)/25)*AV88+(1-EXP(-LN(2)/25))/(LN(2)/25)*Calculateur!AQ89*Calculateur!AS89*VLOOKUP('Données projet'!$B$10,Paramètres!$A$1:$I$89,3,0)*0.475*44/12</f>
        <v>23.454893475899411</v>
      </c>
      <c r="AW89" s="21">
        <f>EXP(-LN(2)/2)*AW88+(1-EXP(-LN(2)/2))/(LN(2)/2)*AQ89*AT89*VLOOKUP('Données projet'!$B$10,Paramètres!$A$1:$I$89,3,0)*0.475*44/12</f>
        <v>7.2959953285679459E-3</v>
      </c>
      <c r="AX89" s="21">
        <f t="shared" si="60"/>
        <v>106.12323806485605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3.4</v>
      </c>
      <c r="BD89" s="12">
        <f>IF('Données projet'!$A$88&gt;35,BD88+BC89-BL88,IF(A89&lt;'Données projet'!$A$88,$BA$205^A89,IF(A89='Données projet'!$A$88,'Données projet'!$B$88,BD88+BC89-BL88)))</f>
        <v>212.39999999999986</v>
      </c>
      <c r="BE89" s="13">
        <f>BD89*VLOOKUP('Données projet'!$B$11,Paramètres!$A$1:$I$89,3,0)*VLOOKUP('Données projet'!$B$11,Paramètres!$A$1:$I$89,5,0)</f>
        <v>215.37359999999987</v>
      </c>
      <c r="BF89" s="13">
        <f t="shared" si="91"/>
        <v>53.108120144188916</v>
      </c>
      <c r="BG89" s="20">
        <f t="shared" si="61"/>
        <v>467.60566258446215</v>
      </c>
      <c r="BH89" s="59">
        <f t="shared" si="62"/>
        <v>740.5874106498668</v>
      </c>
      <c r="BI89" s="59">
        <f ca="1">AVERAGE(OFFSET($BH$3,0,0,'Données projet'!$E$11+1,1))-AVERAGE(OFFSET($H$3,0,0,'Données projet'!$E$11+1,1))</f>
        <v>402.96916953216805</v>
      </c>
      <c r="BJ89" s="59">
        <f t="shared" si="92"/>
        <v>164.89273051331318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1.1813883194691042</v>
      </c>
      <c r="BQ89" s="21">
        <f>EXP(-LN(2)/25)*BQ88+(1-EXP(-LN(2)/25))/(LN(2)/25)*Calculateur!BL89*Calculateur!BN89*VLOOKUP('Données projet'!$B$11,Paramètres!$A$1:$I$89,3,0)*0.475*44/12</f>
        <v>7.2028630868938262</v>
      </c>
      <c r="BR89" s="21">
        <f>EXP(-LN(2)/2)*BR88+(1-EXP(-LN(2)/2))/(LN(2)/2)*BL89*BO89*VLOOKUP('Données projet'!$B$11,Paramètres!$A$1:$I$89,3,0)*0.475*44/12</f>
        <v>2.0546685549911072</v>
      </c>
      <c r="BS89" s="22">
        <f t="shared" si="63"/>
        <v>10.438919961354037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-2.2737367544323206E-13</v>
      </c>
      <c r="BZ89" s="13">
        <f>BY89*VLOOKUP('Données projet'!$B$12,Paramètres!$A$1:$I$89,3,0)*VLOOKUP('Données projet'!$B$12,Paramètres!$A$1:$I$89,5,0)</f>
        <v>-1.3596945791505279E-13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373.61861223558259</v>
      </c>
      <c r="CE89" s="59">
        <f t="shared" si="94"/>
        <v>277.62293009761049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136.09583903054073</v>
      </c>
      <c r="CL89" s="21">
        <f>EXP(-LN(2)/25)*CL88+(1-EXP(-LN(2)/25))/(LN(2)/25)*Calculateur!CG89*Calculateur!CI89*VLOOKUP('Données projet'!$B$12,Paramètres!$A$1:$I$89,3,0)*0.475*44/12</f>
        <v>43.814305091162893</v>
      </c>
      <c r="CM89" s="21">
        <f>EXP(-LN(2)/2)*CM88+(1-EXP(-LN(2)/2))/(LN(2)/2)*CG89*CJ89*VLOOKUP('Données projet'!$B$12,Paramètres!$A$1:$I$89,3,0)*0.475*44/12</f>
        <v>8.8395803501510883</v>
      </c>
      <c r="CN89" s="22">
        <f t="shared" si="66"/>
        <v>188.74972447185473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11.667500000000004</v>
      </c>
      <c r="N90" s="13">
        <f>IF('Données projet'!$A$36&gt;35,N89+M90-V89,IF(A90&lt;'Données projet'!$A$36,$K$205^A90,IF(A90='Données projet'!$A$36,'Données projet'!$B$36,N89+M90-V89)))</f>
        <v>436.36750000000001</v>
      </c>
      <c r="O90" s="13">
        <f>N90*VLOOKUP('Données projet'!$B$9,Paramètres!$A$1:$I$89,3,0)*VLOOKUP('Données projet'!$B$9,Paramètres!$A$1:$I$89,5,0)</f>
        <v>394.82531399999999</v>
      </c>
      <c r="P90" s="13">
        <f t="shared" si="87"/>
        <v>90.726783343228391</v>
      </c>
      <c r="Q90" s="20">
        <f t="shared" si="54"/>
        <v>845.66990287278952</v>
      </c>
      <c r="R90" s="59">
        <f t="shared" si="55"/>
        <v>1119.0047054432644</v>
      </c>
      <c r="S90" s="59">
        <f ca="1">AVERAGE(OFFSET($R$3,0,0,'Données projet'!$E$9+1,1))-AVERAGE(OFFSET($H$3,0,0,'Données projet'!$E$9+1,1))</f>
        <v>737.40414421611001</v>
      </c>
      <c r="T90" s="59">
        <f t="shared" si="88"/>
        <v>245.32893490531674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29.862975329355439</v>
      </c>
      <c r="AA90" s="21">
        <f>EXP(-LN(2)/25)*AA89+(1-EXP(-LN(2)/25))/(LN(2)/25)*Calculateur!V90*Calculateur!X90*VLOOKUP('Données projet'!$B$9,Paramètres!$A$1:$I$89,3,0)*0.475*44/12</f>
        <v>32.320159780926396</v>
      </c>
      <c r="AB90" s="21">
        <f>EXP(-LN(2)/2)*AB89+(1-EXP(-LN(2)/2))/(LN(2)/2)*V90*Y90*VLOOKUP('Données projet'!$B$9,Paramètres!$A$1:$I$89,3,0)*0.475*44/12</f>
        <v>0.95321903512592243</v>
      </c>
      <c r="AC90" s="22">
        <f t="shared" si="57"/>
        <v>63.136354145407765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1.3999999999999773</v>
      </c>
      <c r="AJ90" s="13">
        <f>AI90*VLOOKUP('Données projet'!$B$10,Paramètres!$A$1:$I$89,3,0)*VLOOKUP('Données projet'!$B$10,Paramètres!$A$1:$I$89,5,0)</f>
        <v>0.83719999999998651</v>
      </c>
      <c r="AK90" s="13">
        <f t="shared" si="89"/>
        <v>0.39388003094446933</v>
      </c>
      <c r="AL90" s="20">
        <f t="shared" si="58"/>
        <v>2.144131053894927</v>
      </c>
      <c r="AM90" s="59">
        <f t="shared" si="59"/>
        <v>275.47893362436974</v>
      </c>
      <c r="AN90" s="59">
        <f ca="1">AVERAGE(OFFSET($AM$3,0,0,'Données projet'!$E$10+1,1))-AVERAGE(OFFSET($H$3,0,0,'Données projet'!$E$10+1,1))</f>
        <v>318.6615972007902</v>
      </c>
      <c r="AO90" s="59">
        <f t="shared" si="90"/>
        <v>326.82168950869504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81.040115848968284</v>
      </c>
      <c r="AV90" s="21">
        <f>EXP(-LN(2)/25)*AV89+(1-EXP(-LN(2)/25))/(LN(2)/25)*Calculateur!AQ90*Calculateur!AS90*VLOOKUP('Données projet'!$B$10,Paramètres!$A$1:$I$89,3,0)*0.475*44/12</f>
        <v>22.813518180361701</v>
      </c>
      <c r="AW90" s="21">
        <f>EXP(-LN(2)/2)*AW89+(1-EXP(-LN(2)/2))/(LN(2)/2)*AQ90*AT90*VLOOKUP('Données projet'!$B$10,Paramètres!$A$1:$I$89,3,0)*0.475*44/12</f>
        <v>5.1590477723357673E-3</v>
      </c>
      <c r="AX90" s="21">
        <f t="shared" si="60"/>
        <v>103.85879307710232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3.4</v>
      </c>
      <c r="BD90" s="12">
        <f>IF('Données projet'!$A$88&gt;35,BD89+BC90-BL89,IF(A90&lt;'Données projet'!$A$88,$BA$205^A90,IF(A90='Données projet'!$A$88,'Données projet'!$B$88,BD89+BC90-BL89)))</f>
        <v>215.79999999999987</v>
      </c>
      <c r="BE90" s="13">
        <f>BD90*VLOOKUP('Données projet'!$B$11,Paramètres!$A$1:$I$89,3,0)*VLOOKUP('Données projet'!$B$11,Paramètres!$A$1:$I$89,5,0)</f>
        <v>218.82119999999989</v>
      </c>
      <c r="BF90" s="13">
        <f t="shared" si="91"/>
        <v>53.858599308079697</v>
      </c>
      <c r="BG90" s="20">
        <f t="shared" si="61"/>
        <v>474.91731712823849</v>
      </c>
      <c r="BH90" s="59">
        <f t="shared" si="62"/>
        <v>748.25211969871339</v>
      </c>
      <c r="BI90" s="59">
        <f ca="1">AVERAGE(OFFSET($BH$3,0,0,'Données projet'!$E$11+1,1))-AVERAGE(OFFSET($H$3,0,0,'Données projet'!$E$11+1,1))</f>
        <v>402.96916953216805</v>
      </c>
      <c r="BJ90" s="59">
        <f t="shared" si="92"/>
        <v>164.89273051331318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1.1582220151000389</v>
      </c>
      <c r="BQ90" s="21">
        <f>EXP(-LN(2)/25)*BQ89+(1-EXP(-LN(2)/25))/(LN(2)/25)*Calculateur!BL90*Calculateur!BN90*VLOOKUP('Données projet'!$B$11,Paramètres!$A$1:$I$89,3,0)*0.475*44/12</f>
        <v>7.005900417000607</v>
      </c>
      <c r="BR90" s="21">
        <f>EXP(-LN(2)/2)*BR89+(1-EXP(-LN(2)/2))/(LN(2)/2)*BL90*BO90*VLOOKUP('Données projet'!$B$11,Paramètres!$A$1:$I$89,3,0)*0.475*44/12</f>
        <v>1.4528700683249767</v>
      </c>
      <c r="BS90" s="22">
        <f t="shared" si="63"/>
        <v>9.6169925004256225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-2.2737367544323206E-13</v>
      </c>
      <c r="BZ90" s="13">
        <f>BY90*VLOOKUP('Données projet'!$B$12,Paramètres!$A$1:$I$89,3,0)*VLOOKUP('Données projet'!$B$12,Paramètres!$A$1:$I$89,5,0)</f>
        <v>-1.3596945791505279E-13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373.61861223558259</v>
      </c>
      <c r="CE90" s="59">
        <f t="shared" si="94"/>
        <v>277.62293009761049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133.42708263741704</v>
      </c>
      <c r="CL90" s="21">
        <f>EXP(-LN(2)/25)*CL89+(1-EXP(-LN(2)/25))/(LN(2)/25)*Calculateur!CG90*Calculateur!CI90*VLOOKUP('Données projet'!$B$12,Paramètres!$A$1:$I$89,3,0)*0.475*44/12</f>
        <v>42.61620061435088</v>
      </c>
      <c r="CM90" s="21">
        <f>EXP(-LN(2)/2)*CM89+(1-EXP(-LN(2)/2))/(LN(2)/2)*CG90*CJ90*VLOOKUP('Données projet'!$B$12,Paramètres!$A$1:$I$89,3,0)*0.475*44/12</f>
        <v>6.2505272084351908</v>
      </c>
      <c r="CN90" s="22">
        <f t="shared" si="66"/>
        <v>182.2938104602031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11.667500000000004</v>
      </c>
      <c r="N91" s="13">
        <f>IF('Données projet'!$A$36&gt;35,N90+M91-V90,IF(A91&lt;'Données projet'!$A$36,$K$205^A91,IF(A91='Données projet'!$A$36,'Données projet'!$B$36,N90+M91-V90)))</f>
        <v>448.03500000000003</v>
      </c>
      <c r="O91" s="13">
        <f>N91*VLOOKUP('Données projet'!$B$9,Paramètres!$A$1:$I$89,3,0)*VLOOKUP('Données projet'!$B$9,Paramètres!$A$1:$I$89,5,0)</f>
        <v>405.382068</v>
      </c>
      <c r="P91" s="13">
        <f t="shared" si="87"/>
        <v>92.866946705059107</v>
      </c>
      <c r="Q91" s="20">
        <f t="shared" si="54"/>
        <v>867.78370061131125</v>
      </c>
      <c r="R91" s="59">
        <f t="shared" si="55"/>
        <v>1141.4654329805048</v>
      </c>
      <c r="S91" s="59">
        <f ca="1">AVERAGE(OFFSET($R$3,0,0,'Données projet'!$E$9+1,1))-AVERAGE(OFFSET($H$3,0,0,'Données projet'!$E$9+1,1))</f>
        <v>737.40414421611001</v>
      </c>
      <c r="T91" s="59">
        <f t="shared" si="88"/>
        <v>245.32893490531674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29.277380597763187</v>
      </c>
      <c r="AA91" s="21">
        <f>EXP(-LN(2)/25)*AA90+(1-EXP(-LN(2)/25))/(LN(2)/25)*Calculateur!V91*Calculateur!X91*VLOOKUP('Données projet'!$B$9,Paramètres!$A$1:$I$89,3,0)*0.475*44/12</f>
        <v>31.436363312073631</v>
      </c>
      <c r="AB91" s="21">
        <f>EXP(-LN(2)/2)*AB90+(1-EXP(-LN(2)/2))/(LN(2)/2)*V91*Y91*VLOOKUP('Données projet'!$B$9,Paramètres!$A$1:$I$89,3,0)*0.475*44/12</f>
        <v>0.67402764369363766</v>
      </c>
      <c r="AC91" s="22">
        <f t="shared" si="57"/>
        <v>61.387771553530456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1.3999999999999773</v>
      </c>
      <c r="AJ91" s="13">
        <f>AI91*VLOOKUP('Données projet'!$B$10,Paramètres!$A$1:$I$89,3,0)*VLOOKUP('Données projet'!$B$10,Paramètres!$A$1:$I$89,5,0)</f>
        <v>0.83719999999998651</v>
      </c>
      <c r="AK91" s="13">
        <f t="shared" si="89"/>
        <v>0.39388003094446933</v>
      </c>
      <c r="AL91" s="20">
        <f t="shared" si="58"/>
        <v>2.144131053894927</v>
      </c>
      <c r="AM91" s="59">
        <f t="shared" si="59"/>
        <v>275.82586342308861</v>
      </c>
      <c r="AN91" s="59">
        <f ca="1">AVERAGE(OFFSET($AM$3,0,0,'Données projet'!$E$10+1,1))-AVERAGE(OFFSET($H$3,0,0,'Données projet'!$E$10+1,1))</f>
        <v>318.6615972007902</v>
      </c>
      <c r="AO91" s="59">
        <f t="shared" si="90"/>
        <v>326.82168950869504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79.450968606759915</v>
      </c>
      <c r="AV91" s="21">
        <f>EXP(-LN(2)/25)*AV90+(1-EXP(-LN(2)/25))/(LN(2)/25)*Calculateur!AQ91*Calculateur!AS91*VLOOKUP('Données projet'!$B$10,Paramètres!$A$1:$I$89,3,0)*0.475*44/12</f>
        <v>22.18968132600893</v>
      </c>
      <c r="AW91" s="21">
        <f>EXP(-LN(2)/2)*AW90+(1-EXP(-LN(2)/2))/(LN(2)/2)*AQ91*AT91*VLOOKUP('Données projet'!$B$10,Paramètres!$A$1:$I$89,3,0)*0.475*44/12</f>
        <v>3.6479976642839729E-3</v>
      </c>
      <c r="AX91" s="21">
        <f t="shared" si="60"/>
        <v>101.64429793043313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3.4</v>
      </c>
      <c r="BD91" s="12">
        <f>IF('Données projet'!$A$88&gt;35,BD90+BC91-BL90,IF(A91&lt;'Données projet'!$A$88,$BA$205^A91,IF(A91='Données projet'!$A$88,'Données projet'!$B$88,BD90+BC91-BL90)))</f>
        <v>219.19999999999987</v>
      </c>
      <c r="BE91" s="13">
        <f>BD91*VLOOKUP('Données projet'!$B$11,Paramètres!$A$1:$I$89,3,0)*VLOOKUP('Données projet'!$B$11,Paramètres!$A$1:$I$89,5,0)</f>
        <v>222.26879999999991</v>
      </c>
      <c r="BF91" s="13">
        <f t="shared" si="91"/>
        <v>54.607703354107706</v>
      </c>
      <c r="BG91" s="20">
        <f t="shared" si="61"/>
        <v>482.2265766750707</v>
      </c>
      <c r="BH91" s="59">
        <f t="shared" si="62"/>
        <v>755.90830904426434</v>
      </c>
      <c r="BI91" s="59">
        <f ca="1">AVERAGE(OFFSET($BH$3,0,0,'Données projet'!$E$11+1,1))-AVERAGE(OFFSET($H$3,0,0,'Données projet'!$E$11+1,1))</f>
        <v>402.96916953216805</v>
      </c>
      <c r="BJ91" s="59">
        <f t="shared" si="92"/>
        <v>164.89273051331318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1.1355099878296007</v>
      </c>
      <c r="BQ91" s="21">
        <f>EXP(-LN(2)/25)*BQ90+(1-EXP(-LN(2)/25))/(LN(2)/25)*Calculateur!BL91*Calculateur!BN91*VLOOKUP('Données projet'!$B$11,Paramètres!$A$1:$I$89,3,0)*0.475*44/12</f>
        <v>6.8143237016734348</v>
      </c>
      <c r="BR91" s="21">
        <f>EXP(-LN(2)/2)*BR90+(1-EXP(-LN(2)/2))/(LN(2)/2)*BL91*BO91*VLOOKUP('Données projet'!$B$11,Paramètres!$A$1:$I$89,3,0)*0.475*44/12</f>
        <v>1.0273342774955536</v>
      </c>
      <c r="BS91" s="22">
        <f t="shared" si="63"/>
        <v>8.9771679669985893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-2.2737367544323206E-13</v>
      </c>
      <c r="BZ91" s="13">
        <f>BY91*VLOOKUP('Données projet'!$B$12,Paramètres!$A$1:$I$89,3,0)*VLOOKUP('Données projet'!$B$12,Paramètres!$A$1:$I$89,5,0)</f>
        <v>-1.3596945791505279E-13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373.61861223558259</v>
      </c>
      <c r="CE91" s="59">
        <f t="shared" si="94"/>
        <v>277.62293009761049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130.81065892938184</v>
      </c>
      <c r="CL91" s="21">
        <f>EXP(-LN(2)/25)*CL90+(1-EXP(-LN(2)/25))/(LN(2)/25)*Calculateur!CG91*Calculateur!CI91*VLOOKUP('Données projet'!$B$12,Paramètres!$A$1:$I$89,3,0)*0.475*44/12</f>
        <v>41.450858367462864</v>
      </c>
      <c r="CM91" s="21">
        <f>EXP(-LN(2)/2)*CM90+(1-EXP(-LN(2)/2))/(LN(2)/2)*CG91*CJ91*VLOOKUP('Données projet'!$B$12,Paramètres!$A$1:$I$89,3,0)*0.475*44/12</f>
        <v>4.4197901750755442</v>
      </c>
      <c r="CN91" s="22">
        <f t="shared" si="66"/>
        <v>176.68130747192026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11.667500000000004</v>
      </c>
      <c r="N92" s="13">
        <f>IF('Données projet'!$A$36&gt;35,N91+M92-V91,IF(A92&lt;'Données projet'!$A$36,$K$205^A92,IF(A92='Données projet'!$A$36,'Données projet'!$B$36,N91+M92-V91)))</f>
        <v>459.70250000000004</v>
      </c>
      <c r="O92" s="13">
        <f>N92*VLOOKUP('Données projet'!$B$9,Paramètres!$A$1:$I$89,3,0)*VLOOKUP('Données projet'!$B$9,Paramètres!$A$1:$I$89,5,0)</f>
        <v>415.93882200000002</v>
      </c>
      <c r="P92" s="13">
        <f t="shared" si="87"/>
        <v>95.000631788713704</v>
      </c>
      <c r="Q92" s="20">
        <f t="shared" si="54"/>
        <v>889.88621534867627</v>
      </c>
      <c r="R92" s="59">
        <f t="shared" si="55"/>
        <v>1163.9088590601998</v>
      </c>
      <c r="S92" s="59">
        <f ca="1">AVERAGE(OFFSET($R$3,0,0,'Données projet'!$E$9+1,1))-AVERAGE(OFFSET($H$3,0,0,'Données projet'!$E$9+1,1))</f>
        <v>737.40414421611001</v>
      </c>
      <c r="T92" s="59">
        <f t="shared" si="88"/>
        <v>245.32893490531674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28.70326902167994</v>
      </c>
      <c r="AA92" s="21">
        <f>EXP(-LN(2)/25)*AA91+(1-EXP(-LN(2)/25))/(LN(2)/25)*Calculateur!V92*Calculateur!X92*VLOOKUP('Données projet'!$B$9,Paramètres!$A$1:$I$89,3,0)*0.475*44/12</f>
        <v>30.57673430413848</v>
      </c>
      <c r="AB92" s="21">
        <f>EXP(-LN(2)/2)*AB91+(1-EXP(-LN(2)/2))/(LN(2)/2)*V92*Y92*VLOOKUP('Données projet'!$B$9,Paramètres!$A$1:$I$89,3,0)*0.475*44/12</f>
        <v>0.47660951756296127</v>
      </c>
      <c r="AC92" s="22">
        <f t="shared" si="57"/>
        <v>59.756612843381383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1.3999999999999773</v>
      </c>
      <c r="AJ92" s="13">
        <f>AI92*VLOOKUP('Données projet'!$B$10,Paramètres!$A$1:$I$89,3,0)*VLOOKUP('Données projet'!$B$10,Paramètres!$A$1:$I$89,5,0)</f>
        <v>0.83719999999998651</v>
      </c>
      <c r="AK92" s="13">
        <f t="shared" si="89"/>
        <v>0.39388003094446933</v>
      </c>
      <c r="AL92" s="20">
        <f t="shared" si="58"/>
        <v>2.144131053894927</v>
      </c>
      <c r="AM92" s="59">
        <f t="shared" si="59"/>
        <v>276.1667747654185</v>
      </c>
      <c r="AN92" s="59">
        <f ca="1">AVERAGE(OFFSET($AM$3,0,0,'Données projet'!$E$10+1,1))-AVERAGE(OFFSET($H$3,0,0,'Données projet'!$E$10+1,1))</f>
        <v>318.6615972007902</v>
      </c>
      <c r="AO92" s="59">
        <f t="shared" si="90"/>
        <v>326.82168950869504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77.892983572687143</v>
      </c>
      <c r="AV92" s="21">
        <f>EXP(-LN(2)/25)*AV91+(1-EXP(-LN(2)/25))/(LN(2)/25)*Calculateur!AQ92*Calculateur!AS92*VLOOKUP('Données projet'!$B$10,Paramètres!$A$1:$I$89,3,0)*0.475*44/12</f>
        <v>21.58290332324459</v>
      </c>
      <c r="AW92" s="21">
        <f>EXP(-LN(2)/2)*AW91+(1-EXP(-LN(2)/2))/(LN(2)/2)*AQ92*AT92*VLOOKUP('Données projet'!$B$10,Paramètres!$A$1:$I$89,3,0)*0.475*44/12</f>
        <v>2.5795238861678837E-3</v>
      </c>
      <c r="AX92" s="21">
        <f t="shared" si="60"/>
        <v>99.478466419817906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3.4</v>
      </c>
      <c r="BD92" s="12">
        <f>IF('Données projet'!$A$88&gt;35,BD91+BC92-BL91,IF(A92&lt;'Données projet'!$A$88,$BA$205^A92,IF(A92='Données projet'!$A$88,'Données projet'!$B$88,BD91+BC92-BL91)))</f>
        <v>222.59999999999988</v>
      </c>
      <c r="BE92" s="13">
        <f>BD92*VLOOKUP('Données projet'!$B$11,Paramètres!$A$1:$I$89,3,0)*VLOOKUP('Données projet'!$B$11,Paramètres!$A$1:$I$89,5,0)</f>
        <v>225.71639999999991</v>
      </c>
      <c r="BF92" s="13">
        <f t="shared" si="91"/>
        <v>55.355456074834237</v>
      </c>
      <c r="BG92" s="20">
        <f t="shared" si="61"/>
        <v>489.53348266366947</v>
      </c>
      <c r="BH92" s="59">
        <f t="shared" si="62"/>
        <v>763.55612637519312</v>
      </c>
      <c r="BI92" s="59">
        <f ca="1">AVERAGE(OFFSET($BH$3,0,0,'Données projet'!$E$11+1,1))-AVERAGE(OFFSET($H$3,0,0,'Données projet'!$E$11+1,1))</f>
        <v>402.96916953216805</v>
      </c>
      <c r="BJ92" s="59">
        <f t="shared" si="92"/>
        <v>164.89273051331318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1.1132433295609669</v>
      </c>
      <c r="BQ92" s="21">
        <f>EXP(-LN(2)/25)*BQ91+(1-EXP(-LN(2)/25))/(LN(2)/25)*Calculateur!BL92*Calculateur!BN92*VLOOKUP('Données projet'!$B$11,Paramètres!$A$1:$I$89,3,0)*0.475*44/12</f>
        <v>6.6279856617014659</v>
      </c>
      <c r="BR92" s="21">
        <f>EXP(-LN(2)/2)*BR91+(1-EXP(-LN(2)/2))/(LN(2)/2)*BL92*BO92*VLOOKUP('Données projet'!$B$11,Paramètres!$A$1:$I$89,3,0)*0.475*44/12</f>
        <v>0.72643503416248834</v>
      </c>
      <c r="BS92" s="22">
        <f t="shared" si="63"/>
        <v>8.46766402542492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-2.2737367544323206E-13</v>
      </c>
      <c r="BZ92" s="13">
        <f>BY92*VLOOKUP('Données projet'!$B$12,Paramètres!$A$1:$I$89,3,0)*VLOOKUP('Données projet'!$B$12,Paramètres!$A$1:$I$89,5,0)</f>
        <v>-1.3596945791505279E-13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373.61861223558259</v>
      </c>
      <c r="CE92" s="59">
        <f t="shared" si="94"/>
        <v>277.62293009761049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128.24554169440034</v>
      </c>
      <c r="CL92" s="21">
        <f>EXP(-LN(2)/25)*CL91+(1-EXP(-LN(2)/25))/(LN(2)/25)*Calculateur!CG92*Calculateur!CI92*VLOOKUP('Données projet'!$B$12,Paramètres!$A$1:$I$89,3,0)*0.475*44/12</f>
        <v>40.317382465598691</v>
      </c>
      <c r="CM92" s="21">
        <f>EXP(-LN(2)/2)*CM91+(1-EXP(-LN(2)/2))/(LN(2)/2)*CG92*CJ92*VLOOKUP('Données projet'!$B$12,Paramètres!$A$1:$I$89,3,0)*0.475*44/12</f>
        <v>3.1252636042175954</v>
      </c>
      <c r="CN92" s="22">
        <f t="shared" si="66"/>
        <v>171.68818776421662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471.37</v>
      </c>
      <c r="L93" s="12">
        <f>VLOOKUP(A93,'Données projet'!$A$35:$I$55,9,0)</f>
        <v>11.667500000000004</v>
      </c>
      <c r="M93" s="12">
        <f t="array" ref="M93">INDEX(L:L,MIN(IF(ISNUMBER(L93:L289),ROW(L93:L289),"")))</f>
        <v>11.667500000000004</v>
      </c>
      <c r="N93" s="13">
        <f>IF('Données projet'!$A$36&gt;35,N92+M93-V92,IF(A93&lt;'Données projet'!$A$36,$K$205^A93,IF(A93='Données projet'!$A$36,'Données projet'!$B$36,N92+M93-V92)))</f>
        <v>471.37000000000006</v>
      </c>
      <c r="O93" s="13">
        <f>N93*VLOOKUP('Données projet'!$B$9,Paramètres!$A$1:$I$89,3,0)*VLOOKUP('Données projet'!$B$9,Paramètres!$A$1:$I$89,5,0)</f>
        <v>426.49557600000003</v>
      </c>
      <c r="P93" s="13">
        <f t="shared" si="87"/>
        <v>97.128021924116638</v>
      </c>
      <c r="Q93" s="20">
        <f t="shared" si="54"/>
        <v>911.9777663845033</v>
      </c>
      <c r="R93" s="59">
        <f t="shared" si="55"/>
        <v>1186.335407388731</v>
      </c>
      <c r="S93" s="59">
        <f ca="1">AVERAGE(OFFSET($R$3,0,0,'Données projet'!$E$9+1,1))-AVERAGE(OFFSET($H$3,0,0,'Données projet'!$E$9+1,1))</f>
        <v>737.40414421611001</v>
      </c>
      <c r="T93" s="59">
        <f t="shared" si="88"/>
        <v>245.32893490531674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68.54000000000002</v>
      </c>
      <c r="W93" s="16">
        <f>IF(ISNA(VLOOKUP(A93,'Données projet'!$A$35:$I$55,5,0)),0%,VLOOKUP(A93,'Données projet'!$A$35:$I$55,5,0)*VLOOKUP('Données projet'!$B$9,Paramètres!$A$1:$I$89,7,0))</f>
        <v>0.15049999999999999</v>
      </c>
      <c r="X93" s="16">
        <f>IF(ISNA(VLOOKUP(A93,'Données projet'!$A$35:$I$55,6,0)),0%,VLOOKUP(A93,'Données projet'!$A$35:$I$55,6,0)*VLOOKUP('Données projet'!$B$9,Paramètres!$A$1:$I$89,7,0))</f>
        <v>8.6000000000000007E-2</v>
      </c>
      <c r="Y93" s="16">
        <f>IF(ISNA(VLOOKUP(A93,'Données projet'!$A$35:$I$55,7,0)),0%,VLOOKUP(A93,'Données projet'!$A$35:$I$55,7,0))</f>
        <v>0.1</v>
      </c>
      <c r="Z93" s="21">
        <f>EXP(-LN(2)/35)*Z92+(1-EXP(-LN(2)/35))/(LN(2)/35)*V93*W93*VLOOKUP('Données projet'!$B$9,Paramètres!$A$1:$I$89,3,0)*0.475*44/12</f>
        <v>38.458053803247623</v>
      </c>
      <c r="AA93" s="21">
        <f>EXP(-LN(2)/25)*AA92+(1-EXP(-LN(2)/25))/(LN(2)/25)*Calculateur!V93*Calculateur!X93*VLOOKUP('Données projet'!$B$9,Paramètres!$A$1:$I$89,3,0)*0.475*44/12</f>
        <v>35.61319127159561</v>
      </c>
      <c r="AB93" s="21">
        <f>EXP(-LN(2)/2)*AB92+(1-EXP(-LN(2)/2))/(LN(2)/2)*V93*Y93*VLOOKUP('Données projet'!$B$9,Paramètres!$A$1:$I$89,3,0)*0.475*44/12</f>
        <v>6.1882952279506034</v>
      </c>
      <c r="AC93" s="22">
        <f t="shared" si="57"/>
        <v>80.259540302793837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1.3999999999999773</v>
      </c>
      <c r="AJ93" s="13">
        <f>AI93*VLOOKUP('Données projet'!$B$10,Paramètres!$A$1:$I$89,3,0)*VLOOKUP('Données projet'!$B$10,Paramètres!$A$1:$I$89,5,0)</f>
        <v>0.83719999999998651</v>
      </c>
      <c r="AK93" s="13">
        <f t="shared" si="89"/>
        <v>0.39388003094446933</v>
      </c>
      <c r="AL93" s="20">
        <f t="shared" si="58"/>
        <v>2.144131053894927</v>
      </c>
      <c r="AM93" s="59">
        <f t="shared" si="59"/>
        <v>276.50177205812258</v>
      </c>
      <c r="AN93" s="59">
        <f ca="1">AVERAGE(OFFSET($AM$3,0,0,'Données projet'!$E$10+1,1))-AVERAGE(OFFSET($H$3,0,0,'Données projet'!$E$10+1,1))</f>
        <v>318.6615972007902</v>
      </c>
      <c r="AO93" s="59">
        <f t="shared" si="90"/>
        <v>326.82168950869504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76.365549674855501</v>
      </c>
      <c r="AV93" s="21">
        <f>EXP(-LN(2)/25)*AV92+(1-EXP(-LN(2)/25))/(LN(2)/25)*Calculateur!AQ93*Calculateur!AS93*VLOOKUP('Données projet'!$B$10,Paramètres!$A$1:$I$89,3,0)*0.475*44/12</f>
        <v>20.992717696874909</v>
      </c>
      <c r="AW93" s="21">
        <f>EXP(-LN(2)/2)*AW92+(1-EXP(-LN(2)/2))/(LN(2)/2)*AQ93*AT93*VLOOKUP('Données projet'!$B$10,Paramètres!$A$1:$I$89,3,0)*0.475*44/12</f>
        <v>1.8239988321419865E-3</v>
      </c>
      <c r="AX93" s="21">
        <f t="shared" si="60"/>
        <v>97.360091370562543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226</v>
      </c>
      <c r="BB93" s="12">
        <f>VLOOKUP(A93,'Données projet'!$A$87:$I$107,9,0)</f>
        <v>3.4</v>
      </c>
      <c r="BC93" s="12">
        <f t="array" ref="BC93">INDEX(BB:BB,MIN(IF(ISNUMBER(BB93:BB289),ROW(BB93:BB289),"")))</f>
        <v>3.4</v>
      </c>
      <c r="BD93" s="12">
        <f>IF('Données projet'!$A$88&gt;35,BD92+BC93-BL92,IF(A93&lt;'Données projet'!$A$88,$BA$205^A93,IF(A93='Données projet'!$A$88,'Données projet'!$B$88,BD92+BC93-BL92)))</f>
        <v>225.99999999999989</v>
      </c>
      <c r="BE93" s="13">
        <f>BD93*VLOOKUP('Données projet'!$B$11,Paramètres!$A$1:$I$89,3,0)*VLOOKUP('Données projet'!$B$11,Paramètres!$A$1:$I$89,5,0)</f>
        <v>229.16399999999987</v>
      </c>
      <c r="BF93" s="13">
        <f t="shared" si="91"/>
        <v>56.101880494297347</v>
      </c>
      <c r="BG93" s="20">
        <f t="shared" si="61"/>
        <v>496.83807519423431</v>
      </c>
      <c r="BH93" s="59">
        <f t="shared" si="62"/>
        <v>771.19571619846192</v>
      </c>
      <c r="BI93" s="59">
        <f ca="1">AVERAGE(OFFSET($BH$3,0,0,'Données projet'!$E$11+1,1))-AVERAGE(OFFSET($H$3,0,0,'Données projet'!$E$11+1,1))</f>
        <v>402.96916953216805</v>
      </c>
      <c r="BJ93" s="59">
        <f t="shared" si="92"/>
        <v>164.89273051331318</v>
      </c>
      <c r="BK93" s="15">
        <f>IF(ISNA(VLOOKUP(A93,'Données projet'!$A$87:$I$107,3,0)),0,VLOOKUP(A93,'Données projet'!$A$87:$I$107,3,0))</f>
        <v>12</v>
      </c>
      <c r="BL93" s="15">
        <f>IF(ISNA(VLOOKUP(A93,'Données projet'!$A$87:$I$107,4,0)),0,VLOOKUP(A93,'Données projet'!$A$87:$I$107,4,0))</f>
        <v>10</v>
      </c>
      <c r="BM93" s="16">
        <f>IF(ISNA(VLOOKUP(A93,'Données projet'!$A$87:$I$107,5,0)),0%,VLOOKUP(A93,'Données projet'!$A$87:$I$107,5,0)*VLOOKUP('Données projet'!$B$11,Paramètres!$A$1:$I$89,7,0))</f>
        <v>0.1075</v>
      </c>
      <c r="BN93" s="16">
        <f>IF(ISNA(VLOOKUP(A93,'Données projet'!$A$87:$I$107,6,0)),0%,VLOOKUP(A93,'Données projet'!$A$87:$I$107,6,0)*VLOOKUP('Données projet'!$B$11,Paramètres!$A$1:$I$89,7,0))</f>
        <v>0.1075</v>
      </c>
      <c r="BO93" s="16">
        <f>IF(ISNA(VLOOKUP(A93,'Données projet'!$A$87:$I$107,7,0)),0%,VLOOKUP(A93,'Données projet'!$A$87:$I$107,7,0))</f>
        <v>0.25</v>
      </c>
      <c r="BP93" s="21">
        <f>EXP(-LN(2)/35)*BP92+(1-EXP(-LN(2)/35))/(LN(2)/35)*BL93*BM93*VLOOKUP('Données projet'!$B$11,Paramètres!$A$1:$I$89,3,0)*0.475*44/12</f>
        <v>2.2964312940895528</v>
      </c>
      <c r="BQ93" s="21">
        <f>EXP(-LN(2)/25)*BQ92+(1-EXP(-LN(2)/25))/(LN(2)/25)*Calculateur!BL93*Calculateur!BN93*VLOOKUP('Données projet'!$B$11,Paramètres!$A$1:$I$89,3,0)*0.475*44/12</f>
        <v>7.6470164174780191</v>
      </c>
      <c r="BR93" s="21">
        <f>EXP(-LN(2)/2)*BR92+(1-EXP(-LN(2)/2))/(LN(2)/2)*BL93*BO93*VLOOKUP('Données projet'!$B$11,Paramètres!$A$1:$I$89,3,0)*0.475*44/12</f>
        <v>2.9055078672724357</v>
      </c>
      <c r="BS93" s="22">
        <f t="shared" si="63"/>
        <v>12.848955578840007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-2.2737367544323206E-13</v>
      </c>
      <c r="BZ93" s="13">
        <f>BY93*VLOOKUP('Données projet'!$B$12,Paramètres!$A$1:$I$89,3,0)*VLOOKUP('Données projet'!$B$12,Paramètres!$A$1:$I$89,5,0)</f>
        <v>-1.3596945791505279E-13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373.61861223558259</v>
      </c>
      <c r="CE93" s="59">
        <f t="shared" si="94"/>
        <v>277.62293009761049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125.7307248438298</v>
      </c>
      <c r="CL93" s="21">
        <f>EXP(-LN(2)/25)*CL92+(1-EXP(-LN(2)/25))/(LN(2)/25)*Calculateur!CG93*Calculateur!CI93*VLOOKUP('Données projet'!$B$12,Paramètres!$A$1:$I$89,3,0)*0.475*44/12</f>
        <v>39.214901521877898</v>
      </c>
      <c r="CM93" s="21">
        <f>EXP(-LN(2)/2)*CM92+(1-EXP(-LN(2)/2))/(LN(2)/2)*CG93*CJ93*VLOOKUP('Données projet'!$B$12,Paramètres!$A$1:$I$89,3,0)*0.475*44/12</f>
        <v>2.2098950875377721</v>
      </c>
      <c r="CN93" s="22">
        <f t="shared" si="66"/>
        <v>167.15552145324548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11.283999999999997</v>
      </c>
      <c r="N94" s="13">
        <f>IF('Données projet'!$A$36&gt;35,N93+M94-V93,IF(A94&lt;'Données projet'!$A$36,$K$205^A94,IF(A94='Données projet'!$A$36,'Données projet'!$B$36,N93+M94-V93)))</f>
        <v>414.11400000000003</v>
      </c>
      <c r="O94" s="13">
        <f>N94*VLOOKUP('Données projet'!$B$9,Paramètres!$A$1:$I$89,3,0)*VLOOKUP('Données projet'!$B$9,Paramètres!$A$1:$I$89,5,0)</f>
        <v>374.69034720000002</v>
      </c>
      <c r="P94" s="13">
        <f t="shared" si="87"/>
        <v>86.626165379177522</v>
      </c>
      <c r="Q94" s="20">
        <f t="shared" si="54"/>
        <v>803.45959274206746</v>
      </c>
      <c r="R94" s="59">
        <f t="shared" si="55"/>
        <v>1078.1464195849126</v>
      </c>
      <c r="S94" s="59">
        <f ca="1">AVERAGE(OFFSET($R$3,0,0,'Données projet'!$E$9+1,1))-AVERAGE(OFFSET($H$3,0,0,'Données projet'!$E$9+1,1))</f>
        <v>737.40414421611001</v>
      </c>
      <c r="T94" s="59">
        <f t="shared" si="88"/>
        <v>245.32893490531674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37.703914825262558</v>
      </c>
      <c r="AA94" s="21">
        <f>EXP(-LN(2)/25)*AA93+(1-EXP(-LN(2)/25))/(LN(2)/25)*Calculateur!V94*Calculateur!X94*VLOOKUP('Données projet'!$B$9,Paramètres!$A$1:$I$89,3,0)*0.475*44/12</f>
        <v>34.639346683457497</v>
      </c>
      <c r="AB94" s="21">
        <f>EXP(-LN(2)/2)*AB93+(1-EXP(-LN(2)/2))/(LN(2)/2)*V94*Y94*VLOOKUP('Données projet'!$B$9,Paramètres!$A$1:$I$89,3,0)*0.475*44/12</f>
        <v>4.3757855196682236</v>
      </c>
      <c r="AC94" s="22">
        <f t="shared" si="57"/>
        <v>76.719047028388275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1.3999999999999773</v>
      </c>
      <c r="AJ94" s="13">
        <f>AI94*VLOOKUP('Données projet'!$B$10,Paramètres!$A$1:$I$89,3,0)*VLOOKUP('Données projet'!$B$10,Paramètres!$A$1:$I$89,5,0)</f>
        <v>0.83719999999998651</v>
      </c>
      <c r="AK94" s="13">
        <f t="shared" si="89"/>
        <v>0.39388003094446933</v>
      </c>
      <c r="AL94" s="20">
        <f t="shared" si="58"/>
        <v>2.144131053894927</v>
      </c>
      <c r="AM94" s="59">
        <f t="shared" si="59"/>
        <v>276.83095789673996</v>
      </c>
      <c r="AN94" s="59">
        <f ca="1">AVERAGE(OFFSET($AM$3,0,0,'Données projet'!$E$10+1,1))-AVERAGE(OFFSET($H$3,0,0,'Données projet'!$E$10+1,1))</f>
        <v>318.6615972007902</v>
      </c>
      <c r="AO94" s="59">
        <f t="shared" si="90"/>
        <v>326.82168950869504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74.868067824117659</v>
      </c>
      <c r="AV94" s="21">
        <f>EXP(-LN(2)/25)*AV93+(1-EXP(-LN(2)/25))/(LN(2)/25)*Calculateur!AQ94*Calculateur!AS94*VLOOKUP('Données projet'!$B$10,Paramètres!$A$1:$I$89,3,0)*0.475*44/12</f>
        <v>20.41867072749482</v>
      </c>
      <c r="AW94" s="21">
        <f>EXP(-LN(2)/2)*AW93+(1-EXP(-LN(2)/2))/(LN(2)/2)*AQ94*AT94*VLOOKUP('Données projet'!$B$10,Paramètres!$A$1:$I$89,3,0)*0.475*44/12</f>
        <v>1.2897619430839418E-3</v>
      </c>
      <c r="AX94" s="21">
        <f t="shared" si="60"/>
        <v>95.288028313555557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3.4</v>
      </c>
      <c r="BD94" s="12">
        <f>IF('Données projet'!$A$88&gt;35,BD93+BC94-BL93,IF(A94&lt;'Données projet'!$A$88,$BA$205^A94,IF(A94='Données projet'!$A$88,'Données projet'!$B$88,BD93+BC94-BL93)))</f>
        <v>219.39999999999989</v>
      </c>
      <c r="BE94" s="13">
        <f>BD94*VLOOKUP('Données projet'!$B$11,Paramètres!$A$1:$I$89,3,0)*VLOOKUP('Données projet'!$B$11,Paramètres!$A$1:$I$89,5,0)</f>
        <v>222.47159999999991</v>
      </c>
      <c r="BF94" s="13">
        <f t="shared" si="91"/>
        <v>54.651725986680681</v>
      </c>
      <c r="BG94" s="20">
        <f t="shared" si="61"/>
        <v>482.65645942680197</v>
      </c>
      <c r="BH94" s="59">
        <f t="shared" si="62"/>
        <v>757.34328626964702</v>
      </c>
      <c r="BI94" s="59">
        <f ca="1">AVERAGE(OFFSET($BH$3,0,0,'Données projet'!$E$11+1,1))-AVERAGE(OFFSET($H$3,0,0,'Données projet'!$E$11+1,1))</f>
        <v>402.96916953216805</v>
      </c>
      <c r="BJ94" s="59">
        <f t="shared" si="92"/>
        <v>164.89273051331318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2.2513996770972398</v>
      </c>
      <c r="BQ94" s="21">
        <f>EXP(-LN(2)/25)*BQ93+(1-EXP(-LN(2)/25))/(LN(2)/25)*Calculateur!BL94*Calculateur!BN94*VLOOKUP('Données projet'!$B$11,Paramètres!$A$1:$I$89,3,0)*0.475*44/12</f>
        <v>7.4379083514029665</v>
      </c>
      <c r="BR94" s="21">
        <f>EXP(-LN(2)/2)*BR93+(1-EXP(-LN(2)/2))/(LN(2)/2)*BL94*BO94*VLOOKUP('Données projet'!$B$11,Paramètres!$A$1:$I$89,3,0)*0.475*44/12</f>
        <v>2.0545043157392029</v>
      </c>
      <c r="BS94" s="22">
        <f t="shared" si="63"/>
        <v>11.74381234423941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-2.2737367544323206E-13</v>
      </c>
      <c r="BZ94" s="13">
        <f>BY94*VLOOKUP('Données projet'!$B$12,Paramètres!$A$1:$I$89,3,0)*VLOOKUP('Données projet'!$B$12,Paramètres!$A$1:$I$89,5,0)</f>
        <v>-1.3596945791505279E-13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373.61861223558259</v>
      </c>
      <c r="CE94" s="59">
        <f t="shared" si="94"/>
        <v>277.62293009761049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123.26522201781214</v>
      </c>
      <c r="CL94" s="21">
        <f>EXP(-LN(2)/25)*CL93+(1-EXP(-LN(2)/25))/(LN(2)/25)*Calculateur!CG94*Calculateur!CI94*VLOOKUP('Données projet'!$B$12,Paramètres!$A$1:$I$89,3,0)*0.475*44/12</f>
        <v>38.142567977540104</v>
      </c>
      <c r="CM94" s="21">
        <f>EXP(-LN(2)/2)*CM93+(1-EXP(-LN(2)/2))/(LN(2)/2)*CG94*CJ94*VLOOKUP('Données projet'!$B$12,Paramètres!$A$1:$I$89,3,0)*0.475*44/12</f>
        <v>1.5626318021087977</v>
      </c>
      <c r="CN94" s="22">
        <f t="shared" si="66"/>
        <v>162.97042179746103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11.283999999999997</v>
      </c>
      <c r="N95" s="13">
        <f>IF('Données projet'!$A$36&gt;35,N94+M95-V94,IF(A95&lt;'Données projet'!$A$36,$K$205^A95,IF(A95='Données projet'!$A$36,'Données projet'!$B$36,N94+M95-V94)))</f>
        <v>425.39800000000002</v>
      </c>
      <c r="O95" s="13">
        <f>N95*VLOOKUP('Données projet'!$B$9,Paramètres!$A$1:$I$89,3,0)*VLOOKUP('Données projet'!$B$9,Paramètres!$A$1:$I$89,5,0)</f>
        <v>384.90011040000002</v>
      </c>
      <c r="P95" s="13">
        <f t="shared" si="87"/>
        <v>88.708572204563708</v>
      </c>
      <c r="Q95" s="20">
        <f t="shared" si="54"/>
        <v>824.86845553628189</v>
      </c>
      <c r="R95" s="59">
        <f t="shared" si="55"/>
        <v>1099.8787575793936</v>
      </c>
      <c r="S95" s="59">
        <f ca="1">AVERAGE(OFFSET($R$3,0,0,'Données projet'!$E$9+1,1))-AVERAGE(OFFSET($H$3,0,0,'Données projet'!$E$9+1,1))</f>
        <v>737.40414421611001</v>
      </c>
      <c r="T95" s="59">
        <f t="shared" si="88"/>
        <v>245.32893490531674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36.964564052656428</v>
      </c>
      <c r="AA95" s="21">
        <f>EXP(-LN(2)/25)*AA94+(1-EXP(-LN(2)/25))/(LN(2)/25)*Calculateur!V95*Calculateur!X95*VLOOKUP('Données projet'!$B$9,Paramètres!$A$1:$I$89,3,0)*0.475*44/12</f>
        <v>33.692131926794282</v>
      </c>
      <c r="AB95" s="21">
        <f>EXP(-LN(2)/2)*AB94+(1-EXP(-LN(2)/2))/(LN(2)/2)*V95*Y95*VLOOKUP('Données projet'!$B$9,Paramètres!$A$1:$I$89,3,0)*0.475*44/12</f>
        <v>3.0941476139753021</v>
      </c>
      <c r="AC95" s="22">
        <f t="shared" si="57"/>
        <v>73.750843593426026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1.3999999999999773</v>
      </c>
      <c r="AJ95" s="13">
        <f>AI95*VLOOKUP('Données projet'!$B$10,Paramètres!$A$1:$I$89,3,0)*VLOOKUP('Données projet'!$B$10,Paramètres!$A$1:$I$89,5,0)</f>
        <v>0.83719999999998651</v>
      </c>
      <c r="AK95" s="13">
        <f t="shared" si="89"/>
        <v>0.39388003094446933</v>
      </c>
      <c r="AL95" s="20">
        <f t="shared" si="58"/>
        <v>2.144131053894927</v>
      </c>
      <c r="AM95" s="59">
        <f t="shared" si="59"/>
        <v>277.15443309700663</v>
      </c>
      <c r="AN95" s="59">
        <f ca="1">AVERAGE(OFFSET($AM$3,0,0,'Données projet'!$E$10+1,1))-AVERAGE(OFFSET($H$3,0,0,'Données projet'!$E$10+1,1))</f>
        <v>318.6615972007902</v>
      </c>
      <c r="AO95" s="59">
        <f t="shared" si="90"/>
        <v>326.82168950869504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73.399950679099035</v>
      </c>
      <c r="AV95" s="21">
        <f>EXP(-LN(2)/25)*AV94+(1-EXP(-LN(2)/25))/(LN(2)/25)*Calculateur!AQ95*Calculateur!AS95*VLOOKUP('Données projet'!$B$10,Paramètres!$A$1:$I$89,3,0)*0.475*44/12</f>
        <v>19.860321102680249</v>
      </c>
      <c r="AW95" s="21">
        <f>EXP(-LN(2)/2)*AW94+(1-EXP(-LN(2)/2))/(LN(2)/2)*AQ95*AT95*VLOOKUP('Données projet'!$B$10,Paramètres!$A$1:$I$89,3,0)*0.475*44/12</f>
        <v>9.1199941607099323E-4</v>
      </c>
      <c r="AX95" s="21">
        <f t="shared" si="60"/>
        <v>93.261183781195356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3.4</v>
      </c>
      <c r="BD95" s="12">
        <f>IF('Données projet'!$A$88&gt;35,BD94+BC95-BL94,IF(A95&lt;'Données projet'!$A$88,$BA$205^A95,IF(A95='Données projet'!$A$88,'Données projet'!$B$88,BD94+BC95-BL94)))</f>
        <v>222.7999999999999</v>
      </c>
      <c r="BE95" s="13">
        <f>BD95*VLOOKUP('Données projet'!$B$11,Paramètres!$A$1:$I$89,3,0)*VLOOKUP('Données projet'!$B$11,Paramètres!$A$1:$I$89,5,0)</f>
        <v>225.9191999999999</v>
      </c>
      <c r="BF95" s="13">
        <f t="shared" si="91"/>
        <v>55.399399942018199</v>
      </c>
      <c r="BG95" s="20">
        <f t="shared" si="61"/>
        <v>489.96322823234823</v>
      </c>
      <c r="BH95" s="59">
        <f t="shared" si="62"/>
        <v>764.97353027546001</v>
      </c>
      <c r="BI95" s="59">
        <f ca="1">AVERAGE(OFFSET($BH$3,0,0,'Données projet'!$E$11+1,1))-AVERAGE(OFFSET($H$3,0,0,'Données projet'!$E$11+1,1))</f>
        <v>402.96916953216805</v>
      </c>
      <c r="BJ95" s="59">
        <f t="shared" si="92"/>
        <v>164.89273051331318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2.2072511026475721</v>
      </c>
      <c r="BQ95" s="21">
        <f>EXP(-LN(2)/25)*BQ94+(1-EXP(-LN(2)/25))/(LN(2)/25)*Calculateur!BL95*Calculateur!BN95*VLOOKUP('Données projet'!$B$11,Paramètres!$A$1:$I$89,3,0)*0.475*44/12</f>
        <v>7.2345183563912521</v>
      </c>
      <c r="BR95" s="21">
        <f>EXP(-LN(2)/2)*BR94+(1-EXP(-LN(2)/2))/(LN(2)/2)*BL95*BO95*VLOOKUP('Données projet'!$B$11,Paramètres!$A$1:$I$89,3,0)*0.475*44/12</f>
        <v>1.4527539336362181</v>
      </c>
      <c r="BS95" s="22">
        <f t="shared" si="63"/>
        <v>10.894523392675042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-2.2737367544323206E-13</v>
      </c>
      <c r="BZ95" s="13">
        <f>BY95*VLOOKUP('Données projet'!$B$12,Paramètres!$A$1:$I$89,3,0)*VLOOKUP('Données projet'!$B$12,Paramètres!$A$1:$I$89,5,0)</f>
        <v>-1.3596945791505279E-13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373.61861223558259</v>
      </c>
      <c r="CE95" s="59">
        <f t="shared" si="94"/>
        <v>277.62293009761049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120.84806619840442</v>
      </c>
      <c r="CL95" s="21">
        <f>EXP(-LN(2)/25)*CL94+(1-EXP(-LN(2)/25))/(LN(2)/25)*Calculateur!CG95*Calculateur!CI95*VLOOKUP('Données projet'!$B$12,Paramètres!$A$1:$I$89,3,0)*0.475*44/12</f>
        <v>37.099557450363797</v>
      </c>
      <c r="CM95" s="21">
        <f>EXP(-LN(2)/2)*CM94+(1-EXP(-LN(2)/2))/(LN(2)/2)*CG95*CJ95*VLOOKUP('Données projet'!$B$12,Paramètres!$A$1:$I$89,3,0)*0.475*44/12</f>
        <v>1.104947543768886</v>
      </c>
      <c r="CN95" s="22">
        <f t="shared" si="66"/>
        <v>159.0525711925371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11.283999999999997</v>
      </c>
      <c r="N96" s="13">
        <f>IF('Données projet'!$A$36&gt;35,N95+M96-V95,IF(A96&lt;'Données projet'!$A$36,$K$205^A96,IF(A96='Données projet'!$A$36,'Données projet'!$B$36,N95+M96-V95)))</f>
        <v>436.68200000000002</v>
      </c>
      <c r="O96" s="13">
        <f>N96*VLOOKUP('Données projet'!$B$9,Paramètres!$A$1:$I$89,3,0)*VLOOKUP('Données projet'!$B$9,Paramètres!$A$1:$I$89,5,0)</f>
        <v>395.10987360000001</v>
      </c>
      <c r="P96" s="13">
        <f t="shared" si="87"/>
        <v>90.784558517022006</v>
      </c>
      <c r="Q96" s="20">
        <f t="shared" si="54"/>
        <v>846.26613593714671</v>
      </c>
      <c r="R96" s="59">
        <f t="shared" si="55"/>
        <v>1121.5943016089827</v>
      </c>
      <c r="S96" s="59">
        <f ca="1">AVERAGE(OFFSET($R$3,0,0,'Données projet'!$E$9+1,1))-AVERAGE(OFFSET($H$3,0,0,'Données projet'!$E$9+1,1))</f>
        <v>737.40414421611001</v>
      </c>
      <c r="T96" s="59">
        <f t="shared" si="88"/>
        <v>245.32893490531674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36.239711497741659</v>
      </c>
      <c r="AA96" s="21">
        <f>EXP(-LN(2)/25)*AA95+(1-EXP(-LN(2)/25))/(LN(2)/25)*Calculateur!V96*Calculateur!X96*VLOOKUP('Données projet'!$B$9,Paramètres!$A$1:$I$89,3,0)*0.475*44/12</f>
        <v>32.770818807463876</v>
      </c>
      <c r="AB96" s="21">
        <f>EXP(-LN(2)/2)*AB95+(1-EXP(-LN(2)/2))/(LN(2)/2)*V96*Y96*VLOOKUP('Données projet'!$B$9,Paramètres!$A$1:$I$89,3,0)*0.475*44/12</f>
        <v>2.1878927598341122</v>
      </c>
      <c r="AC96" s="22">
        <f t="shared" si="57"/>
        <v>71.198423065039648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1.3999999999999773</v>
      </c>
      <c r="AJ96" s="13">
        <f>AI96*VLOOKUP('Données projet'!$B$10,Paramètres!$A$1:$I$89,3,0)*VLOOKUP('Données projet'!$B$10,Paramètres!$A$1:$I$89,5,0)</f>
        <v>0.83719999999998651</v>
      </c>
      <c r="AK96" s="13">
        <f t="shared" si="89"/>
        <v>0.39388003094446933</v>
      </c>
      <c r="AL96" s="20">
        <f t="shared" si="58"/>
        <v>2.144131053894927</v>
      </c>
      <c r="AM96" s="59">
        <f t="shared" si="59"/>
        <v>277.47229672573087</v>
      </c>
      <c r="AN96" s="59">
        <f ca="1">AVERAGE(OFFSET($AM$3,0,0,'Données projet'!$E$10+1,1))-AVERAGE(OFFSET($H$3,0,0,'Données projet'!$E$10+1,1))</f>
        <v>318.6615972007902</v>
      </c>
      <c r="AO96" s="59">
        <f t="shared" si="90"/>
        <v>326.82168950869504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71.960622415831196</v>
      </c>
      <c r="AV96" s="21">
        <f>EXP(-LN(2)/25)*AV95+(1-EXP(-LN(2)/25))/(LN(2)/25)*Calculateur!AQ96*Calculateur!AS96*VLOOKUP('Données projet'!$B$10,Paramètres!$A$1:$I$89,3,0)*0.475*44/12</f>
        <v>19.317239577718563</v>
      </c>
      <c r="AW96" s="21">
        <f>EXP(-LN(2)/2)*AW95+(1-EXP(-LN(2)/2))/(LN(2)/2)*AQ96*AT96*VLOOKUP('Données projet'!$B$10,Paramètres!$A$1:$I$89,3,0)*0.475*44/12</f>
        <v>6.4488097154197092E-4</v>
      </c>
      <c r="AX96" s="21">
        <f t="shared" si="60"/>
        <v>91.278506874521298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3.4</v>
      </c>
      <c r="BD96" s="12">
        <f>IF('Données projet'!$A$88&gt;35,BD95+BC96-BL95,IF(A96&lt;'Données projet'!$A$88,$BA$205^A96,IF(A96='Données projet'!$A$88,'Données projet'!$B$88,BD95+BC96-BL95)))</f>
        <v>226.1999999999999</v>
      </c>
      <c r="BE96" s="13">
        <f>BD96*VLOOKUP('Données projet'!$B$11,Paramètres!$A$1:$I$89,3,0)*VLOOKUP('Données projet'!$B$11,Paramètres!$A$1:$I$89,5,0)</f>
        <v>229.36679999999993</v>
      </c>
      <c r="BF96" s="13">
        <f t="shared" si="91"/>
        <v>56.14574692729505</v>
      </c>
      <c r="BG96" s="20">
        <f t="shared" si="61"/>
        <v>497.26768589837201</v>
      </c>
      <c r="BH96" s="59">
        <f t="shared" si="62"/>
        <v>772.59585157020797</v>
      </c>
      <c r="BI96" s="59">
        <f ca="1">AVERAGE(OFFSET($BH$3,0,0,'Données projet'!$E$11+1,1))-AVERAGE(OFFSET($H$3,0,0,'Données projet'!$E$11+1,1))</f>
        <v>402.96916953216805</v>
      </c>
      <c r="BJ96" s="59">
        <f t="shared" si="92"/>
        <v>164.89273051331318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2.1639682548148906</v>
      </c>
      <c r="BQ96" s="21">
        <f>EXP(-LN(2)/25)*BQ95+(1-EXP(-LN(2)/25))/(LN(2)/25)*Calculateur!BL96*Calculateur!BN96*VLOOKUP('Données projet'!$B$11,Paramètres!$A$1:$I$89,3,0)*0.475*44/12</f>
        <v>7.0366900714889473</v>
      </c>
      <c r="BR96" s="21">
        <f>EXP(-LN(2)/2)*BR95+(1-EXP(-LN(2)/2))/(LN(2)/2)*BL96*BO96*VLOOKUP('Données projet'!$B$11,Paramètres!$A$1:$I$89,3,0)*0.475*44/12</f>
        <v>1.0272521578696014</v>
      </c>
      <c r="BS96" s="22">
        <f t="shared" si="63"/>
        <v>10.227910484173439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-2.2737367544323206E-13</v>
      </c>
      <c r="BZ96" s="13">
        <f>BY96*VLOOKUP('Données projet'!$B$12,Paramètres!$A$1:$I$89,3,0)*VLOOKUP('Données projet'!$B$12,Paramètres!$A$1:$I$89,5,0)</f>
        <v>-1.3596945791505279E-13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373.61861223558259</v>
      </c>
      <c r="CE96" s="59">
        <f t="shared" si="94"/>
        <v>277.62293009761049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118.47830933029583</v>
      </c>
      <c r="CL96" s="21">
        <f>EXP(-LN(2)/25)*CL95+(1-EXP(-LN(2)/25))/(LN(2)/25)*Calculateur!CG96*Calculateur!CI96*VLOOKUP('Données projet'!$B$12,Paramètres!$A$1:$I$89,3,0)*0.475*44/12</f>
        <v>36.085068100902667</v>
      </c>
      <c r="CM96" s="21">
        <f>EXP(-LN(2)/2)*CM95+(1-EXP(-LN(2)/2))/(LN(2)/2)*CG96*CJ96*VLOOKUP('Données projet'!$B$12,Paramètres!$A$1:$I$89,3,0)*0.475*44/12</f>
        <v>0.78131590105439885</v>
      </c>
      <c r="CN96" s="22">
        <f t="shared" si="66"/>
        <v>155.34469333225289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11.283999999999997</v>
      </c>
      <c r="N97" s="13">
        <f>IF('Données projet'!$A$36&gt;35,N96+M97-V96,IF(A97&lt;'Données projet'!$A$36,$K$205^A97,IF(A97='Données projet'!$A$36,'Données projet'!$B$36,N96+M97-V96)))</f>
        <v>447.96600000000001</v>
      </c>
      <c r="O97" s="13">
        <f>N97*VLOOKUP('Données projet'!$B$9,Paramètres!$A$1:$I$89,3,0)*VLOOKUP('Données projet'!$B$9,Paramètres!$A$1:$I$89,5,0)</f>
        <v>405.31963679999996</v>
      </c>
      <c r="P97" s="13">
        <f t="shared" si="87"/>
        <v>92.854309299710778</v>
      </c>
      <c r="Q97" s="20">
        <f t="shared" si="54"/>
        <v>867.65295612366288</v>
      </c>
      <c r="R97" s="59">
        <f t="shared" si="55"/>
        <v>1143.2934712009014</v>
      </c>
      <c r="S97" s="59">
        <f ca="1">AVERAGE(OFFSET($R$3,0,0,'Données projet'!$E$9+1,1))-AVERAGE(OFFSET($H$3,0,0,'Données projet'!$E$9+1,1))</f>
        <v>737.40414421611001</v>
      </c>
      <c r="T97" s="59">
        <f t="shared" si="88"/>
        <v>245.32893490531674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35.529072859312365</v>
      </c>
      <c r="AA97" s="21">
        <f>EXP(-LN(2)/25)*AA96+(1-EXP(-LN(2)/25))/(LN(2)/25)*Calculateur!V97*Calculateur!X97*VLOOKUP('Données projet'!$B$9,Paramètres!$A$1:$I$89,3,0)*0.475*44/12</f>
        <v>31.874699043831313</v>
      </c>
      <c r="AB97" s="21">
        <f>EXP(-LN(2)/2)*AB96+(1-EXP(-LN(2)/2))/(LN(2)/2)*V97*Y97*VLOOKUP('Données projet'!$B$9,Paramètres!$A$1:$I$89,3,0)*0.475*44/12</f>
        <v>1.5470738069876513</v>
      </c>
      <c r="AC97" s="22">
        <f t="shared" si="57"/>
        <v>68.950845710131333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1.3999999999999773</v>
      </c>
      <c r="AJ97" s="13">
        <f>AI97*VLOOKUP('Données projet'!$B$10,Paramètres!$A$1:$I$89,3,0)*VLOOKUP('Données projet'!$B$10,Paramètres!$A$1:$I$89,5,0)</f>
        <v>0.83719999999998651</v>
      </c>
      <c r="AK97" s="13">
        <f t="shared" si="89"/>
        <v>0.39388003094446933</v>
      </c>
      <c r="AL97" s="20">
        <f t="shared" si="58"/>
        <v>2.144131053894927</v>
      </c>
      <c r="AM97" s="59">
        <f t="shared" si="59"/>
        <v>277.7846461311334</v>
      </c>
      <c r="AN97" s="59">
        <f ca="1">AVERAGE(OFFSET($AM$3,0,0,'Données projet'!$E$10+1,1))-AVERAGE(OFFSET($H$3,0,0,'Données projet'!$E$10+1,1))</f>
        <v>318.6615972007902</v>
      </c>
      <c r="AO97" s="59">
        <f t="shared" si="90"/>
        <v>326.82168950869504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70.549518501902483</v>
      </c>
      <c r="AV97" s="21">
        <f>EXP(-LN(2)/25)*AV96+(1-EXP(-LN(2)/25))/(LN(2)/25)*Calculateur!AQ97*Calculateur!AS97*VLOOKUP('Données projet'!$B$10,Paramètres!$A$1:$I$89,3,0)*0.475*44/12</f>
        <v>18.78900864561637</v>
      </c>
      <c r="AW97" s="21">
        <f>EXP(-LN(2)/2)*AW96+(1-EXP(-LN(2)/2))/(LN(2)/2)*AQ97*AT97*VLOOKUP('Données projet'!$B$10,Paramètres!$A$1:$I$89,3,0)*0.475*44/12</f>
        <v>4.5599970803549662E-4</v>
      </c>
      <c r="AX97" s="21">
        <f t="shared" si="60"/>
        <v>89.338983147226884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3.4</v>
      </c>
      <c r="BD97" s="12">
        <f>IF('Données projet'!$A$88&gt;35,BD96+BC97-BL96,IF(A97&lt;'Données projet'!$A$88,$BA$205^A97,IF(A97='Données projet'!$A$88,'Données projet'!$B$88,BD96+BC97-BL96)))</f>
        <v>229.59999999999991</v>
      </c>
      <c r="BE97" s="13">
        <f>BD97*VLOOKUP('Données projet'!$B$11,Paramètres!$A$1:$I$89,3,0)*VLOOKUP('Données projet'!$B$11,Paramètres!$A$1:$I$89,5,0)</f>
        <v>232.81439999999992</v>
      </c>
      <c r="BF97" s="13">
        <f t="shared" si="91"/>
        <v>56.890789192015156</v>
      </c>
      <c r="BG97" s="20">
        <f t="shared" si="61"/>
        <v>504.56987117609305</v>
      </c>
      <c r="BH97" s="59">
        <f t="shared" si="62"/>
        <v>780.21038625333154</v>
      </c>
      <c r="BI97" s="59">
        <f ca="1">AVERAGE(OFFSET($BH$3,0,0,'Données projet'!$E$11+1,1))-AVERAGE(OFFSET($H$3,0,0,'Données projet'!$E$11+1,1))</f>
        <v>402.96916953216805</v>
      </c>
      <c r="BJ97" s="59">
        <f t="shared" si="92"/>
        <v>164.89273051331318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2.1215341572282775</v>
      </c>
      <c r="BQ97" s="21">
        <f>EXP(-LN(2)/25)*BQ96+(1-EXP(-LN(2)/25))/(LN(2)/25)*Calculateur!BL97*Calculateur!BN97*VLOOKUP('Données projet'!$B$11,Paramètres!$A$1:$I$89,3,0)*0.475*44/12</f>
        <v>6.8442714114406336</v>
      </c>
      <c r="BR97" s="21">
        <f>EXP(-LN(2)/2)*BR96+(1-EXP(-LN(2)/2))/(LN(2)/2)*BL97*BO97*VLOOKUP('Données projet'!$B$11,Paramètres!$A$1:$I$89,3,0)*0.475*44/12</f>
        <v>0.72637696681810904</v>
      </c>
      <c r="BS97" s="22">
        <f t="shared" si="63"/>
        <v>9.692182535487019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-2.2737367544323206E-13</v>
      </c>
      <c r="BZ97" s="13">
        <f>BY97*VLOOKUP('Données projet'!$B$12,Paramètres!$A$1:$I$89,3,0)*VLOOKUP('Données projet'!$B$12,Paramètres!$A$1:$I$89,5,0)</f>
        <v>-1.3596945791505279E-13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373.61861223558259</v>
      </c>
      <c r="CE97" s="59">
        <f t="shared" si="94"/>
        <v>277.62293009761049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116.15502194896187</v>
      </c>
      <c r="CL97" s="21">
        <f>EXP(-LN(2)/25)*CL96+(1-EXP(-LN(2)/25))/(LN(2)/25)*Calculateur!CG97*Calculateur!CI97*VLOOKUP('Données projet'!$B$12,Paramètres!$A$1:$I$89,3,0)*0.475*44/12</f>
        <v>35.098320016052227</v>
      </c>
      <c r="CM97" s="21">
        <f>EXP(-LN(2)/2)*CM96+(1-EXP(-LN(2)/2))/(LN(2)/2)*CG97*CJ97*VLOOKUP('Données projet'!$B$12,Paramètres!$A$1:$I$89,3,0)*0.475*44/12</f>
        <v>0.55247377188444302</v>
      </c>
      <c r="CN97" s="22">
        <f t="shared" si="66"/>
        <v>151.80581573689855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11.283999999999997</v>
      </c>
      <c r="N98" s="13">
        <f>IF('Données projet'!$A$36&gt;35,N97+M98-V97,IF(A98&lt;'Données projet'!$A$36,$K$205^A98,IF(A98='Données projet'!$A$36,'Données projet'!$B$36,N97+M98-V97)))</f>
        <v>459.25</v>
      </c>
      <c r="O98" s="13">
        <f>N98*VLOOKUP('Données projet'!$B$9,Paramètres!$A$1:$I$89,3,0)*VLOOKUP('Données projet'!$B$9,Paramètres!$A$1:$I$89,5,0)</f>
        <v>415.52940000000001</v>
      </c>
      <c r="P98" s="13">
        <f t="shared" si="87"/>
        <v>94.917999685477398</v>
      </c>
      <c r="Q98" s="20">
        <f t="shared" si="54"/>
        <v>889.02922111887312</v>
      </c>
      <c r="R98" s="59">
        <f t="shared" si="55"/>
        <v>1164.9766670376391</v>
      </c>
      <c r="S98" s="59">
        <f ca="1">AVERAGE(OFFSET($R$3,0,0,'Données projet'!$E$9+1,1))-AVERAGE(OFFSET($H$3,0,0,'Données projet'!$E$9+1,1))</f>
        <v>737.40414421611001</v>
      </c>
      <c r="T98" s="59">
        <f t="shared" si="88"/>
        <v>245.32893490531674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34.8323694111359</v>
      </c>
      <c r="AA98" s="21">
        <f>EXP(-LN(2)/25)*AA97+(1-EXP(-LN(2)/25))/(LN(2)/25)*Calculateur!V98*Calculateur!X98*VLOOKUP('Données projet'!$B$9,Paramètres!$A$1:$I$89,3,0)*0.475*44/12</f>
        <v>31.003083722260175</v>
      </c>
      <c r="AB98" s="21">
        <f>EXP(-LN(2)/2)*AB97+(1-EXP(-LN(2)/2))/(LN(2)/2)*V98*Y98*VLOOKUP('Données projet'!$B$9,Paramètres!$A$1:$I$89,3,0)*0.475*44/12</f>
        <v>1.0939463799170563</v>
      </c>
      <c r="AC98" s="22">
        <f t="shared" si="57"/>
        <v>66.929399513313129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1.3999999999999773</v>
      </c>
      <c r="AJ98" s="13">
        <f>AI98*VLOOKUP('Données projet'!$B$10,Paramètres!$A$1:$I$89,3,0)*VLOOKUP('Données projet'!$B$10,Paramètres!$A$1:$I$89,5,0)</f>
        <v>0.83719999999998651</v>
      </c>
      <c r="AK98" s="13">
        <f t="shared" si="89"/>
        <v>0.39388003094446933</v>
      </c>
      <c r="AL98" s="20">
        <f t="shared" si="58"/>
        <v>2.144131053894927</v>
      </c>
      <c r="AM98" s="59">
        <f t="shared" si="59"/>
        <v>278.09157697266085</v>
      </c>
      <c r="AN98" s="59">
        <f ca="1">AVERAGE(OFFSET($AM$3,0,0,'Données projet'!$E$10+1,1))-AVERAGE(OFFSET($H$3,0,0,'Données projet'!$E$10+1,1))</f>
        <v>318.6615972007902</v>
      </c>
      <c r="AO98" s="59">
        <f t="shared" si="90"/>
        <v>326.82168950869504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69.166085475037505</v>
      </c>
      <c r="AV98" s="21">
        <f>EXP(-LN(2)/25)*AV97+(1-EXP(-LN(2)/25))/(LN(2)/25)*Calculateur!AQ98*Calculateur!AS98*VLOOKUP('Données projet'!$B$10,Paramètres!$A$1:$I$89,3,0)*0.475*44/12</f>
        <v>18.27522221613097</v>
      </c>
      <c r="AW98" s="21">
        <f>EXP(-LN(2)/2)*AW97+(1-EXP(-LN(2)/2))/(LN(2)/2)*AQ98*AT98*VLOOKUP('Données projet'!$B$10,Paramètres!$A$1:$I$89,3,0)*0.475*44/12</f>
        <v>3.2244048577098546E-4</v>
      </c>
      <c r="AX98" s="21">
        <f t="shared" si="60"/>
        <v>87.44163013165425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233</v>
      </c>
      <c r="BB98" s="12">
        <f>VLOOKUP(A98,'Données projet'!$A$87:$I$107,9,0)</f>
        <v>3.4</v>
      </c>
      <c r="BC98" s="12">
        <f t="array" ref="BC98">INDEX(BB:BB,MIN(IF(ISNUMBER(BB98:BB294),ROW(BB98:BB294),"")))</f>
        <v>3.4</v>
      </c>
      <c r="BD98" s="12">
        <f>IF('Données projet'!$A$88&gt;35,BD97+BC98-BL97,IF(A98&lt;'Données projet'!$A$88,$BA$205^A98,IF(A98='Données projet'!$A$88,'Données projet'!$B$88,BD97+BC98-BL97)))</f>
        <v>232.99999999999991</v>
      </c>
      <c r="BE98" s="13">
        <f>BD98*VLOOKUP('Données projet'!$B$11,Paramètres!$A$1:$I$89,3,0)*VLOOKUP('Données projet'!$B$11,Paramètres!$A$1:$I$89,5,0)</f>
        <v>236.26199999999994</v>
      </c>
      <c r="BF98" s="13">
        <f t="shared" si="91"/>
        <v>57.634548288898394</v>
      </c>
      <c r="BG98" s="20">
        <f t="shared" si="61"/>
        <v>511.86982160316455</v>
      </c>
      <c r="BH98" s="59">
        <f t="shared" si="62"/>
        <v>787.81726752193049</v>
      </c>
      <c r="BI98" s="59">
        <f ca="1">AVERAGE(OFFSET($BH$3,0,0,'Données projet'!$E$11+1,1))-AVERAGE(OFFSET($H$3,0,0,'Données projet'!$E$11+1,1))</f>
        <v>402.96916953216805</v>
      </c>
      <c r="BJ98" s="59">
        <f t="shared" si="92"/>
        <v>164.89273051331318</v>
      </c>
      <c r="BK98" s="15">
        <f>IF(ISNA(VLOOKUP(A98,'Données projet'!$A$87:$I$107,3,0)),0,VLOOKUP(A98,'Données projet'!$A$87:$I$107,3,0))</f>
        <v>13</v>
      </c>
      <c r="BL98" s="15">
        <f>IF(ISNA(VLOOKUP(A98,'Données projet'!$A$87:$I$107,4,0)),0,VLOOKUP(A98,'Données projet'!$A$87:$I$107,4,0))</f>
        <v>9</v>
      </c>
      <c r="BM98" s="16">
        <f>IF(ISNA(VLOOKUP(A98,'Données projet'!$A$87:$I$107,5,0)),0%,VLOOKUP(A98,'Données projet'!$A$87:$I$107,5,0)*VLOOKUP('Données projet'!$B$11,Paramètres!$A$1:$I$89,7,0))</f>
        <v>0.1075</v>
      </c>
      <c r="BN98" s="16">
        <f>IF(ISNA(VLOOKUP(A98,'Données projet'!$A$87:$I$107,6,0)),0%,VLOOKUP(A98,'Données projet'!$A$87:$I$107,6,0)*VLOOKUP('Données projet'!$B$11,Paramètres!$A$1:$I$89,7,0))</f>
        <v>0.1075</v>
      </c>
      <c r="BO98" s="16">
        <f>IF(ISNA(VLOOKUP(A98,'Données projet'!$A$87:$I$107,7,0)),0%,VLOOKUP(A98,'Données projet'!$A$87:$I$107,7,0))</f>
        <v>0.25</v>
      </c>
      <c r="BP98" s="21">
        <f>EXP(-LN(2)/35)*BP97+(1-EXP(-LN(2)/35))/(LN(2)/35)*BL98*BM98*VLOOKUP('Données projet'!$B$11,Paramètres!$A$1:$I$89,3,0)*0.475*44/12</f>
        <v>3.1644483549019977</v>
      </c>
      <c r="BQ98" s="21">
        <f>EXP(-LN(2)/25)*BQ97+(1-EXP(-LN(2)/25))/(LN(2)/25)*Calculateur!BL98*Calculateur!BN98*VLOOKUP('Données projet'!$B$11,Paramètres!$A$1:$I$89,3,0)*0.475*44/12</f>
        <v>7.7373604847919566</v>
      </c>
      <c r="BR98" s="21">
        <f>EXP(-LN(2)/2)*BR97+(1-EXP(-LN(2)/2))/(LN(2)/2)*BL98*BO98*VLOOKUP('Données projet'!$B$11,Paramètres!$A$1:$I$89,3,0)*0.475*44/12</f>
        <v>2.6662827346069942</v>
      </c>
      <c r="BS98" s="22">
        <f t="shared" si="63"/>
        <v>13.568091574300949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-2.2737367544323206E-13</v>
      </c>
      <c r="BZ98" s="13">
        <f>BY98*VLOOKUP('Données projet'!$B$12,Paramètres!$A$1:$I$89,3,0)*VLOOKUP('Données projet'!$B$12,Paramètres!$A$1:$I$89,5,0)</f>
        <v>-1.3596945791505279E-13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373.61861223558259</v>
      </c>
      <c r="CE98" s="59">
        <f t="shared" si="94"/>
        <v>277.62293009761049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113.87729281611051</v>
      </c>
      <c r="CL98" s="21">
        <f>EXP(-LN(2)/25)*CL97+(1-EXP(-LN(2)/25))/(LN(2)/25)*Calculateur!CG98*Calculateur!CI98*VLOOKUP('Données projet'!$B$12,Paramètres!$A$1:$I$89,3,0)*0.475*44/12</f>
        <v>34.138554609472848</v>
      </c>
      <c r="CM98" s="21">
        <f>EXP(-LN(2)/2)*CM97+(1-EXP(-LN(2)/2))/(LN(2)/2)*CG98*CJ98*VLOOKUP('Données projet'!$B$12,Paramètres!$A$1:$I$89,3,0)*0.475*44/12</f>
        <v>0.39065795052719943</v>
      </c>
      <c r="CN98" s="22">
        <f t="shared" si="66"/>
        <v>148.40650537611057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11.283999999999997</v>
      </c>
      <c r="N99" s="13">
        <f>IF('Données projet'!$A$36&gt;35,N98+M99-V98,IF(A99&lt;'Données projet'!$A$36,$K$205^A99,IF(A99='Données projet'!$A$36,'Données projet'!$B$36,N98+M99-V98)))</f>
        <v>470.53399999999999</v>
      </c>
      <c r="O99" s="13">
        <f>N99*VLOOKUP('Données projet'!$B$9,Paramètres!$A$1:$I$89,3,0)*VLOOKUP('Données projet'!$B$9,Paramètres!$A$1:$I$89,5,0)</f>
        <v>425.73916320000001</v>
      </c>
      <c r="P99" s="13">
        <f t="shared" si="87"/>
        <v>96.975795710339128</v>
      </c>
      <c r="Q99" s="20">
        <f t="shared" ref="Q99:Q130" si="107">(O99+P99)*0.475*44/12</f>
        <v>910.39522010217399</v>
      </c>
      <c r="R99" s="59">
        <f t="shared" si="55"/>
        <v>1186.6442722985614</v>
      </c>
      <c r="S99" s="59">
        <f ca="1">AVERAGE(OFFSET($R$3,0,0,'Données projet'!$E$9+1,1))-AVERAGE(OFFSET($H$3,0,0,'Données projet'!$E$9+1,1))</f>
        <v>737.40414421611001</v>
      </c>
      <c r="T99" s="59">
        <f t="shared" si="88"/>
        <v>245.32893490531674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34.149327892631035</v>
      </c>
      <c r="AA99" s="21">
        <f>EXP(-LN(2)/25)*AA98+(1-EXP(-LN(2)/25))/(LN(2)/25)*Calculateur!V99*Calculateur!X99*VLOOKUP('Données projet'!$B$9,Paramètres!$A$1:$I$89,3,0)*0.475*44/12</f>
        <v>30.155302767493655</v>
      </c>
      <c r="AB99" s="21">
        <f>EXP(-LN(2)/2)*AB98+(1-EXP(-LN(2)/2))/(LN(2)/2)*V99*Y99*VLOOKUP('Données projet'!$B$9,Paramètres!$A$1:$I$89,3,0)*0.475*44/12</f>
        <v>0.77353690349382576</v>
      </c>
      <c r="AC99" s="22">
        <f t="shared" si="57"/>
        <v>65.078167563618507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1.3999999999999773</v>
      </c>
      <c r="AJ99" s="13">
        <f>AI99*VLOOKUP('Données projet'!$B$10,Paramètres!$A$1:$I$89,3,0)*VLOOKUP('Données projet'!$B$10,Paramètres!$A$1:$I$89,5,0)</f>
        <v>0.83719999999998651</v>
      </c>
      <c r="AK99" s="13">
        <f t="shared" si="89"/>
        <v>0.39388003094446933</v>
      </c>
      <c r="AL99" s="20">
        <f t="shared" si="58"/>
        <v>2.144131053894927</v>
      </c>
      <c r="AM99" s="59">
        <f t="shared" si="59"/>
        <v>278.39318325028233</v>
      </c>
      <c r="AN99" s="59">
        <f ca="1">AVERAGE(OFFSET($AM$3,0,0,'Données projet'!$E$10+1,1))-AVERAGE(OFFSET($H$3,0,0,'Données projet'!$E$10+1,1))</f>
        <v>318.6615972007902</v>
      </c>
      <c r="AO99" s="59">
        <f t="shared" si="90"/>
        <v>326.82168950869504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67.809780726018531</v>
      </c>
      <c r="AV99" s="21">
        <f>EXP(-LN(2)/25)*AV98+(1-EXP(-LN(2)/25))/(LN(2)/25)*Calculateur!AQ99*Calculateur!AS99*VLOOKUP('Données projet'!$B$10,Paramètres!$A$1:$I$89,3,0)*0.475*44/12</f>
        <v>17.775485303578701</v>
      </c>
      <c r="AW99" s="21">
        <f>EXP(-LN(2)/2)*AW98+(1-EXP(-LN(2)/2))/(LN(2)/2)*AQ99*AT99*VLOOKUP('Données projet'!$B$10,Paramètres!$A$1:$I$89,3,0)*0.475*44/12</f>
        <v>2.2799985401774831E-4</v>
      </c>
      <c r="AX99" s="21">
        <f t="shared" si="60"/>
        <v>85.585494029451255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3</v>
      </c>
      <c r="BD99" s="12">
        <f>IF('Données projet'!$A$88&gt;35,BD98+BC99-BL98,IF(A99&lt;'Données projet'!$A$88,$BA$205^A99,IF(A99='Données projet'!$A$88,'Données projet'!$B$88,BD98+BC99-BL98)))</f>
        <v>226.99999999999991</v>
      </c>
      <c r="BE99" s="13">
        <f>BD99*VLOOKUP('Données projet'!$B$11,Paramètres!$A$1:$I$89,3,0)*VLOOKUP('Données projet'!$B$11,Paramètres!$A$1:$I$89,5,0)</f>
        <v>230.17799999999994</v>
      </c>
      <c r="BF99" s="13">
        <f t="shared" si="91"/>
        <v>56.321167559725055</v>
      </c>
      <c r="BG99" s="20">
        <f t="shared" si="61"/>
        <v>498.98605016652095</v>
      </c>
      <c r="BH99" s="59">
        <f t="shared" si="62"/>
        <v>775.23510236290838</v>
      </c>
      <c r="BI99" s="59">
        <f ca="1">AVERAGE(OFFSET($BH$3,0,0,'Données projet'!$E$11+1,1))-AVERAGE(OFFSET($H$3,0,0,'Données projet'!$E$11+1,1))</f>
        <v>402.96916953216805</v>
      </c>
      <c r="BJ99" s="59">
        <f t="shared" si="92"/>
        <v>164.89273051331318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3.1023954527852822</v>
      </c>
      <c r="BQ99" s="21">
        <f>EXP(-LN(2)/25)*BQ98+(1-EXP(-LN(2)/25))/(LN(2)/25)*Calculateur!BL99*Calculateur!BN99*VLOOKUP('Données projet'!$B$11,Paramètres!$A$1:$I$89,3,0)*0.475*44/12</f>
        <v>7.5257819554452166</v>
      </c>
      <c r="BR99" s="21">
        <f>EXP(-LN(2)/2)*BR98+(1-EXP(-LN(2)/2))/(LN(2)/2)*BL99*BO99*VLOOKUP('Données projet'!$B$11,Paramètres!$A$1:$I$89,3,0)*0.475*44/12</f>
        <v>1.8853466022012175</v>
      </c>
      <c r="BS99" s="22">
        <f t="shared" si="63"/>
        <v>12.513524010431716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-2.2737367544323206E-13</v>
      </c>
      <c r="BZ99" s="13">
        <f>BY99*VLOOKUP('Données projet'!$B$12,Paramètres!$A$1:$I$89,3,0)*VLOOKUP('Données projet'!$B$12,Paramètres!$A$1:$I$89,5,0)</f>
        <v>-1.3596945791505279E-13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373.61861223558259</v>
      </c>
      <c r="CE99" s="59">
        <f t="shared" si="94"/>
        <v>277.62293009761049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111.64422856227677</v>
      </c>
      <c r="CL99" s="21">
        <f>EXP(-LN(2)/25)*CL98+(1-EXP(-LN(2)/25))/(LN(2)/25)*Calculateur!CG99*Calculateur!CI99*VLOOKUP('Données projet'!$B$12,Paramètres!$A$1:$I$89,3,0)*0.475*44/12</f>
        <v>33.20503403840825</v>
      </c>
      <c r="CM99" s="21">
        <f>EXP(-LN(2)/2)*CM98+(1-EXP(-LN(2)/2))/(LN(2)/2)*CG99*CJ99*VLOOKUP('Données projet'!$B$12,Paramètres!$A$1:$I$89,3,0)*0.475*44/12</f>
        <v>0.27623688594222151</v>
      </c>
      <c r="CN99" s="22">
        <f t="shared" si="66"/>
        <v>145.12549948662723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11.283999999999997</v>
      </c>
      <c r="N100" s="13">
        <f>IF('Données projet'!$A$36&gt;35,N99+M100-V99,IF(A100&lt;'Données projet'!$A$36,$K$205^A100,IF(A100='Données projet'!$A$36,'Données projet'!$B$36,N99+M100-V99)))</f>
        <v>481.81799999999998</v>
      </c>
      <c r="O100" s="13">
        <f>N100*VLOOKUP('Données projet'!$B$9,Paramètres!$A$1:$I$89,3,0)*VLOOKUP('Données projet'!$B$9,Paramètres!$A$1:$I$89,5,0)</f>
        <v>435.9489264</v>
      </c>
      <c r="P100" s="13">
        <f t="shared" si="87"/>
        <v>99.0278549926512</v>
      </c>
      <c r="Q100" s="20">
        <f t="shared" si="107"/>
        <v>931.75122759220085</v>
      </c>
      <c r="R100" s="59">
        <f t="shared" si="55"/>
        <v>1208.2966538715837</v>
      </c>
      <c r="S100" s="59">
        <f ca="1">AVERAGE(OFFSET($R$3,0,0,'Données projet'!$E$9+1,1))-AVERAGE(OFFSET($H$3,0,0,'Données projet'!$E$9+1,1))</f>
        <v>737.40414421611001</v>
      </c>
      <c r="T100" s="59">
        <f t="shared" si="88"/>
        <v>245.32893490531674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33.479680401689862</v>
      </c>
      <c r="AA100" s="21">
        <f>EXP(-LN(2)/25)*AA99+(1-EXP(-LN(2)/25))/(LN(2)/25)*Calculateur!V100*Calculateur!X100*VLOOKUP('Données projet'!$B$9,Paramètres!$A$1:$I$89,3,0)*0.475*44/12</f>
        <v>29.330704427518089</v>
      </c>
      <c r="AB100" s="21">
        <f>EXP(-LN(2)/2)*AB99+(1-EXP(-LN(2)/2))/(LN(2)/2)*V100*Y100*VLOOKUP('Données projet'!$B$9,Paramètres!$A$1:$I$89,3,0)*0.475*44/12</f>
        <v>0.54697318995852817</v>
      </c>
      <c r="AC100" s="22">
        <f t="shared" si="57"/>
        <v>63.357358019166476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1.3999999999999773</v>
      </c>
      <c r="AJ100" s="13">
        <f>AI100*VLOOKUP('Données projet'!$B$10,Paramètres!$A$1:$I$89,3,0)*VLOOKUP('Données projet'!$B$10,Paramètres!$A$1:$I$89,5,0)</f>
        <v>0.83719999999998651</v>
      </c>
      <c r="AK100" s="13">
        <f t="shared" si="89"/>
        <v>0.39388003094446933</v>
      </c>
      <c r="AL100" s="20">
        <f t="shared" si="58"/>
        <v>2.144131053894927</v>
      </c>
      <c r="AM100" s="59">
        <f t="shared" si="59"/>
        <v>278.68955733327772</v>
      </c>
      <c r="AN100" s="59">
        <f ca="1">AVERAGE(OFFSET($AM$3,0,0,'Données projet'!$E$10+1,1))-AVERAGE(OFFSET($H$3,0,0,'Données projet'!$E$10+1,1))</f>
        <v>318.6615972007902</v>
      </c>
      <c r="AO100" s="59">
        <f t="shared" si="90"/>
        <v>326.82168950869504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66.480072285863599</v>
      </c>
      <c r="AV100" s="21">
        <f>EXP(-LN(2)/25)*AV99+(1-EXP(-LN(2)/25))/(LN(2)/25)*Calculateur!AQ100*Calculateur!AS100*VLOOKUP('Données projet'!$B$10,Paramètres!$A$1:$I$89,3,0)*0.475*44/12</f>
        <v>17.289413723180196</v>
      </c>
      <c r="AW100" s="21">
        <f>EXP(-LN(2)/2)*AW99+(1-EXP(-LN(2)/2))/(LN(2)/2)*AQ100*AT100*VLOOKUP('Données projet'!$B$10,Paramètres!$A$1:$I$89,3,0)*0.475*44/12</f>
        <v>1.6122024288549273E-4</v>
      </c>
      <c r="AX100" s="21">
        <f t="shared" si="60"/>
        <v>83.769647229286676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3</v>
      </c>
      <c r="BD100" s="12">
        <f>IF('Données projet'!$A$88&gt;35,BD99+BC100-BL99,IF(A100&lt;'Données projet'!$A$88,$BA$205^A100,IF(A100='Données projet'!$A$88,'Données projet'!$B$88,BD99+BC100-BL99)))</f>
        <v>229.99999999999991</v>
      </c>
      <c r="BE100" s="13">
        <f>BD100*VLOOKUP('Données projet'!$B$11,Paramètres!$A$1:$I$89,3,0)*VLOOKUP('Données projet'!$B$11,Paramètres!$A$1:$I$89,5,0)</f>
        <v>233.21999999999991</v>
      </c>
      <c r="BF100" s="13">
        <f t="shared" si="91"/>
        <v>56.978356452817273</v>
      </c>
      <c r="BG100" s="20">
        <f t="shared" si="61"/>
        <v>505.42880415532318</v>
      </c>
      <c r="BH100" s="59">
        <f t="shared" si="62"/>
        <v>781.97423043470599</v>
      </c>
      <c r="BI100" s="59">
        <f ca="1">AVERAGE(OFFSET($BH$3,0,0,'Données projet'!$E$11+1,1))-AVERAGE(OFFSET($H$3,0,0,'Données projet'!$E$11+1,1))</f>
        <v>402.96916953216805</v>
      </c>
      <c r="BJ100" s="59">
        <f t="shared" si="92"/>
        <v>164.89273051331318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3.0415593702305426</v>
      </c>
      <c r="BQ100" s="21">
        <f>EXP(-LN(2)/25)*BQ99+(1-EXP(-LN(2)/25))/(LN(2)/25)*Calculateur!BL100*Calculateur!BN100*VLOOKUP('Données projet'!$B$11,Paramètres!$A$1:$I$89,3,0)*0.475*44/12</f>
        <v>7.3199890521098947</v>
      </c>
      <c r="BR100" s="21">
        <f>EXP(-LN(2)/2)*BR99+(1-EXP(-LN(2)/2))/(LN(2)/2)*BL100*BO100*VLOOKUP('Données projet'!$B$11,Paramètres!$A$1:$I$89,3,0)*0.475*44/12</f>
        <v>1.3331413673034973</v>
      </c>
      <c r="BS100" s="22">
        <f t="shared" si="63"/>
        <v>11.694689789643935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-2.2737367544323206E-13</v>
      </c>
      <c r="BZ100" s="13">
        <f>BY100*VLOOKUP('Données projet'!$B$12,Paramètres!$A$1:$I$89,3,0)*VLOOKUP('Données projet'!$B$12,Paramètres!$A$1:$I$89,5,0)</f>
        <v>-1.3596945791505279E-13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373.61861223558259</v>
      </c>
      <c r="CE100" s="59">
        <f t="shared" si="94"/>
        <v>277.62293009761049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109.454953336426</v>
      </c>
      <c r="CL100" s="21">
        <f>EXP(-LN(2)/25)*CL99+(1-EXP(-LN(2)/25))/(LN(2)/25)*Calculateur!CG100*Calculateur!CI100*VLOOKUP('Données projet'!$B$12,Paramètres!$A$1:$I$89,3,0)*0.475*44/12</f>
        <v>32.297040636451129</v>
      </c>
      <c r="CM100" s="21">
        <f>EXP(-LN(2)/2)*CM99+(1-EXP(-LN(2)/2))/(LN(2)/2)*CG100*CJ100*VLOOKUP('Données projet'!$B$12,Paramètres!$A$1:$I$89,3,0)*0.475*44/12</f>
        <v>0.19532897526359971</v>
      </c>
      <c r="CN100" s="22">
        <f t="shared" si="66"/>
        <v>141.94732294814074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11.283999999999997</v>
      </c>
      <c r="N101" s="13">
        <f>IF('Données projet'!$A$36&gt;35,N100+M101-V100,IF(A101&lt;'Données projet'!$A$36,$K$205^A101,IF(A101='Données projet'!$A$36,'Données projet'!$B$36,N100+M101-V100)))</f>
        <v>493.10199999999998</v>
      </c>
      <c r="O101" s="13">
        <f>N101*VLOOKUP('Données projet'!$B$9,Paramètres!$A$1:$I$89,3,0)*VLOOKUP('Données projet'!$B$9,Paramètres!$A$1:$I$89,5,0)</f>
        <v>446.15868959999995</v>
      </c>
      <c r="P101" s="13">
        <f t="shared" si="87"/>
        <v>101.07432734685769</v>
      </c>
      <c r="Q101" s="20">
        <f t="shared" si="107"/>
        <v>953.09750451577702</v>
      </c>
      <c r="R101" s="59">
        <f t="shared" si="55"/>
        <v>1229.9341634504085</v>
      </c>
      <c r="S101" s="59">
        <f ca="1">AVERAGE(OFFSET($R$3,0,0,'Données projet'!$E$9+1,1))-AVERAGE(OFFSET($H$3,0,0,'Données projet'!$E$9+1,1))</f>
        <v>737.40414421611001</v>
      </c>
      <c r="T101" s="59">
        <f t="shared" si="88"/>
        <v>245.32893490531674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32.823164289601401</v>
      </c>
      <c r="AA101" s="21">
        <f>EXP(-LN(2)/25)*AA100+(1-EXP(-LN(2)/25))/(LN(2)/25)*Calculateur!V101*Calculateur!X101*VLOOKUP('Données projet'!$B$9,Paramètres!$A$1:$I$89,3,0)*0.475*44/12</f>
        <v>28.528654772512898</v>
      </c>
      <c r="AB101" s="21">
        <f>EXP(-LN(2)/2)*AB100+(1-EXP(-LN(2)/2))/(LN(2)/2)*V101*Y101*VLOOKUP('Données projet'!$B$9,Paramètres!$A$1:$I$89,3,0)*0.475*44/12</f>
        <v>0.38676845174691288</v>
      </c>
      <c r="AC101" s="22">
        <f t="shared" si="57"/>
        <v>61.738587513861212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1.3999999999999773</v>
      </c>
      <c r="AJ101" s="13">
        <f>AI101*VLOOKUP('Données projet'!$B$10,Paramètres!$A$1:$I$89,3,0)*VLOOKUP('Données projet'!$B$10,Paramètres!$A$1:$I$89,5,0)</f>
        <v>0.83719999999998651</v>
      </c>
      <c r="AK101" s="13">
        <f t="shared" si="89"/>
        <v>0.39388003094446933</v>
      </c>
      <c r="AL101" s="20">
        <f t="shared" si="58"/>
        <v>2.144131053894927</v>
      </c>
      <c r="AM101" s="59">
        <f t="shared" si="59"/>
        <v>278.98078998852628</v>
      </c>
      <c r="AN101" s="59">
        <f ca="1">AVERAGE(OFFSET($AM$3,0,0,'Données projet'!$E$10+1,1))-AVERAGE(OFFSET($H$3,0,0,'Données projet'!$E$10+1,1))</f>
        <v>318.6615972007902</v>
      </c>
      <c r="AO101" s="59">
        <f t="shared" si="90"/>
        <v>326.82168950869504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65.17643861717805</v>
      </c>
      <c r="AV101" s="21">
        <f>EXP(-LN(2)/25)*AV100+(1-EXP(-LN(2)/25))/(LN(2)/25)*Calculateur!AQ101*Calculateur!AS101*VLOOKUP('Données projet'!$B$10,Paramètres!$A$1:$I$89,3,0)*0.475*44/12</f>
        <v>16.81663379570908</v>
      </c>
      <c r="AW101" s="21">
        <f>EXP(-LN(2)/2)*AW100+(1-EXP(-LN(2)/2))/(LN(2)/2)*AQ101*AT101*VLOOKUP('Données projet'!$B$10,Paramètres!$A$1:$I$89,3,0)*0.475*44/12</f>
        <v>1.1399992700887415E-4</v>
      </c>
      <c r="AX101" s="21">
        <f t="shared" si="60"/>
        <v>81.99318641281414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3</v>
      </c>
      <c r="BD101" s="12">
        <f>IF('Données projet'!$A$88&gt;35,BD100+BC101-BL100,IF(A101&lt;'Données projet'!$A$88,$BA$205^A101,IF(A101='Données projet'!$A$88,'Données projet'!$B$88,BD100+BC101-BL100)))</f>
        <v>232.99999999999991</v>
      </c>
      <c r="BE101" s="13">
        <f>BD101*VLOOKUP('Données projet'!$B$11,Paramètres!$A$1:$I$89,3,0)*VLOOKUP('Données projet'!$B$11,Paramètres!$A$1:$I$89,5,0)</f>
        <v>236.26199999999994</v>
      </c>
      <c r="BF101" s="13">
        <f t="shared" si="91"/>
        <v>57.634548288898394</v>
      </c>
      <c r="BG101" s="20">
        <f t="shared" si="61"/>
        <v>511.86982160316455</v>
      </c>
      <c r="BH101" s="59">
        <f t="shared" si="62"/>
        <v>788.70648053779587</v>
      </c>
      <c r="BI101" s="59">
        <f ca="1">AVERAGE(OFFSET($BH$3,0,0,'Données projet'!$E$11+1,1))-AVERAGE(OFFSET($H$3,0,0,'Données projet'!$E$11+1,1))</f>
        <v>402.96916953216805</v>
      </c>
      <c r="BJ101" s="59">
        <f t="shared" si="92"/>
        <v>164.89273051331318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2.981916246148355</v>
      </c>
      <c r="BQ101" s="21">
        <f>EXP(-LN(2)/25)*BQ100+(1-EXP(-LN(2)/25))/(LN(2)/25)*Calculateur!BL101*Calculateur!BN101*VLOOKUP('Données projet'!$B$11,Paramètres!$A$1:$I$89,3,0)*0.475*44/12</f>
        <v>7.1198235665384555</v>
      </c>
      <c r="BR101" s="21">
        <f>EXP(-LN(2)/2)*BR100+(1-EXP(-LN(2)/2))/(LN(2)/2)*BL101*BO101*VLOOKUP('Données projet'!$B$11,Paramètres!$A$1:$I$89,3,0)*0.475*44/12</f>
        <v>0.94267330110060887</v>
      </c>
      <c r="BS101" s="22">
        <f t="shared" si="63"/>
        <v>11.044413113787419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-2.2737367544323206E-13</v>
      </c>
      <c r="BZ101" s="13">
        <f>BY101*VLOOKUP('Données projet'!$B$12,Paramètres!$A$1:$I$89,3,0)*VLOOKUP('Données projet'!$B$12,Paramètres!$A$1:$I$89,5,0)</f>
        <v>-1.3596945791505279E-13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373.61861223558259</v>
      </c>
      <c r="CE101" s="59">
        <f t="shared" si="94"/>
        <v>277.62293009761049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107.30860846242813</v>
      </c>
      <c r="CL101" s="21">
        <f>EXP(-LN(2)/25)*CL100+(1-EXP(-LN(2)/25))/(LN(2)/25)*Calculateur!CG101*Calculateur!CI101*VLOOKUP('Données projet'!$B$12,Paramètres!$A$1:$I$89,3,0)*0.475*44/12</f>
        <v>31.41387636181982</v>
      </c>
      <c r="CM101" s="21">
        <f>EXP(-LN(2)/2)*CM100+(1-EXP(-LN(2)/2))/(LN(2)/2)*CG101*CJ101*VLOOKUP('Données projet'!$B$12,Paramètres!$A$1:$I$89,3,0)*0.475*44/12</f>
        <v>0.13811844297111076</v>
      </c>
      <c r="CN101" s="22">
        <f t="shared" si="66"/>
        <v>138.86060326721906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11.283999999999997</v>
      </c>
      <c r="N102" s="13">
        <f>IF('Données projet'!$A$36&gt;35,N101+M102-V101,IF(A102&lt;'Données projet'!$A$36,$K$205^A102,IF(A102='Données projet'!$A$36,'Données projet'!$B$36,N101+M102-V101)))</f>
        <v>504.38599999999997</v>
      </c>
      <c r="O102" s="13">
        <f>N102*VLOOKUP('Données projet'!$B$9,Paramètres!$A$1:$I$89,3,0)*VLOOKUP('Données projet'!$B$9,Paramètres!$A$1:$I$89,5,0)</f>
        <v>456.36845279999994</v>
      </c>
      <c r="P102" s="13">
        <f t="shared" si="87"/>
        <v>103.11535533948117</v>
      </c>
      <c r="Q102" s="20">
        <f t="shared" si="107"/>
        <v>974.43429917626281</v>
      </c>
      <c r="R102" s="59">
        <f t="shared" si="55"/>
        <v>1251.557138530673</v>
      </c>
      <c r="S102" s="59">
        <f ca="1">AVERAGE(OFFSET($R$3,0,0,'Données projet'!$E$9+1,1))-AVERAGE(OFFSET($H$3,0,0,'Données projet'!$E$9+1,1))</f>
        <v>737.40414421611001</v>
      </c>
      <c r="T102" s="59">
        <f t="shared" si="88"/>
        <v>245.32893490531674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32.179522058035708</v>
      </c>
      <c r="AA102" s="21">
        <f>EXP(-LN(2)/25)*AA101+(1-EXP(-LN(2)/25))/(LN(2)/25)*Calculateur!V102*Calculateur!X102*VLOOKUP('Données projet'!$B$9,Paramètres!$A$1:$I$89,3,0)*0.475*44/12</f>
        <v>27.74853720750178</v>
      </c>
      <c r="AB102" s="21">
        <f>EXP(-LN(2)/2)*AB101+(1-EXP(-LN(2)/2))/(LN(2)/2)*V102*Y102*VLOOKUP('Données projet'!$B$9,Paramètres!$A$1:$I$89,3,0)*0.475*44/12</f>
        <v>0.27348659497926409</v>
      </c>
      <c r="AC102" s="22">
        <f t="shared" si="57"/>
        <v>60.201545860516745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1.3999999999999773</v>
      </c>
      <c r="AJ102" s="13">
        <f>AI102*VLOOKUP('Données projet'!$B$10,Paramètres!$A$1:$I$89,3,0)*VLOOKUP('Données projet'!$B$10,Paramètres!$A$1:$I$89,5,0)</f>
        <v>0.83719999999998651</v>
      </c>
      <c r="AK102" s="13">
        <f t="shared" si="89"/>
        <v>0.39388003094446933</v>
      </c>
      <c r="AL102" s="20">
        <f t="shared" si="58"/>
        <v>2.144131053894927</v>
      </c>
      <c r="AM102" s="59">
        <f t="shared" si="59"/>
        <v>279.26697040830504</v>
      </c>
      <c r="AN102" s="59">
        <f ca="1">AVERAGE(OFFSET($AM$3,0,0,'Données projet'!$E$10+1,1))-AVERAGE(OFFSET($H$3,0,0,'Données projet'!$E$10+1,1))</f>
        <v>318.6615972007902</v>
      </c>
      <c r="AO102" s="59">
        <f t="shared" si="90"/>
        <v>326.82168950869504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63.898368409597396</v>
      </c>
      <c r="AV102" s="21">
        <f>EXP(-LN(2)/25)*AV101+(1-EXP(-LN(2)/25))/(LN(2)/25)*Calculateur!AQ102*Calculateur!AS102*VLOOKUP('Données projet'!$B$10,Paramètres!$A$1:$I$89,3,0)*0.475*44/12</f>
        <v>16.356782060217078</v>
      </c>
      <c r="AW102" s="21">
        <f>EXP(-LN(2)/2)*AW101+(1-EXP(-LN(2)/2))/(LN(2)/2)*AQ102*AT102*VLOOKUP('Données projet'!$B$10,Paramètres!$A$1:$I$89,3,0)*0.475*44/12</f>
        <v>8.0610121442746364E-5</v>
      </c>
      <c r="AX102" s="21">
        <f t="shared" si="60"/>
        <v>80.255231079935925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3</v>
      </c>
      <c r="BD102" s="12">
        <f>IF('Données projet'!$A$88&gt;35,BD101+BC102-BL101,IF(A102&lt;'Données projet'!$A$88,$BA$205^A102,IF(A102='Données projet'!$A$88,'Données projet'!$B$88,BD101+BC102-BL101)))</f>
        <v>235.99999999999991</v>
      </c>
      <c r="BE102" s="13">
        <f>BD102*VLOOKUP('Données projet'!$B$11,Paramètres!$A$1:$I$89,3,0)*VLOOKUP('Données projet'!$B$11,Paramètres!$A$1:$I$89,5,0)</f>
        <v>239.30399999999992</v>
      </c>
      <c r="BF102" s="13">
        <f t="shared" si="91"/>
        <v>58.289757389975783</v>
      </c>
      <c r="BG102" s="20">
        <f t="shared" si="61"/>
        <v>518.30912745420756</v>
      </c>
      <c r="BH102" s="59">
        <f t="shared" si="62"/>
        <v>795.43196680861774</v>
      </c>
      <c r="BI102" s="59">
        <f ca="1">AVERAGE(OFFSET($BH$3,0,0,'Données projet'!$E$11+1,1))-AVERAGE(OFFSET($H$3,0,0,'Données projet'!$E$11+1,1))</f>
        <v>402.96916953216805</v>
      </c>
      <c r="BJ102" s="59">
        <f t="shared" si="92"/>
        <v>164.89273051331318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2.9234426873507053</v>
      </c>
      <c r="BQ102" s="21">
        <f>EXP(-LN(2)/25)*BQ101+(1-EXP(-LN(2)/25))/(LN(2)/25)*Calculateur!BL102*Calculateur!BN102*VLOOKUP('Données projet'!$B$11,Paramètres!$A$1:$I$89,3,0)*0.475*44/12</f>
        <v>6.9251316166962127</v>
      </c>
      <c r="BR102" s="21">
        <f>EXP(-LN(2)/2)*BR101+(1-EXP(-LN(2)/2))/(LN(2)/2)*BL102*BO102*VLOOKUP('Données projet'!$B$11,Paramètres!$A$1:$I$89,3,0)*0.475*44/12</f>
        <v>0.66657068365174876</v>
      </c>
      <c r="BS102" s="22">
        <f t="shared" si="63"/>
        <v>10.515144987698667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-2.2737367544323206E-13</v>
      </c>
      <c r="BZ102" s="13">
        <f>BY102*VLOOKUP('Données projet'!$B$12,Paramètres!$A$1:$I$89,3,0)*VLOOKUP('Données projet'!$B$12,Paramètres!$A$1:$I$89,5,0)</f>
        <v>-1.3596945791505279E-13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373.61861223558259</v>
      </c>
      <c r="CE102" s="59">
        <f t="shared" si="94"/>
        <v>277.62293009761049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105.20435210226825</v>
      </c>
      <c r="CL102" s="21">
        <f>EXP(-LN(2)/25)*CL101+(1-EXP(-LN(2)/25))/(LN(2)/25)*Calculateur!CG102*Calculateur!CI102*VLOOKUP('Données projet'!$B$12,Paramètres!$A$1:$I$89,3,0)*0.475*44/12</f>
        <v>30.554862260721897</v>
      </c>
      <c r="CM102" s="21">
        <f>EXP(-LN(2)/2)*CM101+(1-EXP(-LN(2)/2))/(LN(2)/2)*CG102*CJ102*VLOOKUP('Données projet'!$B$12,Paramètres!$A$1:$I$89,3,0)*0.475*44/12</f>
        <v>9.7664487631799857E-2</v>
      </c>
      <c r="CN102" s="22">
        <f t="shared" si="66"/>
        <v>135.85687885062194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515.66999999999996</v>
      </c>
      <c r="L103" s="12">
        <f>VLOOKUP(A103,'Données projet'!$A$35:$I$55,9,0)</f>
        <v>11.283999999999997</v>
      </c>
      <c r="M103" s="12">
        <f t="array" ref="M103">INDEX(L:L,MIN(IF(ISNUMBER(L103:L299),ROW(L103:L299),"")))</f>
        <v>11.283999999999997</v>
      </c>
      <c r="N103" s="13">
        <f>IF('Données projet'!$A$36&gt;35,N102+M103-V102,IF(A103&lt;'Données projet'!$A$36,$K$205^A103,IF(A103='Données projet'!$A$36,'Données projet'!$B$36,N102+M103-V102)))</f>
        <v>515.66999999999996</v>
      </c>
      <c r="O103" s="13">
        <f>N103*VLOOKUP('Données projet'!$B$9,Paramètres!$A$1:$I$89,3,0)*VLOOKUP('Données projet'!$B$9,Paramètres!$A$1:$I$89,5,0)</f>
        <v>466.57821599999988</v>
      </c>
      <c r="P103" s="13">
        <f t="shared" si="87"/>
        <v>105.15107479395371</v>
      </c>
      <c r="Q103" s="20">
        <f t="shared" si="107"/>
        <v>995.76184813280258</v>
      </c>
      <c r="R103" s="59">
        <f t="shared" si="55"/>
        <v>1273.1659033165117</v>
      </c>
      <c r="S103" s="59">
        <f ca="1">AVERAGE(OFFSET($R$3,0,0,'Données projet'!$E$9+1,1))-AVERAGE(OFFSET($H$3,0,0,'Données projet'!$E$9+1,1))</f>
        <v>737.40414421611001</v>
      </c>
      <c r="T103" s="59">
        <f t="shared" si="88"/>
        <v>245.32893490531674</v>
      </c>
      <c r="U103" s="15">
        <f>IF(ISNA(VLOOKUP(A103,'Données projet'!$A$35:$I$55,3,0)),0,VLOOKUP(A103,'Données projet'!$A$35:$I$55,3,0))</f>
        <v>9</v>
      </c>
      <c r="V103" s="15">
        <f>IF(ISNA(VLOOKUP(A103,'Données projet'!$A$35:$I$55,4,0)),0,VLOOKUP(A103,'Données projet'!$A$35:$I$55,4,0))</f>
        <v>93.039999999999964</v>
      </c>
      <c r="W103" s="16">
        <f>IF(ISNA(VLOOKUP(A103,'Données projet'!$A$35:$I$55,5,0)),0%,VLOOKUP(A103,'Données projet'!$A$35:$I$55,5,0)*VLOOKUP('Données projet'!$B$9,Paramètres!$A$1:$I$89,7,0))</f>
        <v>0.215</v>
      </c>
      <c r="X103" s="16">
        <f>IF(ISNA(VLOOKUP(A103,'Données projet'!$A$35:$I$55,6,0)),0%,VLOOKUP(A103,'Données projet'!$A$35:$I$55,6,0)*VLOOKUP('Données projet'!$B$9,Paramètres!$A$1:$I$89,7,0))</f>
        <v>8.6000000000000007E-2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51.556694072634123</v>
      </c>
      <c r="AA103" s="21">
        <f>EXP(-LN(2)/25)*AA102+(1-EXP(-LN(2)/25))/(LN(2)/25)*Calculateur!V103*Calculateur!X103*VLOOKUP('Données projet'!$B$9,Paramètres!$A$1:$I$89,3,0)*0.475*44/12</f>
        <v>34.961517172632867</v>
      </c>
      <c r="AB103" s="21">
        <f>EXP(-LN(2)/2)*AB102+(1-EXP(-LN(2)/2))/(LN(2)/2)*V103*Y103*VLOOKUP('Données projet'!$B$9,Paramètres!$A$1:$I$89,3,0)*0.475*44/12</f>
        <v>0.19338422587345644</v>
      </c>
      <c r="AC103" s="22">
        <f t="shared" si="57"/>
        <v>86.711595471140456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1.3999999999999773</v>
      </c>
      <c r="AJ103" s="13">
        <f>AI103*VLOOKUP('Données projet'!$B$10,Paramètres!$A$1:$I$89,3,0)*VLOOKUP('Données projet'!$B$10,Paramètres!$A$1:$I$89,5,0)</f>
        <v>0.83719999999998651</v>
      </c>
      <c r="AK103" s="13">
        <f t="shared" si="89"/>
        <v>0.39388003094446933</v>
      </c>
      <c r="AL103" s="20">
        <f t="shared" si="58"/>
        <v>2.144131053894927</v>
      </c>
      <c r="AM103" s="59">
        <f t="shared" si="59"/>
        <v>279.54818623760411</v>
      </c>
      <c r="AN103" s="59">
        <f ca="1">AVERAGE(OFFSET($AM$3,0,0,'Données projet'!$E$10+1,1))-AVERAGE(OFFSET($H$3,0,0,'Données projet'!$E$10+1,1))</f>
        <v>318.6615972007902</v>
      </c>
      <c r="AO103" s="59">
        <f t="shared" si="90"/>
        <v>326.82168950869504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62.645360379241545</v>
      </c>
      <c r="AV103" s="21">
        <f>EXP(-LN(2)/25)*AV102+(1-EXP(-LN(2)/25))/(LN(2)/25)*Calculateur!AQ103*Calculateur!AS103*VLOOKUP('Données projet'!$B$10,Paramètres!$A$1:$I$89,3,0)*0.475*44/12</f>
        <v>15.909504994614657</v>
      </c>
      <c r="AW103" s="21">
        <f>EXP(-LN(2)/2)*AW102+(1-EXP(-LN(2)/2))/(LN(2)/2)*AQ103*AT103*VLOOKUP('Données projet'!$B$10,Paramètres!$A$1:$I$89,3,0)*0.475*44/12</f>
        <v>5.6999963504437077E-5</v>
      </c>
      <c r="AX103" s="21">
        <f t="shared" si="60"/>
        <v>78.554922373819707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239</v>
      </c>
      <c r="BB103" s="12">
        <f>VLOOKUP(A103,'Données projet'!$A$87:$I$107,9,0)</f>
        <v>3</v>
      </c>
      <c r="BC103" s="12">
        <f t="array" ref="BC103">INDEX(BB:BB,MIN(IF(ISNUMBER(BB103:BB299),ROW(BB103:BB299),"")))</f>
        <v>3</v>
      </c>
      <c r="BD103" s="12">
        <f>IF('Données projet'!$A$88&gt;35,BD102+BC103-BL102,IF(A103&lt;'Données projet'!$A$88,$BA$205^A103,IF(A103='Données projet'!$A$88,'Données projet'!$B$88,BD102+BC103-BL102)))</f>
        <v>238.99999999999991</v>
      </c>
      <c r="BE103" s="13">
        <f>BD103*VLOOKUP('Données projet'!$B$11,Paramètres!$A$1:$I$89,3,0)*VLOOKUP('Données projet'!$B$11,Paramètres!$A$1:$I$89,5,0)</f>
        <v>242.34599999999992</v>
      </c>
      <c r="BF103" s="13">
        <f t="shared" si="91"/>
        <v>58.94399769300032</v>
      </c>
      <c r="BG103" s="20">
        <f t="shared" si="61"/>
        <v>524.74674598197532</v>
      </c>
      <c r="BH103" s="59">
        <f t="shared" si="62"/>
        <v>802.15080116568447</v>
      </c>
      <c r="BI103" s="59">
        <f ca="1">AVERAGE(OFFSET($BH$3,0,0,'Données projet'!$E$11+1,1))-AVERAGE(OFFSET($H$3,0,0,'Données projet'!$E$11+1,1))</f>
        <v>402.96916953216805</v>
      </c>
      <c r="BJ103" s="59">
        <f t="shared" si="92"/>
        <v>164.89273051331318</v>
      </c>
      <c r="BK103" s="15">
        <f>IF(ISNA(VLOOKUP(A103,'Données projet'!$A$87:$I$107,3,0)),0,VLOOKUP(A103,'Données projet'!$A$87:$I$107,3,0))</f>
        <v>14</v>
      </c>
      <c r="BL103" s="15">
        <f>IF(ISNA(VLOOKUP(A103,'Données projet'!$A$87:$I$107,4,0)),0,VLOOKUP(A103,'Données projet'!$A$87:$I$107,4,0))</f>
        <v>9</v>
      </c>
      <c r="BM103" s="16">
        <f>IF(ISNA(VLOOKUP(A103,'Données projet'!$A$87:$I$107,5,0)),0%,VLOOKUP(A103,'Données projet'!$A$87:$I$107,5,0)*VLOOKUP('Données projet'!$B$11,Paramètres!$A$1:$I$89,7,0))</f>
        <v>0.1075</v>
      </c>
      <c r="BN103" s="16">
        <f>IF(ISNA(VLOOKUP(A103,'Données projet'!$A$87:$I$107,6,0)),0%,VLOOKUP(A103,'Données projet'!$A$87:$I$107,6,0)*VLOOKUP('Données projet'!$B$11,Paramètres!$A$1:$I$89,7,0))</f>
        <v>0.1075</v>
      </c>
      <c r="BO103" s="16">
        <f>IF(ISNA(VLOOKUP(A103,'Données projet'!$A$87:$I$107,7,0)),0%,VLOOKUP(A103,'Données projet'!$A$87:$I$107,7,0))</f>
        <v>0.25</v>
      </c>
      <c r="BP103" s="21">
        <f>EXP(-LN(2)/35)*BP102+(1-EXP(-LN(2)/35))/(LN(2)/35)*BL103*BM103*VLOOKUP('Données projet'!$B$11,Paramètres!$A$1:$I$89,3,0)*0.475*44/12</f>
        <v>3.9506319478646317</v>
      </c>
      <c r="BQ103" s="21">
        <f>EXP(-LN(2)/25)*BQ102+(1-EXP(-LN(2)/25))/(LN(2)/25)*Calculateur!BL103*Calculateur!BN103*VLOOKUP('Données projet'!$B$11,Paramètres!$A$1:$I$89,3,0)*0.475*44/12</f>
        <v>7.8160095634825684</v>
      </c>
      <c r="BR103" s="21">
        <f>EXP(-LN(2)/2)*BR102+(1-EXP(-LN(2)/2))/(LN(2)/2)*BL103*BO103*VLOOKUP('Données projet'!$B$11,Paramètres!$A$1:$I$89,3,0)*0.475*44/12</f>
        <v>2.623993306222498</v>
      </c>
      <c r="BS103" s="22">
        <f t="shared" si="63"/>
        <v>14.390634817569698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-2.2737367544323206E-13</v>
      </c>
      <c r="BZ103" s="13">
        <f>BY103*VLOOKUP('Données projet'!$B$12,Paramètres!$A$1:$I$89,3,0)*VLOOKUP('Données projet'!$B$12,Paramètres!$A$1:$I$89,5,0)</f>
        <v>-1.3596945791505279E-13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373.61861223558259</v>
      </c>
      <c r="CE103" s="59">
        <f t="shared" si="94"/>
        <v>277.62293009761049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103.14135892586145</v>
      </c>
      <c r="CL103" s="21">
        <f>EXP(-LN(2)/25)*CL102+(1-EXP(-LN(2)/25))/(LN(2)/25)*Calculateur!CG103*Calculateur!CI103*VLOOKUP('Données projet'!$B$12,Paramètres!$A$1:$I$89,3,0)*0.475*44/12</f>
        <v>29.719337945392084</v>
      </c>
      <c r="CM103" s="21">
        <f>EXP(-LN(2)/2)*CM102+(1-EXP(-LN(2)/2))/(LN(2)/2)*CG103*CJ103*VLOOKUP('Données projet'!$B$12,Paramètres!$A$1:$I$89,3,0)*0.475*44/12</f>
        <v>6.9059221485555378E-2</v>
      </c>
      <c r="CN103" s="22">
        <f t="shared" si="66"/>
        <v>132.9297560927391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10.840999999999998</v>
      </c>
      <c r="N104" s="13">
        <f>IF('Données projet'!$A$36&gt;35,N103+M104-V103,IF(A104&lt;'Données projet'!$A$36,$K$205^A104,IF(A104='Données projet'!$A$36,'Données projet'!$B$36,N103+M104-V103)))</f>
        <v>433.471</v>
      </c>
      <c r="O104" s="13">
        <f>N104*VLOOKUP('Données projet'!$B$9,Paramètres!$A$1:$I$89,3,0)*VLOOKUP('Données projet'!$B$9,Paramètres!$A$1:$I$89,5,0)</f>
        <v>392.20456079999997</v>
      </c>
      <c r="P104" s="13">
        <f t="shared" si="87"/>
        <v>90.194453866780407</v>
      </c>
      <c r="Q104" s="20">
        <f t="shared" si="107"/>
        <v>840.17828387797579</v>
      </c>
      <c r="R104" s="59">
        <f t="shared" si="55"/>
        <v>1117.8586764250501</v>
      </c>
      <c r="S104" s="59">
        <f ca="1">AVERAGE(OFFSET($R$3,0,0,'Données projet'!$E$9+1,1))-AVERAGE(OFFSET($H$3,0,0,'Données projet'!$E$9+1,1))</f>
        <v>737.40414421611001</v>
      </c>
      <c r="T104" s="59">
        <f t="shared" si="88"/>
        <v>245.32893490531674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50.545698748348073</v>
      </c>
      <c r="AA104" s="21">
        <f>EXP(-LN(2)/25)*AA103+(1-EXP(-LN(2)/25))/(LN(2)/25)*Calculateur!V104*Calculateur!X104*VLOOKUP('Données projet'!$B$9,Paramètres!$A$1:$I$89,3,0)*0.475*44/12</f>
        <v>34.005492647000942</v>
      </c>
      <c r="AB104" s="21">
        <f>EXP(-LN(2)/2)*AB103+(1-EXP(-LN(2)/2))/(LN(2)/2)*V104*Y104*VLOOKUP('Données projet'!$B$9,Paramètres!$A$1:$I$89,3,0)*0.475*44/12</f>
        <v>0.13674329748963204</v>
      </c>
      <c r="AC104" s="22">
        <f t="shared" si="57"/>
        <v>84.687934692838638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1.3999999999999773</v>
      </c>
      <c r="AJ104" s="13">
        <f>AI104*VLOOKUP('Données projet'!$B$10,Paramètres!$A$1:$I$89,3,0)*VLOOKUP('Données projet'!$B$10,Paramètres!$A$1:$I$89,5,0)</f>
        <v>0.83719999999998651</v>
      </c>
      <c r="AK104" s="13">
        <f t="shared" si="89"/>
        <v>0.39388003094446933</v>
      </c>
      <c r="AL104" s="20">
        <f t="shared" si="58"/>
        <v>2.144131053894927</v>
      </c>
      <c r="AM104" s="59">
        <f t="shared" si="59"/>
        <v>279.82452360096931</v>
      </c>
      <c r="AN104" s="59">
        <f ca="1">AVERAGE(OFFSET($AM$3,0,0,'Données projet'!$E$10+1,1))-AVERAGE(OFFSET($H$3,0,0,'Données projet'!$E$10+1,1))</f>
        <v>318.6615972007902</v>
      </c>
      <c r="AO104" s="59">
        <f t="shared" si="90"/>
        <v>326.82168950869504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61.416923072101532</v>
      </c>
      <c r="AV104" s="21">
        <f>EXP(-LN(2)/25)*AV103+(1-EXP(-LN(2)/25))/(LN(2)/25)*Calculateur!AQ104*Calculateur!AS104*VLOOKUP('Données projet'!$B$10,Paramètres!$A$1:$I$89,3,0)*0.475*44/12</f>
        <v>15.474458743892413</v>
      </c>
      <c r="AW104" s="21">
        <f>EXP(-LN(2)/2)*AW103+(1-EXP(-LN(2)/2))/(LN(2)/2)*AQ104*AT104*VLOOKUP('Données projet'!$B$10,Paramètres!$A$1:$I$89,3,0)*0.475*44/12</f>
        <v>4.0305060721373182E-5</v>
      </c>
      <c r="AX104" s="21">
        <f t="shared" si="60"/>
        <v>76.891422121054674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2.8</v>
      </c>
      <c r="BD104" s="12">
        <f>IF('Données projet'!$A$88&gt;35,BD103+BC104-BL103,IF(A104&lt;'Données projet'!$A$88,$BA$205^A104,IF(A104='Données projet'!$A$88,'Données projet'!$B$88,BD103+BC104-BL103)))</f>
        <v>232.79999999999993</v>
      </c>
      <c r="BE104" s="13">
        <f>BD104*VLOOKUP('Données projet'!$B$11,Paramètres!$A$1:$I$89,3,0)*VLOOKUP('Données projet'!$B$11,Paramètres!$A$1:$I$89,5,0)</f>
        <v>236.05919999999995</v>
      </c>
      <c r="BF104" s="13">
        <f t="shared" si="91"/>
        <v>57.590832896804159</v>
      </c>
      <c r="BG104" s="20">
        <f t="shared" si="61"/>
        <v>511.44047396193378</v>
      </c>
      <c r="BH104" s="59">
        <f t="shared" si="62"/>
        <v>789.12086650900824</v>
      </c>
      <c r="BI104" s="59">
        <f ca="1">AVERAGE(OFFSET($BH$3,0,0,'Données projet'!$E$11+1,1))-AVERAGE(OFFSET($H$3,0,0,'Données projet'!$E$11+1,1))</f>
        <v>402.96916953216805</v>
      </c>
      <c r="BJ104" s="59">
        <f t="shared" si="92"/>
        <v>164.89273051331318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3.8731624650145613</v>
      </c>
      <c r="BQ104" s="21">
        <f>EXP(-LN(2)/25)*BQ103+(1-EXP(-LN(2)/25))/(LN(2)/25)*Calculateur!BL104*Calculateur!BN104*VLOOKUP('Données projet'!$B$11,Paramètres!$A$1:$I$89,3,0)*0.475*44/12</f>
        <v>7.602280370943058</v>
      </c>
      <c r="BR104" s="21">
        <f>EXP(-LN(2)/2)*BR103+(1-EXP(-LN(2)/2))/(LN(2)/2)*BL104*BO104*VLOOKUP('Données projet'!$B$11,Paramètres!$A$1:$I$89,3,0)*0.475*44/12</f>
        <v>1.8554434606180374</v>
      </c>
      <c r="BS104" s="22">
        <f t="shared" si="63"/>
        <v>13.330886296575656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-2.2737367544323206E-13</v>
      </c>
      <c r="BZ104" s="13">
        <f>BY104*VLOOKUP('Données projet'!$B$12,Paramètres!$A$1:$I$89,3,0)*VLOOKUP('Données projet'!$B$12,Paramètres!$A$1:$I$89,5,0)</f>
        <v>-1.3596945791505279E-13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373.61861223558259</v>
      </c>
      <c r="CE104" s="59">
        <f t="shared" si="94"/>
        <v>277.62293009761049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101.1188197873424</v>
      </c>
      <c r="CL104" s="21">
        <f>EXP(-LN(2)/25)*CL103+(1-EXP(-LN(2)/25))/(LN(2)/25)*Calculateur!CG104*Calculateur!CI104*VLOOKUP('Données projet'!$B$12,Paramètres!$A$1:$I$89,3,0)*0.475*44/12</f>
        <v>28.906661086403279</v>
      </c>
      <c r="CM104" s="21">
        <f>EXP(-LN(2)/2)*CM103+(1-EXP(-LN(2)/2))/(LN(2)/2)*CG104*CJ104*VLOOKUP('Données projet'!$B$12,Paramètres!$A$1:$I$89,3,0)*0.475*44/12</f>
        <v>4.8832243815899928E-2</v>
      </c>
      <c r="CN104" s="22">
        <f t="shared" si="66"/>
        <v>130.07431311756159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10.840999999999998</v>
      </c>
      <c r="N105" s="13">
        <f>IF('Données projet'!$A$36&gt;35,N104+M105-V104,IF(A105&lt;'Données projet'!$A$36,$K$205^A105,IF(A105='Données projet'!$A$36,'Données projet'!$B$36,N104+M105-V104)))</f>
        <v>444.31200000000001</v>
      </c>
      <c r="O105" s="13">
        <f>N105*VLOOKUP('Données projet'!$B$9,Paramètres!$A$1:$I$89,3,0)*VLOOKUP('Données projet'!$B$9,Paramètres!$A$1:$I$89,5,0)</f>
        <v>402.01349760000005</v>
      </c>
      <c r="P105" s="13">
        <f t="shared" si="87"/>
        <v>92.18475159332958</v>
      </c>
      <c r="Q105" s="20">
        <f t="shared" si="107"/>
        <v>860.72861734504897</v>
      </c>
      <c r="R105" s="59">
        <f t="shared" si="55"/>
        <v>1138.6805534200319</v>
      </c>
      <c r="S105" s="59">
        <f ca="1">AVERAGE(OFFSET($R$3,0,0,'Données projet'!$E$9+1,1))-AVERAGE(OFFSET($H$3,0,0,'Données projet'!$E$9+1,1))</f>
        <v>737.40414421611001</v>
      </c>
      <c r="T105" s="59">
        <f t="shared" si="88"/>
        <v>245.32893490531674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49.55452842572501</v>
      </c>
      <c r="AA105" s="21">
        <f>EXP(-LN(2)/25)*AA104+(1-EXP(-LN(2)/25))/(LN(2)/25)*Calculateur!V105*Calculateur!X105*VLOOKUP('Données projet'!$B$9,Paramètres!$A$1:$I$89,3,0)*0.475*44/12</f>
        <v>33.075610662297564</v>
      </c>
      <c r="AB105" s="21">
        <f>EXP(-LN(2)/2)*AB104+(1-EXP(-LN(2)/2))/(LN(2)/2)*V105*Y105*VLOOKUP('Données projet'!$B$9,Paramètres!$A$1:$I$89,3,0)*0.475*44/12</f>
        <v>9.6692112936728219E-2</v>
      </c>
      <c r="AC105" s="22">
        <f t="shared" si="57"/>
        <v>82.726831200959296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1.3999999999999773</v>
      </c>
      <c r="AJ105" s="13">
        <f>AI105*VLOOKUP('Données projet'!$B$10,Paramètres!$A$1:$I$89,3,0)*VLOOKUP('Données projet'!$B$10,Paramètres!$A$1:$I$89,5,0)</f>
        <v>0.83719999999998651</v>
      </c>
      <c r="AK105" s="13">
        <f t="shared" si="89"/>
        <v>0.39388003094446933</v>
      </c>
      <c r="AL105" s="20">
        <f t="shared" si="58"/>
        <v>2.144131053894927</v>
      </c>
      <c r="AM105" s="59">
        <f t="shared" si="59"/>
        <v>280.09606712887785</v>
      </c>
      <c r="AN105" s="59">
        <f ca="1">AVERAGE(OFFSET($AM$3,0,0,'Données projet'!$E$10+1,1))-AVERAGE(OFFSET($H$3,0,0,'Données projet'!$E$10+1,1))</f>
        <v>318.6615972007902</v>
      </c>
      <c r="AO105" s="59">
        <f t="shared" si="90"/>
        <v>326.82168950869504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60.212574671281764</v>
      </c>
      <c r="AV105" s="21">
        <f>EXP(-LN(2)/25)*AV104+(1-EXP(-LN(2)/25))/(LN(2)/25)*Calculateur!AQ105*Calculateur!AS105*VLOOKUP('Données projet'!$B$10,Paramètres!$A$1:$I$89,3,0)*0.475*44/12</f>
        <v>15.051308855774257</v>
      </c>
      <c r="AW105" s="21">
        <f>EXP(-LN(2)/2)*AW104+(1-EXP(-LN(2)/2))/(LN(2)/2)*AQ105*AT105*VLOOKUP('Données projet'!$B$10,Paramètres!$A$1:$I$89,3,0)*0.475*44/12</f>
        <v>2.8499981752218538E-5</v>
      </c>
      <c r="AX105" s="21">
        <f t="shared" si="60"/>
        <v>75.263912027037776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2.8</v>
      </c>
      <c r="BD105" s="12">
        <f>IF('Données projet'!$A$88&gt;35,BD104+BC105-BL104,IF(A105&lt;'Données projet'!$A$88,$BA$205^A105,IF(A105='Données projet'!$A$88,'Données projet'!$B$88,BD104+BC105-BL104)))</f>
        <v>235.59999999999994</v>
      </c>
      <c r="BE105" s="13">
        <f>BD105*VLOOKUP('Données projet'!$B$11,Paramètres!$A$1:$I$89,3,0)*VLOOKUP('Données projet'!$B$11,Paramètres!$A$1:$I$89,5,0)</f>
        <v>238.89839999999995</v>
      </c>
      <c r="BF105" s="13">
        <f t="shared" si="91"/>
        <v>58.202452451868851</v>
      </c>
      <c r="BG105" s="20">
        <f t="shared" si="61"/>
        <v>517.45065135367156</v>
      </c>
      <c r="BH105" s="59">
        <f t="shared" si="62"/>
        <v>795.40258742865444</v>
      </c>
      <c r="BI105" s="59">
        <f ca="1">AVERAGE(OFFSET($BH$3,0,0,'Données projet'!$E$11+1,1))-AVERAGE(OFFSET($H$3,0,0,'Données projet'!$E$11+1,1))</f>
        <v>402.96916953216805</v>
      </c>
      <c r="BJ105" s="59">
        <f t="shared" si="92"/>
        <v>164.89273051331318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3.7972121114714623</v>
      </c>
      <c r="BQ105" s="21">
        <f>EXP(-LN(2)/25)*BQ104+(1-EXP(-LN(2)/25))/(LN(2)/25)*Calculateur!BL105*Calculateur!BN105*VLOOKUP('Données projet'!$B$11,Paramètres!$A$1:$I$89,3,0)*0.475*44/12</f>
        <v>7.3943956144130709</v>
      </c>
      <c r="BR105" s="21">
        <f>EXP(-LN(2)/2)*BR104+(1-EXP(-LN(2)/2))/(LN(2)/2)*BL105*BO105*VLOOKUP('Données projet'!$B$11,Paramètres!$A$1:$I$89,3,0)*0.475*44/12</f>
        <v>1.3119966531112492</v>
      </c>
      <c r="BS105" s="22">
        <f t="shared" si="63"/>
        <v>12.503604378995783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-2.2737367544323206E-13</v>
      </c>
      <c r="BZ105" s="13">
        <f>BY105*VLOOKUP('Données projet'!$B$12,Paramètres!$A$1:$I$89,3,0)*VLOOKUP('Données projet'!$B$12,Paramètres!$A$1:$I$89,5,0)</f>
        <v>-1.3596945791505279E-13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373.61861223558259</v>
      </c>
      <c r="CE105" s="59">
        <f t="shared" si="94"/>
        <v>277.62293009761049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99.135941407702646</v>
      </c>
      <c r="CL105" s="21">
        <f>EXP(-LN(2)/25)*CL104+(1-EXP(-LN(2)/25))/(LN(2)/25)*Calculateur!CG105*Calculateur!CI105*VLOOKUP('Données projet'!$B$12,Paramètres!$A$1:$I$89,3,0)*0.475*44/12</f>
        <v>28.116206918860343</v>
      </c>
      <c r="CM105" s="21">
        <f>EXP(-LN(2)/2)*CM104+(1-EXP(-LN(2)/2))/(LN(2)/2)*CG105*CJ105*VLOOKUP('Données projet'!$B$12,Paramètres!$A$1:$I$89,3,0)*0.475*44/12</f>
        <v>3.4529610742777689E-2</v>
      </c>
      <c r="CN105" s="22">
        <f t="shared" si="66"/>
        <v>127.28667793730577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10.840999999999998</v>
      </c>
      <c r="N106" s="13">
        <f>IF('Données projet'!$A$36&gt;35,N105+M106-V105,IF(A106&lt;'Données projet'!$A$36,$K$205^A106,IF(A106='Données projet'!$A$36,'Données projet'!$B$36,N105+M106-V105)))</f>
        <v>455.15300000000002</v>
      </c>
      <c r="O106" s="13">
        <f>N106*VLOOKUP('Données projet'!$B$9,Paramètres!$A$1:$I$89,3,0)*VLOOKUP('Données projet'!$B$9,Paramètres!$A$1:$I$89,5,0)</f>
        <v>411.82243440000002</v>
      </c>
      <c r="P106" s="13">
        <f t="shared" si="87"/>
        <v>94.169404094334013</v>
      </c>
      <c r="Q106" s="20">
        <f t="shared" si="107"/>
        <v>881.26911871096502</v>
      </c>
      <c r="R106" s="59">
        <f t="shared" si="55"/>
        <v>1159.4878876407276</v>
      </c>
      <c r="S106" s="59">
        <f ca="1">AVERAGE(OFFSET($R$3,0,0,'Données projet'!$E$9+1,1))-AVERAGE(OFFSET($H$3,0,0,'Données projet'!$E$9+1,1))</f>
        <v>737.40414421611001</v>
      </c>
      <c r="T106" s="59">
        <f t="shared" si="88"/>
        <v>245.32893490531674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48.582794348574382</v>
      </c>
      <c r="AA106" s="21">
        <f>EXP(-LN(2)/25)*AA105+(1-EXP(-LN(2)/25))/(LN(2)/25)*Calculateur!V106*Calculateur!X106*VLOOKUP('Données projet'!$B$9,Paramètres!$A$1:$I$89,3,0)*0.475*44/12</f>
        <v>32.171156349366271</v>
      </c>
      <c r="AB106" s="21">
        <f>EXP(-LN(2)/2)*AB105+(1-EXP(-LN(2)/2))/(LN(2)/2)*V106*Y106*VLOOKUP('Données projet'!$B$9,Paramètres!$A$1:$I$89,3,0)*0.475*44/12</f>
        <v>6.8371648744816022E-2</v>
      </c>
      <c r="AC106" s="22">
        <f t="shared" si="57"/>
        <v>80.822322346685468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1.3999999999999773</v>
      </c>
      <c r="AJ106" s="13">
        <f>AI106*VLOOKUP('Données projet'!$B$10,Paramètres!$A$1:$I$89,3,0)*VLOOKUP('Données projet'!$B$10,Paramètres!$A$1:$I$89,5,0)</f>
        <v>0.83719999999998651</v>
      </c>
      <c r="AK106" s="13">
        <f t="shared" si="89"/>
        <v>0.39388003094446933</v>
      </c>
      <c r="AL106" s="20">
        <f t="shared" si="58"/>
        <v>2.144131053894927</v>
      </c>
      <c r="AM106" s="59">
        <f t="shared" si="59"/>
        <v>280.3628999836576</v>
      </c>
      <c r="AN106" s="59">
        <f ca="1">AVERAGE(OFFSET($AM$3,0,0,'Données projet'!$E$10+1,1))-AVERAGE(OFFSET($H$3,0,0,'Données projet'!$E$10+1,1))</f>
        <v>318.6615972007902</v>
      </c>
      <c r="AO106" s="59">
        <f t="shared" si="90"/>
        <v>326.82168950869504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59.031842808022084</v>
      </c>
      <c r="AV106" s="21">
        <f>EXP(-LN(2)/25)*AV105+(1-EXP(-LN(2)/25))/(LN(2)/25)*Calculateur!AQ106*Calculateur!AS106*VLOOKUP('Données projet'!$B$10,Paramètres!$A$1:$I$89,3,0)*0.475*44/12</f>
        <v>14.639730023599178</v>
      </c>
      <c r="AW106" s="21">
        <f>EXP(-LN(2)/2)*AW105+(1-EXP(-LN(2)/2))/(LN(2)/2)*AQ106*AT106*VLOOKUP('Données projet'!$B$10,Paramètres!$A$1:$I$89,3,0)*0.475*44/12</f>
        <v>2.0152530360686591E-5</v>
      </c>
      <c r="AX106" s="21">
        <f t="shared" si="60"/>
        <v>73.671592984151616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2.8</v>
      </c>
      <c r="BD106" s="12">
        <f>IF('Données projet'!$A$88&gt;35,BD105+BC106-BL105,IF(A106&lt;'Données projet'!$A$88,$BA$205^A106,IF(A106='Données projet'!$A$88,'Données projet'!$B$88,BD105+BC106-BL105)))</f>
        <v>238.39999999999995</v>
      </c>
      <c r="BE106" s="13">
        <f>BD106*VLOOKUP('Données projet'!$B$11,Paramètres!$A$1:$I$89,3,0)*VLOOKUP('Données projet'!$B$11,Paramètres!$A$1:$I$89,5,0)</f>
        <v>241.73759999999999</v>
      </c>
      <c r="BF106" s="13">
        <f t="shared" si="91"/>
        <v>58.813226479815569</v>
      </c>
      <c r="BG106" s="20">
        <f t="shared" si="61"/>
        <v>523.459356119012</v>
      </c>
      <c r="BH106" s="59">
        <f t="shared" si="62"/>
        <v>801.67812504877475</v>
      </c>
      <c r="BI106" s="59">
        <f ca="1">AVERAGE(OFFSET($BH$3,0,0,'Données projet'!$E$11+1,1))-AVERAGE(OFFSET($H$3,0,0,'Données projet'!$E$11+1,1))</f>
        <v>402.96916953216805</v>
      </c>
      <c r="BJ106" s="59">
        <f t="shared" si="92"/>
        <v>164.89273051331318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3.722751098036202</v>
      </c>
      <c r="BQ106" s="21">
        <f>EXP(-LN(2)/25)*BQ105+(1-EXP(-LN(2)/25))/(LN(2)/25)*Calculateur!BL106*Calculateur!BN106*VLOOKUP('Données projet'!$B$11,Paramètres!$A$1:$I$89,3,0)*0.475*44/12</f>
        <v>7.1921954774825805</v>
      </c>
      <c r="BR106" s="21">
        <f>EXP(-LN(2)/2)*BR105+(1-EXP(-LN(2)/2))/(LN(2)/2)*BL106*BO106*VLOOKUP('Données projet'!$B$11,Paramètres!$A$1:$I$89,3,0)*0.475*44/12</f>
        <v>0.92772173030901883</v>
      </c>
      <c r="BS106" s="22">
        <f t="shared" si="63"/>
        <v>11.842668305827802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-2.2737367544323206E-13</v>
      </c>
      <c r="BZ106" s="13">
        <f>BY106*VLOOKUP('Données projet'!$B$12,Paramètres!$A$1:$I$89,3,0)*VLOOKUP('Données projet'!$B$12,Paramètres!$A$1:$I$89,5,0)</f>
        <v>-1.3596945791505279E-13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373.61861223558259</v>
      </c>
      <c r="CE106" s="59">
        <f t="shared" si="94"/>
        <v>277.62293009761049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97.191946063651244</v>
      </c>
      <c r="CL106" s="21">
        <f>EXP(-LN(2)/25)*CL105+(1-EXP(-LN(2)/25))/(LN(2)/25)*Calculateur!CG106*Calculateur!CI106*VLOOKUP('Données projet'!$B$12,Paramètres!$A$1:$I$89,3,0)*0.475*44/12</f>
        <v>27.347367762097043</v>
      </c>
      <c r="CM106" s="21">
        <f>EXP(-LN(2)/2)*CM105+(1-EXP(-LN(2)/2))/(LN(2)/2)*CG106*CJ106*VLOOKUP('Données projet'!$B$12,Paramètres!$A$1:$I$89,3,0)*0.475*44/12</f>
        <v>2.4416121907949964E-2</v>
      </c>
      <c r="CN106" s="22">
        <f t="shared" si="66"/>
        <v>124.56372994765623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10.840999999999998</v>
      </c>
      <c r="N107" s="13">
        <f>IF('Données projet'!$A$36&gt;35,N106+M107-V106,IF(A107&lt;'Données projet'!$A$36,$K$205^A107,IF(A107='Données projet'!$A$36,'Données projet'!$B$36,N106+M107-V106)))</f>
        <v>465.99400000000003</v>
      </c>
      <c r="O107" s="13">
        <f>N107*VLOOKUP('Données projet'!$B$9,Paramètres!$A$1:$I$89,3,0)*VLOOKUP('Données projet'!$B$9,Paramètres!$A$1:$I$89,5,0)</f>
        <v>421.63137120000005</v>
      </c>
      <c r="P107" s="13">
        <f t="shared" si="87"/>
        <v>96.148561301747847</v>
      </c>
      <c r="Q107" s="20">
        <f t="shared" si="107"/>
        <v>901.80004910721084</v>
      </c>
      <c r="R107" s="59">
        <f t="shared" si="55"/>
        <v>1180.2810219382718</v>
      </c>
      <c r="S107" s="59">
        <f ca="1">AVERAGE(OFFSET($R$3,0,0,'Données projet'!$E$9+1,1))-AVERAGE(OFFSET($H$3,0,0,'Données projet'!$E$9+1,1))</f>
        <v>737.40414421611001</v>
      </c>
      <c r="T107" s="59">
        <f t="shared" si="88"/>
        <v>245.32893490531674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47.630115383977419</v>
      </c>
      <c r="AA107" s="21">
        <f>EXP(-LN(2)/25)*AA106+(1-EXP(-LN(2)/25))/(LN(2)/25)*Calculateur!V107*Calculateur!X107*VLOOKUP('Données projet'!$B$9,Paramètres!$A$1:$I$89,3,0)*0.475*44/12</f>
        <v>31.291434387185266</v>
      </c>
      <c r="AB107" s="21">
        <f>EXP(-LN(2)/2)*AB106+(1-EXP(-LN(2)/2))/(LN(2)/2)*V107*Y107*VLOOKUP('Données projet'!$B$9,Paramètres!$A$1:$I$89,3,0)*0.475*44/12</f>
        <v>4.834605646836411E-2</v>
      </c>
      <c r="AC107" s="22">
        <f t="shared" si="57"/>
        <v>78.969895827631049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1.3999999999999773</v>
      </c>
      <c r="AJ107" s="13">
        <f>AI107*VLOOKUP('Données projet'!$B$10,Paramètres!$A$1:$I$89,3,0)*VLOOKUP('Données projet'!$B$10,Paramètres!$A$1:$I$89,5,0)</f>
        <v>0.83719999999998651</v>
      </c>
      <c r="AK107" s="13">
        <f t="shared" si="89"/>
        <v>0.39388003094446933</v>
      </c>
      <c r="AL107" s="20">
        <f t="shared" si="58"/>
        <v>2.144131053894927</v>
      </c>
      <c r="AM107" s="59">
        <f t="shared" si="59"/>
        <v>280.62510388495582</v>
      </c>
      <c r="AN107" s="59">
        <f ca="1">AVERAGE(OFFSET($AM$3,0,0,'Données projet'!$E$10+1,1))-AVERAGE(OFFSET($H$3,0,0,'Données projet'!$E$10+1,1))</f>
        <v>318.6615972007902</v>
      </c>
      <c r="AO107" s="59">
        <f t="shared" si="90"/>
        <v>326.82168950869504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57.8742643764256</v>
      </c>
      <c r="AV107" s="21">
        <f>EXP(-LN(2)/25)*AV106+(1-EXP(-LN(2)/25))/(LN(2)/25)*Calculateur!AQ107*Calculateur!AS107*VLOOKUP('Données projet'!$B$10,Paramètres!$A$1:$I$89,3,0)*0.475*44/12</f>
        <v>14.239405836233916</v>
      </c>
      <c r="AW107" s="21">
        <f>EXP(-LN(2)/2)*AW106+(1-EXP(-LN(2)/2))/(LN(2)/2)*AQ107*AT107*VLOOKUP('Données projet'!$B$10,Paramètres!$A$1:$I$89,3,0)*0.475*44/12</f>
        <v>1.4249990876109269E-5</v>
      </c>
      <c r="AX107" s="21">
        <f t="shared" si="60"/>
        <v>72.113684462650383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2.8</v>
      </c>
      <c r="BD107" s="12">
        <f>IF('Données projet'!$A$88&gt;35,BD106+BC107-BL106,IF(A107&lt;'Données projet'!$A$88,$BA$205^A107,IF(A107='Données projet'!$A$88,'Données projet'!$B$88,BD106+BC107-BL106)))</f>
        <v>241.19999999999996</v>
      </c>
      <c r="BE107" s="13">
        <f>BD107*VLOOKUP('Données projet'!$B$11,Paramètres!$A$1:$I$89,3,0)*VLOOKUP('Données projet'!$B$11,Paramètres!$A$1:$I$89,5,0)</f>
        <v>244.57679999999996</v>
      </c>
      <c r="BF107" s="13">
        <f t="shared" si="91"/>
        <v>59.423166060201147</v>
      </c>
      <c r="BG107" s="20">
        <f t="shared" si="61"/>
        <v>529.46660755485027</v>
      </c>
      <c r="BH107" s="59">
        <f t="shared" si="62"/>
        <v>807.94758038591112</v>
      </c>
      <c r="BI107" s="59">
        <f ca="1">AVERAGE(OFFSET($BH$3,0,0,'Données projet'!$E$11+1,1))-AVERAGE(OFFSET($H$3,0,0,'Données projet'!$E$11+1,1))</f>
        <v>402.96916953216805</v>
      </c>
      <c r="BJ107" s="59">
        <f t="shared" si="92"/>
        <v>164.89273051331318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3.6497502196576734</v>
      </c>
      <c r="BQ107" s="21">
        <f>EXP(-LN(2)/25)*BQ106+(1-EXP(-LN(2)/25))/(LN(2)/25)*Calculateur!BL107*Calculateur!BN107*VLOOKUP('Données projet'!$B$11,Paramètres!$A$1:$I$89,3,0)*0.475*44/12</f>
        <v>6.9955245139296975</v>
      </c>
      <c r="BR107" s="21">
        <f>EXP(-LN(2)/2)*BR106+(1-EXP(-LN(2)/2))/(LN(2)/2)*BL107*BO107*VLOOKUP('Données projet'!$B$11,Paramètres!$A$1:$I$89,3,0)*0.475*44/12</f>
        <v>0.65599832655562473</v>
      </c>
      <c r="BS107" s="22">
        <f t="shared" si="63"/>
        <v>11.301273060142996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-2.2737367544323206E-13</v>
      </c>
      <c r="BZ107" s="13">
        <f>BY107*VLOOKUP('Données projet'!$B$12,Paramètres!$A$1:$I$89,3,0)*VLOOKUP('Données projet'!$B$12,Paramètres!$A$1:$I$89,5,0)</f>
        <v>-1.3596945791505279E-13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373.61861223558259</v>
      </c>
      <c r="CE107" s="59">
        <f t="shared" si="94"/>
        <v>277.62293009761049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95.2860712825766</v>
      </c>
      <c r="CL107" s="21">
        <f>EXP(-LN(2)/25)*CL106+(1-EXP(-LN(2)/25))/(LN(2)/25)*Calculateur!CG107*Calculateur!CI107*VLOOKUP('Données projet'!$B$12,Paramètres!$A$1:$I$89,3,0)*0.475*44/12</f>
        <v>26.599552552506932</v>
      </c>
      <c r="CM107" s="21">
        <f>EXP(-LN(2)/2)*CM106+(1-EXP(-LN(2)/2))/(LN(2)/2)*CG107*CJ107*VLOOKUP('Données projet'!$B$12,Paramètres!$A$1:$I$89,3,0)*0.475*44/12</f>
        <v>1.7264805371388844E-2</v>
      </c>
      <c r="CN107" s="22">
        <f t="shared" si="66"/>
        <v>121.90288864045492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10.840999999999998</v>
      </c>
      <c r="N108" s="13">
        <f>IF('Données projet'!$A$36&gt;35,N107+M108-V107,IF(A108&lt;'Données projet'!$A$36,$K$205^A108,IF(A108='Données projet'!$A$36,'Données projet'!$B$36,N107+M108-V107)))</f>
        <v>476.83500000000004</v>
      </c>
      <c r="O108" s="13">
        <f>N108*VLOOKUP('Données projet'!$B$9,Paramètres!$A$1:$I$89,3,0)*VLOOKUP('Données projet'!$B$9,Paramètres!$A$1:$I$89,5,0)</f>
        <v>431.44030800000002</v>
      </c>
      <c r="P108" s="13">
        <f t="shared" si="87"/>
        <v>98.122365773392104</v>
      </c>
      <c r="Q108" s="20">
        <f t="shared" si="107"/>
        <v>922.32165682199127</v>
      </c>
      <c r="R108" s="59">
        <f t="shared" si="55"/>
        <v>1201.060284902863</v>
      </c>
      <c r="S108" s="59">
        <f ca="1">AVERAGE(OFFSET($R$3,0,0,'Données projet'!$E$9+1,1))-AVERAGE(OFFSET($H$3,0,0,'Données projet'!$E$9+1,1))</f>
        <v>737.40414421611001</v>
      </c>
      <c r="T108" s="59">
        <f t="shared" si="88"/>
        <v>245.32893490531674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46.696117872799405</v>
      </c>
      <c r="AA108" s="21">
        <f>EXP(-LN(2)/25)*AA107+(1-EXP(-LN(2)/25))/(LN(2)/25)*Calculateur!V108*Calculateur!X108*VLOOKUP('Données projet'!$B$9,Paramètres!$A$1:$I$89,3,0)*0.475*44/12</f>
        <v>30.435768468322667</v>
      </c>
      <c r="AB108" s="21">
        <f>EXP(-LN(2)/2)*AB107+(1-EXP(-LN(2)/2))/(LN(2)/2)*V108*Y108*VLOOKUP('Données projet'!$B$9,Paramètres!$A$1:$I$89,3,0)*0.475*44/12</f>
        <v>3.4185824372408011E-2</v>
      </c>
      <c r="AC108" s="22">
        <f t="shared" si="57"/>
        <v>77.166072165494484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1.3999999999999773</v>
      </c>
      <c r="AJ108" s="13">
        <f>AI108*VLOOKUP('Données projet'!$B$10,Paramètres!$A$1:$I$89,3,0)*VLOOKUP('Données projet'!$B$10,Paramètres!$A$1:$I$89,5,0)</f>
        <v>0.83719999999998651</v>
      </c>
      <c r="AK108" s="13">
        <f t="shared" si="89"/>
        <v>0.39388003094446933</v>
      </c>
      <c r="AL108" s="20">
        <f t="shared" si="58"/>
        <v>2.144131053894927</v>
      </c>
      <c r="AM108" s="59">
        <f t="shared" si="59"/>
        <v>280.88275913476667</v>
      </c>
      <c r="AN108" s="59">
        <f ca="1">AVERAGE(OFFSET($AM$3,0,0,'Données projet'!$E$10+1,1))-AVERAGE(OFFSET($H$3,0,0,'Données projet'!$E$10+1,1))</f>
        <v>318.6615972007902</v>
      </c>
      <c r="AO108" s="59">
        <f t="shared" si="90"/>
        <v>326.82168950869504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56.7393853518196</v>
      </c>
      <c r="AV108" s="21">
        <f>EXP(-LN(2)/25)*AV107+(1-EXP(-LN(2)/25))/(LN(2)/25)*Calculateur!AQ108*Calculateur!AS108*VLOOKUP('Données projet'!$B$10,Paramètres!$A$1:$I$89,3,0)*0.475*44/12</f>
        <v>13.850028534824292</v>
      </c>
      <c r="AW108" s="21">
        <f>EXP(-LN(2)/2)*AW107+(1-EXP(-LN(2)/2))/(LN(2)/2)*AQ108*AT108*VLOOKUP('Données projet'!$B$10,Paramètres!$A$1:$I$89,3,0)*0.475*44/12</f>
        <v>1.0076265180343296E-5</v>
      </c>
      <c r="AX108" s="21">
        <f t="shared" si="60"/>
        <v>70.589423962909081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>
        <f>VLOOKUP(A108,'Données projet'!$A$87:$I$107,2,0)</f>
        <v>244</v>
      </c>
      <c r="BB108" s="12">
        <f>VLOOKUP(A108,'Données projet'!$A$87:$I$107,9,0)</f>
        <v>2.8</v>
      </c>
      <c r="BC108" s="12">
        <f t="array" ref="BC108">INDEX(BB:BB,MIN(IF(ISNUMBER(BB108:BB304),ROW(BB108:BB304),"")))</f>
        <v>2.8</v>
      </c>
      <c r="BD108" s="12">
        <f>IF('Données projet'!$A$88&gt;35,BD107+BC108-BL107,IF(A108&lt;'Données projet'!$A$88,$BA$205^A108,IF(A108='Données projet'!$A$88,'Données projet'!$B$88,BD107+BC108-BL107)))</f>
        <v>243.99999999999997</v>
      </c>
      <c r="BE108" s="13">
        <f>BD108*VLOOKUP('Données projet'!$B$11,Paramètres!$A$1:$I$89,3,0)*VLOOKUP('Données projet'!$B$11,Paramètres!$A$1:$I$89,5,0)</f>
        <v>247.416</v>
      </c>
      <c r="BF108" s="13">
        <f t="shared" si="91"/>
        <v>60.032282000540192</v>
      </c>
      <c r="BG108" s="20">
        <f t="shared" si="61"/>
        <v>535.47242448427414</v>
      </c>
      <c r="BH108" s="59">
        <f t="shared" si="62"/>
        <v>814.21105256514591</v>
      </c>
      <c r="BI108" s="59">
        <f ca="1">AVERAGE(OFFSET($BH$3,0,0,'Données projet'!$E$11+1,1))-AVERAGE(OFFSET($H$3,0,0,'Données projet'!$E$11+1,1))</f>
        <v>402.96916953216805</v>
      </c>
      <c r="BJ108" s="59">
        <f t="shared" si="92"/>
        <v>164.89273051331318</v>
      </c>
      <c r="BK108" s="15">
        <f>IF(ISNA(VLOOKUP(A108,'Données projet'!$A$87:$I$107,3,0)),0,VLOOKUP(A108,'Données projet'!$A$87:$I$107,3,0))</f>
        <v>15</v>
      </c>
      <c r="BL108" s="15">
        <f>IF(ISNA(VLOOKUP(A108,'Données projet'!$A$87:$I$107,4,0)),0,VLOOKUP(A108,'Données projet'!$A$87:$I$107,4,0))</f>
        <v>9</v>
      </c>
      <c r="BM108" s="16">
        <f>IF(ISNA(VLOOKUP(A108,'Données projet'!$A$87:$I$107,5,0)),0%,VLOOKUP(A108,'Données projet'!$A$87:$I$107,5,0)*VLOOKUP('Données projet'!$B$11,Paramètres!$A$1:$I$89,7,0))</f>
        <v>0.1075</v>
      </c>
      <c r="BN108" s="16">
        <f>IF(ISNA(VLOOKUP(A108,'Données projet'!$A$87:$I$107,6,0)),0%,VLOOKUP(A108,'Données projet'!$A$87:$I$107,6,0)*VLOOKUP('Données projet'!$B$11,Paramètres!$A$1:$I$89,7,0))</f>
        <v>0.1075</v>
      </c>
      <c r="BO108" s="16">
        <f>IF(ISNA(VLOOKUP(A108,'Données projet'!$A$87:$I$107,7,0)),0%,VLOOKUP(A108,'Données projet'!$A$87:$I$107,7,0))</f>
        <v>0.25</v>
      </c>
      <c r="BP108" s="21">
        <f>EXP(-LN(2)/35)*BP107+(1-EXP(-LN(2)/35))/(LN(2)/35)*BL108*BM108*VLOOKUP('Données projet'!$B$11,Paramètres!$A$1:$I$89,3,0)*0.475*44/12</f>
        <v>4.6626970324669115</v>
      </c>
      <c r="BQ108" s="21">
        <f>EXP(-LN(2)/25)*BQ107+(1-EXP(-LN(2)/25))/(LN(2)/25)*Calculateur!BL108*Calculateur!BN108*VLOOKUP('Données projet'!$B$11,Paramètres!$A$1:$I$89,3,0)*0.475*44/12</f>
        <v>7.8844775632394022</v>
      </c>
      <c r="BR108" s="21">
        <f>EXP(-LN(2)/2)*BR107+(1-EXP(-LN(2)/2))/(LN(2)/2)*BL108*BO108*VLOOKUP('Données projet'!$B$11,Paramètres!$A$1:$I$89,3,0)*0.475*44/12</f>
        <v>2.6165175208267026</v>
      </c>
      <c r="BS108" s="22">
        <f t="shared" si="63"/>
        <v>15.163692116533015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-2.2737367544323206E-13</v>
      </c>
      <c r="BZ108" s="13">
        <f>BY108*VLOOKUP('Données projet'!$B$12,Paramètres!$A$1:$I$89,3,0)*VLOOKUP('Données projet'!$B$12,Paramètres!$A$1:$I$89,5,0)</f>
        <v>-1.3596945791505279E-13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373.61861223558259</v>
      </c>
      <c r="CE108" s="59">
        <f t="shared" si="94"/>
        <v>277.62293009761049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93.417569543490004</v>
      </c>
      <c r="CL108" s="21">
        <f>EXP(-LN(2)/25)*CL107+(1-EXP(-LN(2)/25))/(LN(2)/25)*Calculateur!CG108*Calculateur!CI108*VLOOKUP('Données projet'!$B$12,Paramètres!$A$1:$I$89,3,0)*0.475*44/12</f>
        <v>25.872186389148954</v>
      </c>
      <c r="CM108" s="21">
        <f>EXP(-LN(2)/2)*CM107+(1-EXP(-LN(2)/2))/(LN(2)/2)*CG108*CJ108*VLOOKUP('Données projet'!$B$12,Paramètres!$A$1:$I$89,3,0)*0.475*44/12</f>
        <v>1.2208060953974982E-2</v>
      </c>
      <c r="CN108" s="22">
        <f t="shared" si="66"/>
        <v>119.30196399359293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10.840999999999998</v>
      </c>
      <c r="N109" s="13">
        <f>IF('Données projet'!$A$36&gt;35,N108+M109-V108,IF(A109&lt;'Données projet'!$A$36,$K$205^A109,IF(A109='Données projet'!$A$36,'Données projet'!$B$36,N108+M109-V108)))</f>
        <v>487.67600000000004</v>
      </c>
      <c r="O109" s="13">
        <f>N109*VLOOKUP('Données projet'!$B$9,Paramètres!$A$1:$I$89,3,0)*VLOOKUP('Données projet'!$B$9,Paramètres!$A$1:$I$89,5,0)</f>
        <v>441.24924480000004</v>
      </c>
      <c r="P109" s="13">
        <f t="shared" si="87"/>
        <v>100.09095321491932</v>
      </c>
      <c r="Q109" s="20">
        <f t="shared" si="107"/>
        <v>942.83417820931766</v>
      </c>
      <c r="R109" s="59">
        <f t="shared" si="55"/>
        <v>1221.8259917974467</v>
      </c>
      <c r="S109" s="59">
        <f ca="1">AVERAGE(OFFSET($R$3,0,0,'Données projet'!$E$9+1,1))-AVERAGE(OFFSET($H$3,0,0,'Données projet'!$E$9+1,1))</f>
        <v>737.40414421611001</v>
      </c>
      <c r="T109" s="59">
        <f t="shared" si="88"/>
        <v>245.32893490531674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45.780435483133367</v>
      </c>
      <c r="AA109" s="21">
        <f>EXP(-LN(2)/25)*AA108+(1-EXP(-LN(2)/25))/(LN(2)/25)*Calculateur!V109*Calculateur!X109*VLOOKUP('Données projet'!$B$9,Paramètres!$A$1:$I$89,3,0)*0.475*44/12</f>
        <v>29.603500779008883</v>
      </c>
      <c r="AB109" s="21">
        <f>EXP(-LN(2)/2)*AB108+(1-EXP(-LN(2)/2))/(LN(2)/2)*V109*Y109*VLOOKUP('Données projet'!$B$9,Paramètres!$A$1:$I$89,3,0)*0.475*44/12</f>
        <v>2.4173028234182055E-2</v>
      </c>
      <c r="AC109" s="22">
        <f t="shared" si="57"/>
        <v>75.40810929037643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1.3999999999999773</v>
      </c>
      <c r="AJ109" s="13">
        <f>AI109*VLOOKUP('Données projet'!$B$10,Paramètres!$A$1:$I$89,3,0)*VLOOKUP('Données projet'!$B$10,Paramètres!$A$1:$I$89,5,0)</f>
        <v>0.83719999999998651</v>
      </c>
      <c r="AK109" s="13">
        <f t="shared" si="89"/>
        <v>0.39388003094446933</v>
      </c>
      <c r="AL109" s="20">
        <f t="shared" si="58"/>
        <v>2.144131053894927</v>
      </c>
      <c r="AM109" s="59">
        <f t="shared" si="59"/>
        <v>281.13594464202401</v>
      </c>
      <c r="AN109" s="59">
        <f ca="1">AVERAGE(OFFSET($AM$3,0,0,'Données projet'!$E$10+1,1))-AVERAGE(OFFSET($H$3,0,0,'Données projet'!$E$10+1,1))</f>
        <v>318.6615972007902</v>
      </c>
      <c r="AO109" s="59">
        <f t="shared" si="90"/>
        <v>326.82168950869504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55.626760612678261</v>
      </c>
      <c r="AV109" s="21">
        <f>EXP(-LN(2)/25)*AV108+(1-EXP(-LN(2)/25))/(LN(2)/25)*Calculateur!AQ109*Calculateur!AS109*VLOOKUP('Données projet'!$B$10,Paramètres!$A$1:$I$89,3,0)*0.475*44/12</f>
        <v>13.471298776198175</v>
      </c>
      <c r="AW109" s="21">
        <f>EXP(-LN(2)/2)*AW108+(1-EXP(-LN(2)/2))/(LN(2)/2)*AQ109*AT109*VLOOKUP('Données projet'!$B$10,Paramètres!$A$1:$I$89,3,0)*0.475*44/12</f>
        <v>7.1249954380546346E-6</v>
      </c>
      <c r="AX109" s="21">
        <f t="shared" si="60"/>
        <v>69.098066513871871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3</v>
      </c>
      <c r="BD109" s="12">
        <f>IF('Données projet'!$A$88&gt;35,BD108+BC109-BL108,IF(A109&lt;'Données projet'!$A$88,$BA$205^A109,IF(A109='Données projet'!$A$88,'Données projet'!$B$88,BD108+BC109-BL108)))</f>
        <v>237.99999999999997</v>
      </c>
      <c r="BE109" s="13">
        <f>BD109*VLOOKUP('Données projet'!$B$11,Paramètres!$A$1:$I$89,3,0)*VLOOKUP('Données projet'!$B$11,Paramètres!$A$1:$I$89,5,0)</f>
        <v>241.33199999999999</v>
      </c>
      <c r="BF109" s="13">
        <f t="shared" si="91"/>
        <v>58.72602439130111</v>
      </c>
      <c r="BG109" s="20">
        <f t="shared" si="61"/>
        <v>522.6010591481828</v>
      </c>
      <c r="BH109" s="59">
        <f t="shared" si="62"/>
        <v>801.59287273631185</v>
      </c>
      <c r="BI109" s="59">
        <f ca="1">AVERAGE(OFFSET($BH$3,0,0,'Données projet'!$E$11+1,1))-AVERAGE(OFFSET($H$3,0,0,'Données projet'!$E$11+1,1))</f>
        <v>402.96916953216805</v>
      </c>
      <c r="BJ109" s="59">
        <f t="shared" si="92"/>
        <v>164.89273051331318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4.5712643876246073</v>
      </c>
      <c r="BQ109" s="21">
        <f>EXP(-LN(2)/25)*BQ108+(1-EXP(-LN(2)/25))/(LN(2)/25)*Calculateur!BL109*Calculateur!BN109*VLOOKUP('Données projet'!$B$11,Paramètres!$A$1:$I$89,3,0)*0.475*44/12</f>
        <v>7.6688761096459661</v>
      </c>
      <c r="BR109" s="21">
        <f>EXP(-LN(2)/2)*BR108+(1-EXP(-LN(2)/2))/(LN(2)/2)*BL109*BO109*VLOOKUP('Données projet'!$B$11,Paramètres!$A$1:$I$89,3,0)*0.475*44/12</f>
        <v>1.8501572820699752</v>
      </c>
      <c r="BS109" s="22">
        <f t="shared" si="63"/>
        <v>14.090297779340549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-2.2737367544323206E-13</v>
      </c>
      <c r="BZ109" s="13">
        <f>BY109*VLOOKUP('Données projet'!$B$12,Paramètres!$A$1:$I$89,3,0)*VLOOKUP('Données projet'!$B$12,Paramètres!$A$1:$I$89,5,0)</f>
        <v>-1.3596945791505279E-13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373.61861223558259</v>
      </c>
      <c r="CE109" s="59">
        <f t="shared" si="94"/>
        <v>277.62293009761049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91.585707983833373</v>
      </c>
      <c r="CL109" s="21">
        <f>EXP(-LN(2)/25)*CL108+(1-EXP(-LN(2)/25))/(LN(2)/25)*Calculateur!CG109*Calculateur!CI109*VLOOKUP('Données projet'!$B$12,Paramètres!$A$1:$I$89,3,0)*0.475*44/12</f>
        <v>25.164710091778524</v>
      </c>
      <c r="CM109" s="21">
        <f>EXP(-LN(2)/2)*CM108+(1-EXP(-LN(2)/2))/(LN(2)/2)*CG109*CJ109*VLOOKUP('Données projet'!$B$12,Paramètres!$A$1:$I$89,3,0)*0.475*44/12</f>
        <v>8.6324026856944222E-3</v>
      </c>
      <c r="CN109" s="22">
        <f t="shared" si="66"/>
        <v>116.75905047829758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10.840999999999998</v>
      </c>
      <c r="N110" s="13">
        <f>IF('Données projet'!$A$36&gt;35,N109+M110-V109,IF(A110&lt;'Données projet'!$A$36,$K$205^A110,IF(A110='Données projet'!$A$36,'Données projet'!$B$36,N109+M110-V109)))</f>
        <v>498.51700000000005</v>
      </c>
      <c r="O110" s="13">
        <f>N110*VLOOKUP('Données projet'!$B$9,Paramètres!$A$1:$I$89,3,0)*VLOOKUP('Données projet'!$B$9,Paramètres!$A$1:$I$89,5,0)</f>
        <v>451.05818160000001</v>
      </c>
      <c r="P110" s="13">
        <f t="shared" si="87"/>
        <v>102.05445295405619</v>
      </c>
      <c r="Q110" s="20">
        <f t="shared" si="107"/>
        <v>963.33783851498117</v>
      </c>
      <c r="R110" s="59">
        <f t="shared" si="55"/>
        <v>1242.5784454078548</v>
      </c>
      <c r="S110" s="59">
        <f ca="1">AVERAGE(OFFSET($R$3,0,0,'Données projet'!$E$9+1,1))-AVERAGE(OFFSET($H$3,0,0,'Données projet'!$E$9+1,1))</f>
        <v>737.40414421611001</v>
      </c>
      <c r="T110" s="59">
        <f t="shared" si="88"/>
        <v>245.32893490531674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44.882709066617572</v>
      </c>
      <c r="AA110" s="21">
        <f>EXP(-LN(2)/25)*AA109+(1-EXP(-LN(2)/25))/(LN(2)/25)*Calculateur!V110*Calculateur!X110*VLOOKUP('Données projet'!$B$9,Paramètres!$A$1:$I$89,3,0)*0.475*44/12</f>
        <v>28.793991493426439</v>
      </c>
      <c r="AB110" s="21">
        <f>EXP(-LN(2)/2)*AB109+(1-EXP(-LN(2)/2))/(LN(2)/2)*V110*Y110*VLOOKUP('Données projet'!$B$9,Paramètres!$A$1:$I$89,3,0)*0.475*44/12</f>
        <v>1.7092912186204005E-2</v>
      </c>
      <c r="AC110" s="22">
        <f t="shared" si="57"/>
        <v>73.693793472230212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1.3999999999999773</v>
      </c>
      <c r="AJ110" s="13">
        <f>AI110*VLOOKUP('Données projet'!$B$10,Paramètres!$A$1:$I$89,3,0)*VLOOKUP('Données projet'!$B$10,Paramètres!$A$1:$I$89,5,0)</f>
        <v>0.83719999999998651</v>
      </c>
      <c r="AK110" s="13">
        <f t="shared" si="89"/>
        <v>0.39388003094446933</v>
      </c>
      <c r="AL110" s="20">
        <f t="shared" si="58"/>
        <v>2.144131053894927</v>
      </c>
      <c r="AM110" s="59">
        <f t="shared" si="59"/>
        <v>281.38473794676855</v>
      </c>
      <c r="AN110" s="59">
        <f ca="1">AVERAGE(OFFSET($AM$3,0,0,'Données projet'!$E$10+1,1))-AVERAGE(OFFSET($H$3,0,0,'Données projet'!$E$10+1,1))</f>
        <v>318.6615972007902</v>
      </c>
      <c r="AO110" s="59">
        <f t="shared" si="90"/>
        <v>326.82168950869504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54.535953766037409</v>
      </c>
      <c r="AV110" s="21">
        <f>EXP(-LN(2)/25)*AV109+(1-EXP(-LN(2)/25))/(LN(2)/25)*Calculateur!AQ110*Calculateur!AS110*VLOOKUP('Données projet'!$B$10,Paramètres!$A$1:$I$89,3,0)*0.475*44/12</f>
        <v>13.102925402738222</v>
      </c>
      <c r="AW110" s="21">
        <f>EXP(-LN(2)/2)*AW109+(1-EXP(-LN(2)/2))/(LN(2)/2)*AQ110*AT110*VLOOKUP('Données projet'!$B$10,Paramètres!$A$1:$I$89,3,0)*0.475*44/12</f>
        <v>5.0381325901716478E-6</v>
      </c>
      <c r="AX110" s="21">
        <f t="shared" si="60"/>
        <v>67.638884206908216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3</v>
      </c>
      <c r="BD110" s="12">
        <f>IF('Données projet'!$A$88&gt;35,BD109+BC110-BL109,IF(A110&lt;'Données projet'!$A$88,$BA$205^A110,IF(A110='Données projet'!$A$88,'Données projet'!$B$88,BD109+BC110-BL109)))</f>
        <v>240.99999999999997</v>
      </c>
      <c r="BE110" s="13">
        <f>BD110*VLOOKUP('Données projet'!$B$11,Paramètres!$A$1:$I$89,3,0)*VLOOKUP('Données projet'!$B$11,Paramètres!$A$1:$I$89,5,0)</f>
        <v>244.37399999999997</v>
      </c>
      <c r="BF110" s="13">
        <f t="shared" si="91"/>
        <v>59.379626388393802</v>
      </c>
      <c r="BG110" s="20">
        <f t="shared" si="61"/>
        <v>529.03756595978575</v>
      </c>
      <c r="BH110" s="59">
        <f t="shared" si="62"/>
        <v>808.2781728526594</v>
      </c>
      <c r="BI110" s="59">
        <f ca="1">AVERAGE(OFFSET($BH$3,0,0,'Données projet'!$E$11+1,1))-AVERAGE(OFFSET($H$3,0,0,'Données projet'!$E$11+1,1))</f>
        <v>402.96916953216805</v>
      </c>
      <c r="BJ110" s="59">
        <f t="shared" si="92"/>
        <v>164.89273051331318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4.4816246811792535</v>
      </c>
      <c r="BQ110" s="21">
        <f>EXP(-LN(2)/25)*BQ109+(1-EXP(-LN(2)/25))/(LN(2)/25)*Calculateur!BL110*Calculateur!BN110*VLOOKUP('Données projet'!$B$11,Paramètres!$A$1:$I$89,3,0)*0.475*44/12</f>
        <v>7.4591702891390304</v>
      </c>
      <c r="BR110" s="21">
        <f>EXP(-LN(2)/2)*BR109+(1-EXP(-LN(2)/2))/(LN(2)/2)*BL110*BO110*VLOOKUP('Données projet'!$B$11,Paramètres!$A$1:$I$89,3,0)*0.475*44/12</f>
        <v>1.3082587604133515</v>
      </c>
      <c r="BS110" s="22">
        <f t="shared" si="63"/>
        <v>13.249053730731635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-2.2737367544323206E-13</v>
      </c>
      <c r="BZ110" s="13">
        <f>BY110*VLOOKUP('Données projet'!$B$12,Paramètres!$A$1:$I$89,3,0)*VLOOKUP('Données projet'!$B$12,Paramètres!$A$1:$I$89,5,0)</f>
        <v>-1.3596945791505279E-13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373.61861223558259</v>
      </c>
      <c r="CE110" s="59">
        <f t="shared" si="94"/>
        <v>277.62293009761049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89.789768112036384</v>
      </c>
      <c r="CL110" s="21">
        <f>EXP(-LN(2)/25)*CL109+(1-EXP(-LN(2)/25))/(LN(2)/25)*Calculateur!CG110*Calculateur!CI110*VLOOKUP('Données projet'!$B$12,Paramètres!$A$1:$I$89,3,0)*0.475*44/12</f>
        <v>24.47657977096425</v>
      </c>
      <c r="CM110" s="21">
        <f>EXP(-LN(2)/2)*CM109+(1-EXP(-LN(2)/2))/(LN(2)/2)*CG110*CJ110*VLOOKUP('Données projet'!$B$12,Paramètres!$A$1:$I$89,3,0)*0.475*44/12</f>
        <v>6.104030476987491E-3</v>
      </c>
      <c r="CN110" s="22">
        <f t="shared" si="66"/>
        <v>114.27245191347762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10.840999999999998</v>
      </c>
      <c r="N111" s="13">
        <f>IF('Données projet'!$A$36&gt;35,N110+M111-V110,IF(A111&lt;'Données projet'!$A$36,$K$205^A111,IF(A111='Données projet'!$A$36,'Données projet'!$B$36,N110+M111-V110)))</f>
        <v>509.35800000000006</v>
      </c>
      <c r="O111" s="13">
        <f>N111*VLOOKUP('Données projet'!$B$9,Paramètres!$A$1:$I$89,3,0)*VLOOKUP('Données projet'!$B$9,Paramètres!$A$1:$I$89,5,0)</f>
        <v>460.86711840000004</v>
      </c>
      <c r="P111" s="13">
        <f t="shared" si="87"/>
        <v>104.01298837243165</v>
      </c>
      <c r="Q111" s="20">
        <f t="shared" si="107"/>
        <v>983.83285262865172</v>
      </c>
      <c r="R111" s="59">
        <f t="shared" si="55"/>
        <v>1263.3179368186511</v>
      </c>
      <c r="S111" s="59">
        <f ca="1">AVERAGE(OFFSET($R$3,0,0,'Données projet'!$E$9+1,1))-AVERAGE(OFFSET($H$3,0,0,'Données projet'!$E$9+1,1))</f>
        <v>737.40414421611001</v>
      </c>
      <c r="T111" s="59">
        <f t="shared" si="88"/>
        <v>245.32893490531674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44.002586517570599</v>
      </c>
      <c r="AA111" s="21">
        <f>EXP(-LN(2)/25)*AA110+(1-EXP(-LN(2)/25))/(LN(2)/25)*Calculateur!V111*Calculateur!X111*VLOOKUP('Données projet'!$B$9,Paramètres!$A$1:$I$89,3,0)*0.475*44/12</f>
        <v>28.006618281828491</v>
      </c>
      <c r="AB111" s="21">
        <f>EXP(-LN(2)/2)*AB110+(1-EXP(-LN(2)/2))/(LN(2)/2)*V111*Y111*VLOOKUP('Données projet'!$B$9,Paramètres!$A$1:$I$89,3,0)*0.475*44/12</f>
        <v>1.2086514117091027E-2</v>
      </c>
      <c r="AC111" s="22">
        <f t="shared" si="57"/>
        <v>72.021291313516173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1.3999999999999773</v>
      </c>
      <c r="AJ111" s="13">
        <f>AI111*VLOOKUP('Données projet'!$B$10,Paramètres!$A$1:$I$89,3,0)*VLOOKUP('Données projet'!$B$10,Paramètres!$A$1:$I$89,5,0)</f>
        <v>0.83719999999998651</v>
      </c>
      <c r="AK111" s="13">
        <f t="shared" si="89"/>
        <v>0.39388003094446933</v>
      </c>
      <c r="AL111" s="20">
        <f t="shared" si="58"/>
        <v>2.144131053894927</v>
      </c>
      <c r="AM111" s="59">
        <f t="shared" si="59"/>
        <v>281.62921524389424</v>
      </c>
      <c r="AN111" s="59">
        <f ca="1">AVERAGE(OFFSET($AM$3,0,0,'Données projet'!$E$10+1,1))-AVERAGE(OFFSET($H$3,0,0,'Données projet'!$E$10+1,1))</f>
        <v>318.6615972007902</v>
      </c>
      <c r="AO111" s="59">
        <f t="shared" si="90"/>
        <v>326.82168950869504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53.466536976332698</v>
      </c>
      <c r="AV111" s="21">
        <f>EXP(-LN(2)/25)*AV110+(1-EXP(-LN(2)/25))/(LN(2)/25)*Calculateur!AQ111*Calculateur!AS111*VLOOKUP('Données projet'!$B$10,Paramètres!$A$1:$I$89,3,0)*0.475*44/12</f>
        <v>12.744625218547446</v>
      </c>
      <c r="AW111" s="21">
        <f>EXP(-LN(2)/2)*AW110+(1-EXP(-LN(2)/2))/(LN(2)/2)*AQ111*AT111*VLOOKUP('Données projet'!$B$10,Paramètres!$A$1:$I$89,3,0)*0.475*44/12</f>
        <v>3.5624977190273173E-6</v>
      </c>
      <c r="AX111" s="21">
        <f t="shared" si="60"/>
        <v>66.21116575737787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3</v>
      </c>
      <c r="BD111" s="12">
        <f>IF('Données projet'!$A$88&gt;35,BD110+BC111-BL110,IF(A111&lt;'Données projet'!$A$88,$BA$205^A111,IF(A111='Données projet'!$A$88,'Données projet'!$B$88,BD110+BC111-BL110)))</f>
        <v>243.99999999999997</v>
      </c>
      <c r="BE111" s="13">
        <f>BD111*VLOOKUP('Données projet'!$B$11,Paramètres!$A$1:$I$89,3,0)*VLOOKUP('Données projet'!$B$11,Paramètres!$A$1:$I$89,5,0)</f>
        <v>247.416</v>
      </c>
      <c r="BF111" s="13">
        <f t="shared" si="91"/>
        <v>60.032282000540192</v>
      </c>
      <c r="BG111" s="20">
        <f t="shared" si="61"/>
        <v>535.47242448427414</v>
      </c>
      <c r="BH111" s="59">
        <f t="shared" si="62"/>
        <v>814.95750867427341</v>
      </c>
      <c r="BI111" s="59">
        <f ca="1">AVERAGE(OFFSET($BH$3,0,0,'Données projet'!$E$11+1,1))-AVERAGE(OFFSET($H$3,0,0,'Données projet'!$E$11+1,1))</f>
        <v>402.96916953216805</v>
      </c>
      <c r="BJ111" s="59">
        <f t="shared" si="92"/>
        <v>164.89273051331318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4.3937427547024708</v>
      </c>
      <c r="BQ111" s="21">
        <f>EXP(-LN(2)/25)*BQ110+(1-EXP(-LN(2)/25))/(LN(2)/25)*Calculateur!BL111*Calculateur!BN111*VLOOKUP('Données projet'!$B$11,Paramètres!$A$1:$I$89,3,0)*0.475*44/12</f>
        <v>7.2551988853218061</v>
      </c>
      <c r="BR111" s="21">
        <f>EXP(-LN(2)/2)*BR110+(1-EXP(-LN(2)/2))/(LN(2)/2)*BL111*BO111*VLOOKUP('Données projet'!$B$11,Paramètres!$A$1:$I$89,3,0)*0.475*44/12</f>
        <v>0.92507864103498771</v>
      </c>
      <c r="BS111" s="22">
        <f t="shared" si="63"/>
        <v>12.574020281059264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-2.2737367544323206E-13</v>
      </c>
      <c r="BZ111" s="13">
        <f>BY111*VLOOKUP('Données projet'!$B$12,Paramètres!$A$1:$I$89,3,0)*VLOOKUP('Données projet'!$B$12,Paramètres!$A$1:$I$89,5,0)</f>
        <v>-1.3596945791505279E-13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373.61861223558259</v>
      </c>
      <c r="CE111" s="59">
        <f t="shared" si="94"/>
        <v>277.62293009761049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88.029045525710174</v>
      </c>
      <c r="CL111" s="21">
        <f>EXP(-LN(2)/25)*CL110+(1-EXP(-LN(2)/25))/(LN(2)/25)*Calculateur!CG111*Calculateur!CI111*VLOOKUP('Données projet'!$B$12,Paramètres!$A$1:$I$89,3,0)*0.475*44/12</f>
        <v>23.807266409959844</v>
      </c>
      <c r="CM111" s="21">
        <f>EXP(-LN(2)/2)*CM110+(1-EXP(-LN(2)/2))/(LN(2)/2)*CG111*CJ111*VLOOKUP('Données projet'!$B$12,Paramètres!$A$1:$I$89,3,0)*0.475*44/12</f>
        <v>4.3162013428472111E-3</v>
      </c>
      <c r="CN111" s="22">
        <f t="shared" si="66"/>
        <v>111.84062813701286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10.840999999999998</v>
      </c>
      <c r="N112" s="13">
        <f>IF('Données projet'!$A$36&gt;35,N111+M112-V111,IF(A112&lt;'Données projet'!$A$36,$K$205^A112,IF(A112='Données projet'!$A$36,'Données projet'!$B$36,N111+M112-V111)))</f>
        <v>520.19900000000007</v>
      </c>
      <c r="O112" s="13">
        <f>N112*VLOOKUP('Données projet'!$B$9,Paramètres!$A$1:$I$89,3,0)*VLOOKUP('Données projet'!$B$9,Paramètres!$A$1:$I$89,5,0)</f>
        <v>470.67605520000001</v>
      </c>
      <c r="P112" s="13">
        <f t="shared" si="87"/>
        <v>105.96667729960197</v>
      </c>
      <c r="Q112" s="20">
        <f t="shared" si="107"/>
        <v>1004.3194257701401</v>
      </c>
      <c r="R112" s="59">
        <f t="shared" si="55"/>
        <v>1284.0447461227295</v>
      </c>
      <c r="S112" s="59">
        <f ca="1">AVERAGE(OFFSET($R$3,0,0,'Données projet'!$E$9+1,1))-AVERAGE(OFFSET($H$3,0,0,'Données projet'!$E$9+1,1))</f>
        <v>737.40414421611001</v>
      </c>
      <c r="T112" s="59">
        <f t="shared" si="88"/>
        <v>245.32893490531674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43.139722634888692</v>
      </c>
      <c r="AA112" s="21">
        <f>EXP(-LN(2)/25)*AA111+(1-EXP(-LN(2)/25))/(LN(2)/25)*Calculateur!V112*Calculateur!X112*VLOOKUP('Données projet'!$B$9,Paramètres!$A$1:$I$89,3,0)*0.475*44/12</f>
        <v>27.240775832107847</v>
      </c>
      <c r="AB112" s="21">
        <f>EXP(-LN(2)/2)*AB111+(1-EXP(-LN(2)/2))/(LN(2)/2)*V112*Y112*VLOOKUP('Données projet'!$B$9,Paramètres!$A$1:$I$89,3,0)*0.475*44/12</f>
        <v>8.5464560931020027E-3</v>
      </c>
      <c r="AC112" s="22">
        <f t="shared" si="57"/>
        <v>70.389044923089642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1.3999999999999773</v>
      </c>
      <c r="AJ112" s="13">
        <f>AI112*VLOOKUP('Données projet'!$B$10,Paramètres!$A$1:$I$89,3,0)*VLOOKUP('Données projet'!$B$10,Paramètres!$A$1:$I$89,5,0)</f>
        <v>0.83719999999998651</v>
      </c>
      <c r="AK112" s="13">
        <f t="shared" si="89"/>
        <v>0.39388003094446933</v>
      </c>
      <c r="AL112" s="20">
        <f t="shared" si="58"/>
        <v>2.144131053894927</v>
      </c>
      <c r="AM112" s="59">
        <f t="shared" si="59"/>
        <v>281.86945140648419</v>
      </c>
      <c r="AN112" s="59">
        <f ca="1">AVERAGE(OFFSET($AM$3,0,0,'Données projet'!$E$10+1,1))-AVERAGE(OFFSET($H$3,0,0,'Données projet'!$E$10+1,1))</f>
        <v>318.6615972007902</v>
      </c>
      <c r="AO112" s="59">
        <f t="shared" si="90"/>
        <v>326.82168950869504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52.418090797594267</v>
      </c>
      <c r="AV112" s="21">
        <f>EXP(-LN(2)/25)*AV111+(1-EXP(-LN(2)/25))/(LN(2)/25)*Calculateur!AQ112*Calculateur!AS112*VLOOKUP('Données projet'!$B$10,Paramètres!$A$1:$I$89,3,0)*0.475*44/12</f>
        <v>12.396122771735554</v>
      </c>
      <c r="AW112" s="21">
        <f>EXP(-LN(2)/2)*AW111+(1-EXP(-LN(2)/2))/(LN(2)/2)*AQ112*AT112*VLOOKUP('Données projet'!$B$10,Paramètres!$A$1:$I$89,3,0)*0.475*44/12</f>
        <v>2.5190662950858239E-6</v>
      </c>
      <c r="AX112" s="21">
        <f t="shared" si="60"/>
        <v>64.814216088396122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3</v>
      </c>
      <c r="BD112" s="12">
        <f>IF('Données projet'!$A$88&gt;35,BD111+BC112-BL111,IF(A112&lt;'Données projet'!$A$88,$BA$205^A112,IF(A112='Données projet'!$A$88,'Données projet'!$B$88,BD111+BC112-BL111)))</f>
        <v>246.99999999999997</v>
      </c>
      <c r="BE112" s="13">
        <f>BD112*VLOOKUP('Données projet'!$B$11,Paramètres!$A$1:$I$89,3,0)*VLOOKUP('Données projet'!$B$11,Paramètres!$A$1:$I$89,5,0)</f>
        <v>250.45799999999997</v>
      </c>
      <c r="BF112" s="13">
        <f t="shared" si="91"/>
        <v>60.684004209403788</v>
      </c>
      <c r="BG112" s="20">
        <f t="shared" si="61"/>
        <v>541.90565733137817</v>
      </c>
      <c r="BH112" s="59">
        <f t="shared" si="62"/>
        <v>821.63097768396744</v>
      </c>
      <c r="BI112" s="59">
        <f ca="1">AVERAGE(OFFSET($BH$3,0,0,'Données projet'!$E$11+1,1))-AVERAGE(OFFSET($H$3,0,0,'Données projet'!$E$11+1,1))</f>
        <v>402.96916953216805</v>
      </c>
      <c r="BJ112" s="59">
        <f t="shared" si="92"/>
        <v>164.89273051331318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4.3075841392012153</v>
      </c>
      <c r="BQ112" s="21">
        <f>EXP(-LN(2)/25)*BQ111+(1-EXP(-LN(2)/25))/(LN(2)/25)*Calculateur!BL112*Calculateur!BN112*VLOOKUP('Données projet'!$B$11,Paramètres!$A$1:$I$89,3,0)*0.475*44/12</f>
        <v>7.0568050902683543</v>
      </c>
      <c r="BR112" s="21">
        <f>EXP(-LN(2)/2)*BR111+(1-EXP(-LN(2)/2))/(LN(2)/2)*BL112*BO112*VLOOKUP('Données projet'!$B$11,Paramètres!$A$1:$I$89,3,0)*0.475*44/12</f>
        <v>0.65412938020667588</v>
      </c>
      <c r="BS112" s="22">
        <f t="shared" si="63"/>
        <v>12.018518609676246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-2.2737367544323206E-13</v>
      </c>
      <c r="BZ112" s="13">
        <f>BY112*VLOOKUP('Données projet'!$B$12,Paramètres!$A$1:$I$89,3,0)*VLOOKUP('Données projet'!$B$12,Paramètres!$A$1:$I$89,5,0)</f>
        <v>-1.3596945791505279E-13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373.61861223558259</v>
      </c>
      <c r="CE112" s="59">
        <f t="shared" si="94"/>
        <v>277.62293009761049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86.302849635367082</v>
      </c>
      <c r="CL112" s="21">
        <f>EXP(-LN(2)/25)*CL111+(1-EXP(-LN(2)/25))/(LN(2)/25)*Calculateur!CG112*Calculateur!CI112*VLOOKUP('Données projet'!$B$12,Paramètres!$A$1:$I$89,3,0)*0.475*44/12</f>
        <v>23.156255458009763</v>
      </c>
      <c r="CM112" s="21">
        <f>EXP(-LN(2)/2)*CM111+(1-EXP(-LN(2)/2))/(LN(2)/2)*CG112*CJ112*VLOOKUP('Données projet'!$B$12,Paramètres!$A$1:$I$89,3,0)*0.475*44/12</f>
        <v>3.0520152384937455E-3</v>
      </c>
      <c r="CN112" s="22">
        <f t="shared" si="66"/>
        <v>109.46215710861534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531.04</v>
      </c>
      <c r="L113" s="12">
        <f>VLOOKUP(A113,'Données projet'!$A$35:$I$55,9,0)</f>
        <v>10.840999999999998</v>
      </c>
      <c r="M113" s="12">
        <f t="array" ref="M113">INDEX(L:L,MIN(IF(ISNUMBER(L113:L309),ROW(L113:L309),"")))</f>
        <v>10.840999999999998</v>
      </c>
      <c r="N113" s="13">
        <f>IF('Données projet'!$A$36&gt;35,N112+M113-V112,IF(A113&lt;'Données projet'!$A$36,$K$205^A113,IF(A113='Données projet'!$A$36,'Données projet'!$B$36,N112+M113-V112)))</f>
        <v>531.04000000000008</v>
      </c>
      <c r="O113" s="13">
        <f>N113*VLOOKUP('Données projet'!$B$9,Paramètres!$A$1:$I$89,3,0)*VLOOKUP('Données projet'!$B$9,Paramètres!$A$1:$I$89,5,0)</f>
        <v>480.48499200000009</v>
      </c>
      <c r="P113" s="13">
        <f t="shared" si="87"/>
        <v>107.9156323733046</v>
      </c>
      <c r="Q113" s="20">
        <f t="shared" si="107"/>
        <v>1024.7977541168391</v>
      </c>
      <c r="R113" s="59">
        <f t="shared" si="55"/>
        <v>1304.759143071685</v>
      </c>
      <c r="S113" s="59">
        <f ca="1">AVERAGE(OFFSET($R$3,0,0,'Données projet'!$E$9+1,1))-AVERAGE(OFFSET($H$3,0,0,'Données projet'!$E$9+1,1))</f>
        <v>737.40414421611001</v>
      </c>
      <c r="T113" s="59">
        <f t="shared" si="88"/>
        <v>245.32893490531674</v>
      </c>
      <c r="U113" s="15">
        <f>IF(ISNA(VLOOKUP(A113,'Données projet'!$A$35:$I$55,3,0)),0,VLOOKUP(A113,'Données projet'!$A$35:$I$55,3,0))</f>
        <v>10</v>
      </c>
      <c r="V113" s="15">
        <f>IF(ISNA(VLOOKUP(A113,'Données projet'!$A$35:$I$55,4,0)),0,VLOOKUP(A113,'Données projet'!$A$35:$I$55,4,0))</f>
        <v>73.299999999999955</v>
      </c>
      <c r="W113" s="16">
        <f>IF(ISNA(VLOOKUP(A113,'Données projet'!$A$35:$I$55,5,0)),0%,VLOOKUP(A113,'Données projet'!$A$35:$I$55,5,0)*VLOOKUP('Données projet'!$B$9,Paramètres!$A$1:$I$89,7,0))</f>
        <v>0.215</v>
      </c>
      <c r="X113" s="16">
        <f>IF(ISNA(VLOOKUP(A113,'Données projet'!$A$35:$I$55,6,0)),0%,VLOOKUP(A113,'Données projet'!$A$35:$I$55,6,0)*VLOOKUP('Données projet'!$B$9,Paramètres!$A$1:$I$89,7,0))</f>
        <v>8.6000000000000007E-2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58.056897358417743</v>
      </c>
      <c r="AA113" s="21">
        <f>EXP(-LN(2)/25)*AA112+(1-EXP(-LN(2)/25))/(LN(2)/25)*Calculateur!V113*Calculateur!X113*VLOOKUP('Données projet'!$B$9,Paramètres!$A$1:$I$89,3,0)*0.475*44/12</f>
        <v>32.776296571855895</v>
      </c>
      <c r="AB113" s="21">
        <f>EXP(-LN(2)/2)*AB112+(1-EXP(-LN(2)/2))/(LN(2)/2)*V113*Y113*VLOOKUP('Données projet'!$B$9,Paramètres!$A$1:$I$89,3,0)*0.475*44/12</f>
        <v>6.0432570585455137E-3</v>
      </c>
      <c r="AC113" s="22">
        <f t="shared" si="57"/>
        <v>90.839237187332188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1.3999999999999773</v>
      </c>
      <c r="AJ113" s="13">
        <f>AI113*VLOOKUP('Données projet'!$B$10,Paramètres!$A$1:$I$89,3,0)*VLOOKUP('Données projet'!$B$10,Paramètres!$A$1:$I$89,5,0)</f>
        <v>0.83719999999998651</v>
      </c>
      <c r="AK113" s="13">
        <f t="shared" si="89"/>
        <v>0.39388003094446933</v>
      </c>
      <c r="AL113" s="20">
        <f t="shared" si="58"/>
        <v>2.144131053894927</v>
      </c>
      <c r="AM113" s="59">
        <f t="shared" si="59"/>
        <v>282.10552000874077</v>
      </c>
      <c r="AN113" s="59">
        <f ca="1">AVERAGE(OFFSET($AM$3,0,0,'Données projet'!$E$10+1,1))-AVERAGE(OFFSET($H$3,0,0,'Données projet'!$E$10+1,1))</f>
        <v>318.6615972007902</v>
      </c>
      <c r="AO113" s="59">
        <f t="shared" si="90"/>
        <v>326.82168950869504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51.390204008931867</v>
      </c>
      <c r="AV113" s="21">
        <f>EXP(-LN(2)/25)*AV112+(1-EXP(-LN(2)/25))/(LN(2)/25)*Calculateur!AQ113*Calculateur!AS113*VLOOKUP('Données projet'!$B$10,Paramètres!$A$1:$I$89,3,0)*0.475*44/12</f>
        <v>12.05715014265868</v>
      </c>
      <c r="AW113" s="21">
        <f>EXP(-LN(2)/2)*AW112+(1-EXP(-LN(2)/2))/(LN(2)/2)*AQ113*AT113*VLOOKUP('Données projet'!$B$10,Paramètres!$A$1:$I$89,3,0)*0.475*44/12</f>
        <v>1.7812488595136587E-6</v>
      </c>
      <c r="AX113" s="21">
        <f t="shared" si="60"/>
        <v>63.447355932839407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250</v>
      </c>
      <c r="BB113" s="12">
        <f>VLOOKUP(A113,'Données projet'!$A$87:$I$107,9,0)</f>
        <v>3</v>
      </c>
      <c r="BC113" s="12">
        <f t="array" ref="BC113">INDEX(BB:BB,MIN(IF(ISNUMBER(BB113:BB309),ROW(BB113:BB309),"")))</f>
        <v>3</v>
      </c>
      <c r="BD113" s="12">
        <f>IF('Données projet'!$A$88&gt;35,BD112+BC113-BL112,IF(A113&lt;'Données projet'!$A$88,$BA$205^A113,IF(A113='Données projet'!$A$88,'Données projet'!$B$88,BD112+BC113-BL112)))</f>
        <v>249.99999999999997</v>
      </c>
      <c r="BE113" s="13">
        <f>BD113*VLOOKUP('Données projet'!$B$11,Paramètres!$A$1:$I$89,3,0)*VLOOKUP('Données projet'!$B$11,Paramètres!$A$1:$I$89,5,0)</f>
        <v>253.5</v>
      </c>
      <c r="BF113" s="13">
        <f t="shared" si="91"/>
        <v>61.334805663162555</v>
      </c>
      <c r="BG113" s="20">
        <f t="shared" si="61"/>
        <v>548.3372865300081</v>
      </c>
      <c r="BH113" s="59">
        <f t="shared" si="62"/>
        <v>828.2986754848539</v>
      </c>
      <c r="BI113" s="59">
        <f ca="1">AVERAGE(OFFSET($BH$3,0,0,'Données projet'!$E$11+1,1))-AVERAGE(OFFSET($H$3,0,0,'Données projet'!$E$11+1,1))</f>
        <v>402.96916953216805</v>
      </c>
      <c r="BJ113" s="59">
        <f t="shared" si="92"/>
        <v>164.89273051331318</v>
      </c>
      <c r="BK113" s="15">
        <f>IF(ISNA(VLOOKUP(A113,'Données projet'!$A$87:$I$107,3,0)),0,VLOOKUP(A113,'Données projet'!$A$87:$I$107,3,0))</f>
        <v>16</v>
      </c>
      <c r="BL113" s="15">
        <f>IF(ISNA(VLOOKUP(A113,'Données projet'!$A$87:$I$107,4,0)),0,VLOOKUP(A113,'Données projet'!$A$87:$I$107,4,0))</f>
        <v>8</v>
      </c>
      <c r="BM113" s="16">
        <f>IF(ISNA(VLOOKUP(A113,'Données projet'!$A$87:$I$107,5,0)),0%,VLOOKUP(A113,'Données projet'!$A$87:$I$107,5,0)*VLOOKUP('Données projet'!$B$11,Paramètres!$A$1:$I$89,7,0))</f>
        <v>0.1075</v>
      </c>
      <c r="BN113" s="16">
        <f>IF(ISNA(VLOOKUP(A113,'Données projet'!$A$87:$I$107,6,0)),0%,VLOOKUP(A113,'Données projet'!$A$87:$I$107,6,0)*VLOOKUP('Données projet'!$B$11,Paramètres!$A$1:$I$89,7,0))</f>
        <v>0.1075</v>
      </c>
      <c r="BO113" s="16">
        <f>IF(ISNA(VLOOKUP(A113,'Données projet'!$A$87:$I$107,7,0)),0%,VLOOKUP(A113,'Données projet'!$A$87:$I$107,7,0))</f>
        <v>0.25</v>
      </c>
      <c r="BP113" s="21">
        <f>EXP(-LN(2)/35)*BP112+(1-EXP(-LN(2)/35))/(LN(2)/35)*BL113*BM113*VLOOKUP('Données projet'!$B$11,Paramètres!$A$1:$I$89,3,0)*0.475*44/12</f>
        <v>5.1871294313662872</v>
      </c>
      <c r="BQ113" s="21">
        <f>EXP(-LN(2)/25)*BQ112+(1-EXP(-LN(2)/25))/(LN(2)/25)*Calculateur!BL113*Calculateur!BN113*VLOOKUP('Données projet'!$B$11,Paramètres!$A$1:$I$89,3,0)*0.475*44/12</f>
        <v>7.8240550817708332</v>
      </c>
      <c r="BR113" s="21">
        <f>EXP(-LN(2)/2)*BR112+(1-EXP(-LN(2)/2))/(LN(2)/2)*BL113*BO113*VLOOKUP('Données projet'!$B$11,Paramètres!$A$1:$I$89,3,0)*0.475*44/12</f>
        <v>2.3760119033372211</v>
      </c>
      <c r="BS113" s="22">
        <f t="shared" si="63"/>
        <v>15.387196416474342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-2.2737367544323206E-13</v>
      </c>
      <c r="BZ113" s="13">
        <f>BY113*VLOOKUP('Données projet'!$B$12,Paramètres!$A$1:$I$89,3,0)*VLOOKUP('Données projet'!$B$12,Paramètres!$A$1:$I$89,5,0)</f>
        <v>-1.3596945791505279E-13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373.61861223558259</v>
      </c>
      <c r="CE113" s="59">
        <f t="shared" si="94"/>
        <v>277.62293009761049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84.610503393558091</v>
      </c>
      <c r="CL113" s="21">
        <f>EXP(-LN(2)/25)*CL112+(1-EXP(-LN(2)/25))/(LN(2)/25)*Calculateur!CG113*Calculateur!CI113*VLOOKUP('Données projet'!$B$12,Paramètres!$A$1:$I$89,3,0)*0.475*44/12</f>
        <v>22.523046434775935</v>
      </c>
      <c r="CM113" s="21">
        <f>EXP(-LN(2)/2)*CM112+(1-EXP(-LN(2)/2))/(LN(2)/2)*CG113*CJ113*VLOOKUP('Données projet'!$B$12,Paramètres!$A$1:$I$89,3,0)*0.475*44/12</f>
        <v>2.1581006714236056E-3</v>
      </c>
      <c r="CN113" s="22">
        <f t="shared" si="66"/>
        <v>107.13570792900545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10.725999999999999</v>
      </c>
      <c r="N114" s="13">
        <f>IF('Données projet'!$A$36&gt;35,N113+M114-V113,IF(A114&lt;'Données projet'!$A$36,$K$205^A114,IF(A114='Données projet'!$A$36,'Données projet'!$B$36,N113+M114-V113)))</f>
        <v>468.46600000000012</v>
      </c>
      <c r="O114" s="13">
        <f>N114*VLOOKUP('Données projet'!$B$9,Paramètres!$A$1:$I$89,3,0)*VLOOKUP('Données projet'!$B$9,Paramètres!$A$1:$I$89,5,0)</f>
        <v>423.86803680000014</v>
      </c>
      <c r="P114" s="13">
        <f t="shared" si="87"/>
        <v>96.59910072492606</v>
      </c>
      <c r="Q114" s="20">
        <f t="shared" si="107"/>
        <v>906.48026452257966</v>
      </c>
      <c r="R114" s="59">
        <f t="shared" si="55"/>
        <v>1186.6736268172033</v>
      </c>
      <c r="S114" s="59">
        <f ca="1">AVERAGE(OFFSET($R$3,0,0,'Données projet'!$E$9+1,1))-AVERAGE(OFFSET($H$3,0,0,'Données projet'!$E$9+1,1))</f>
        <v>737.40414421611001</v>
      </c>
      <c r="T114" s="59">
        <f t="shared" si="88"/>
        <v>245.32893490531674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56.91843701242999</v>
      </c>
      <c r="AA114" s="21">
        <f>EXP(-LN(2)/25)*AA113+(1-EXP(-LN(2)/25))/(LN(2)/25)*Calculateur!V114*Calculateur!X114*VLOOKUP('Données projet'!$B$9,Paramètres!$A$1:$I$89,3,0)*0.475*44/12</f>
        <v>31.88002701846797</v>
      </c>
      <c r="AB114" s="21">
        <f>EXP(-LN(2)/2)*AB113+(1-EXP(-LN(2)/2))/(LN(2)/2)*V114*Y114*VLOOKUP('Données projet'!$B$9,Paramètres!$A$1:$I$89,3,0)*0.475*44/12</f>
        <v>4.2732280465510013E-3</v>
      </c>
      <c r="AC114" s="22">
        <f t="shared" si="57"/>
        <v>88.802737258944518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1.3999999999999773</v>
      </c>
      <c r="AJ114" s="13">
        <f>AI114*VLOOKUP('Données projet'!$B$10,Paramètres!$A$1:$I$89,3,0)*VLOOKUP('Données projet'!$B$10,Paramètres!$A$1:$I$89,5,0)</f>
        <v>0.83719999999998651</v>
      </c>
      <c r="AK114" s="13">
        <f t="shared" si="89"/>
        <v>0.39388003094446933</v>
      </c>
      <c r="AL114" s="20">
        <f t="shared" si="58"/>
        <v>2.144131053894927</v>
      </c>
      <c r="AM114" s="59">
        <f t="shared" si="59"/>
        <v>282.33749334851848</v>
      </c>
      <c r="AN114" s="59">
        <f ca="1">AVERAGE(OFFSET($AM$3,0,0,'Données projet'!$E$10+1,1))-AVERAGE(OFFSET($H$3,0,0,'Données projet'!$E$10+1,1))</f>
        <v>318.6615972007902</v>
      </c>
      <c r="AO114" s="59">
        <f t="shared" si="90"/>
        <v>326.82168950869504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50.382473453246106</v>
      </c>
      <c r="AV114" s="21">
        <f>EXP(-LN(2)/25)*AV113+(1-EXP(-LN(2)/25))/(LN(2)/25)*Calculateur!AQ114*Calculateur!AS114*VLOOKUP('Données projet'!$B$10,Paramètres!$A$1:$I$89,3,0)*0.475*44/12</f>
        <v>11.727446737949709</v>
      </c>
      <c r="AW114" s="21">
        <f>EXP(-LN(2)/2)*AW113+(1-EXP(-LN(2)/2))/(LN(2)/2)*AQ114*AT114*VLOOKUP('Données projet'!$B$10,Paramètres!$A$1:$I$89,3,0)*0.475*44/12</f>
        <v>1.2595331475429119E-6</v>
      </c>
      <c r="AX114" s="21">
        <f t="shared" si="60"/>
        <v>62.109921450728962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2.4</v>
      </c>
      <c r="BD114" s="12">
        <f>IF('Données projet'!$A$88&gt;35,BD113+BC114-BL113,IF(A114&lt;'Données projet'!$A$88,$BA$205^A114,IF(A114='Données projet'!$A$88,'Données projet'!$B$88,BD113+BC114-BL113)))</f>
        <v>244.39999999999998</v>
      </c>
      <c r="BE114" s="13">
        <f>BD114*VLOOKUP('Données projet'!$B$11,Paramètres!$A$1:$I$89,3,0)*VLOOKUP('Données projet'!$B$11,Paramètres!$A$1:$I$89,5,0)</f>
        <v>247.82159999999999</v>
      </c>
      <c r="BF114" s="13">
        <f t="shared" si="91"/>
        <v>60.119231945607574</v>
      </c>
      <c r="BG114" s="20">
        <f t="shared" si="61"/>
        <v>536.33028230526645</v>
      </c>
      <c r="BH114" s="59">
        <f t="shared" si="62"/>
        <v>816.52364459989008</v>
      </c>
      <c r="BI114" s="59">
        <f ca="1">AVERAGE(OFFSET($BH$3,0,0,'Données projet'!$E$11+1,1))-AVERAGE(OFFSET($H$3,0,0,'Données projet'!$E$11+1,1))</f>
        <v>402.96916953216805</v>
      </c>
      <c r="BJ114" s="59">
        <f t="shared" si="92"/>
        <v>164.89273051331318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5.0854129870537443</v>
      </c>
      <c r="BQ114" s="21">
        <f>EXP(-LN(2)/25)*BQ113+(1-EXP(-LN(2)/25))/(LN(2)/25)*Calculateur!BL114*Calculateur!BN114*VLOOKUP('Données projet'!$B$11,Paramètres!$A$1:$I$89,3,0)*0.475*44/12</f>
        <v>7.6101058841106353</v>
      </c>
      <c r="BR114" s="21">
        <f>EXP(-LN(2)/2)*BR113+(1-EXP(-LN(2)/2))/(LN(2)/2)*BL114*BO114*VLOOKUP('Données projet'!$B$11,Paramètres!$A$1:$I$89,3,0)*0.475*44/12</f>
        <v>1.6800941290297049</v>
      </c>
      <c r="BS114" s="22">
        <f t="shared" si="63"/>
        <v>14.375613000194084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-2.2737367544323206E-13</v>
      </c>
      <c r="BZ114" s="13">
        <f>BY114*VLOOKUP('Données projet'!$B$12,Paramètres!$A$1:$I$89,3,0)*VLOOKUP('Données projet'!$B$12,Paramètres!$A$1:$I$89,5,0)</f>
        <v>-1.3596945791505279E-13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373.61861223558259</v>
      </c>
      <c r="CE114" s="59">
        <f t="shared" si="94"/>
        <v>277.62293009761049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82.951343029321691</v>
      </c>
      <c r="CL114" s="21">
        <f>EXP(-LN(2)/25)*CL113+(1-EXP(-LN(2)/25))/(LN(2)/25)*Calculateur!CG114*Calculateur!CI114*VLOOKUP('Données projet'!$B$12,Paramètres!$A$1:$I$89,3,0)*0.475*44/12</f>
        <v>21.907152545581454</v>
      </c>
      <c r="CM114" s="21">
        <f>EXP(-LN(2)/2)*CM113+(1-EXP(-LN(2)/2))/(LN(2)/2)*CG114*CJ114*VLOOKUP('Données projet'!$B$12,Paramètres!$A$1:$I$89,3,0)*0.475*44/12</f>
        <v>1.5260076192468728E-3</v>
      </c>
      <c r="CN114" s="22">
        <f t="shared" si="66"/>
        <v>104.86002158252239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10.725999999999999</v>
      </c>
      <c r="N115" s="13">
        <f>IF('Données projet'!$A$36&gt;35,N114+M115-V114,IF(A115&lt;'Données projet'!$A$36,$K$205^A115,IF(A115='Données projet'!$A$36,'Données projet'!$B$36,N114+M115-V114)))</f>
        <v>479.19200000000012</v>
      </c>
      <c r="O115" s="13">
        <f>N115*VLOOKUP('Données projet'!$B$9,Paramètres!$A$1:$I$89,3,0)*VLOOKUP('Données projet'!$B$9,Paramètres!$A$1:$I$89,5,0)</f>
        <v>433.57292160000009</v>
      </c>
      <c r="P115" s="13">
        <f t="shared" si="87"/>
        <v>98.550806203987747</v>
      </c>
      <c r="Q115" s="20">
        <f t="shared" si="107"/>
        <v>926.78215925861196</v>
      </c>
      <c r="R115" s="59">
        <f t="shared" si="55"/>
        <v>1207.2034706741829</v>
      </c>
      <c r="S115" s="59">
        <f ca="1">AVERAGE(OFFSET($R$3,0,0,'Données projet'!$E$9+1,1))-AVERAGE(OFFSET($H$3,0,0,'Données projet'!$E$9+1,1))</f>
        <v>737.40414421611001</v>
      </c>
      <c r="T115" s="59">
        <f t="shared" si="88"/>
        <v>245.32893490531674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55.802301179434814</v>
      </c>
      <c r="AA115" s="21">
        <f>EXP(-LN(2)/25)*AA114+(1-EXP(-LN(2)/25))/(LN(2)/25)*Calculateur!V115*Calculateur!X115*VLOOKUP('Données projet'!$B$9,Paramètres!$A$1:$I$89,3,0)*0.475*44/12</f>
        <v>31.008266003150204</v>
      </c>
      <c r="AB115" s="21">
        <f>EXP(-LN(2)/2)*AB114+(1-EXP(-LN(2)/2))/(LN(2)/2)*V115*Y115*VLOOKUP('Données projet'!$B$9,Paramètres!$A$1:$I$89,3,0)*0.475*44/12</f>
        <v>3.0216285292727569E-3</v>
      </c>
      <c r="AC115" s="22">
        <f t="shared" si="57"/>
        <v>86.813588811114286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1.3999999999999773</v>
      </c>
      <c r="AJ115" s="13">
        <f>AI115*VLOOKUP('Données projet'!$B$10,Paramètres!$A$1:$I$89,3,0)*VLOOKUP('Données projet'!$B$10,Paramètres!$A$1:$I$89,5,0)</f>
        <v>0.83719999999998651</v>
      </c>
      <c r="AK115" s="13">
        <f t="shared" si="89"/>
        <v>0.39388003094446933</v>
      </c>
      <c r="AL115" s="20">
        <f t="shared" si="58"/>
        <v>2.144131053894927</v>
      </c>
      <c r="AM115" s="59">
        <f t="shared" si="59"/>
        <v>282.56544246946578</v>
      </c>
      <c r="AN115" s="59">
        <f ca="1">AVERAGE(OFFSET($AM$3,0,0,'Données projet'!$E$10+1,1))-AVERAGE(OFFSET($H$3,0,0,'Données projet'!$E$10+1,1))</f>
        <v>318.6615972007902</v>
      </c>
      <c r="AO115" s="59">
        <f t="shared" si="90"/>
        <v>326.82168950869504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49.394503879102395</v>
      </c>
      <c r="AV115" s="21">
        <f>EXP(-LN(2)/25)*AV114+(1-EXP(-LN(2)/25))/(LN(2)/25)*Calculateur!AQ115*Calculateur!AS115*VLOOKUP('Données projet'!$B$10,Paramètres!$A$1:$I$89,3,0)*0.475*44/12</f>
        <v>11.406759090180854</v>
      </c>
      <c r="AW115" s="21">
        <f>EXP(-LN(2)/2)*AW114+(1-EXP(-LN(2)/2))/(LN(2)/2)*AQ115*AT115*VLOOKUP('Données projet'!$B$10,Paramètres!$A$1:$I$89,3,0)*0.475*44/12</f>
        <v>8.9062442975682933E-7</v>
      </c>
      <c r="AX115" s="21">
        <f t="shared" si="60"/>
        <v>60.801263859907678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2.4</v>
      </c>
      <c r="BD115" s="12">
        <f>IF('Données projet'!$A$88&gt;35,BD114+BC115-BL114,IF(A115&lt;'Données projet'!$A$88,$BA$205^A115,IF(A115='Données projet'!$A$88,'Données projet'!$B$88,BD114+BC115-BL114)))</f>
        <v>246.79999999999998</v>
      </c>
      <c r="BE115" s="13">
        <f>BD115*VLOOKUP('Données projet'!$B$11,Paramètres!$A$1:$I$89,3,0)*VLOOKUP('Données projet'!$B$11,Paramètres!$A$1:$I$89,5,0)</f>
        <v>250.2552</v>
      </c>
      <c r="BF115" s="13">
        <f t="shared" si="91"/>
        <v>60.640584846028091</v>
      </c>
      <c r="BG115" s="20">
        <f t="shared" si="61"/>
        <v>541.47682527349889</v>
      </c>
      <c r="BH115" s="59">
        <f t="shared" si="62"/>
        <v>821.89813668906982</v>
      </c>
      <c r="BI115" s="59">
        <f ca="1">AVERAGE(OFFSET($BH$3,0,0,'Données projet'!$E$11+1,1))-AVERAGE(OFFSET($H$3,0,0,'Données projet'!$E$11+1,1))</f>
        <v>402.96916953216805</v>
      </c>
      <c r="BJ115" s="59">
        <f t="shared" si="92"/>
        <v>164.89273051331318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4.985691140173266</v>
      </c>
      <c r="BQ115" s="21">
        <f>EXP(-LN(2)/25)*BQ114+(1-EXP(-LN(2)/25))/(LN(2)/25)*Calculateur!BL115*Calculateur!BN115*VLOOKUP('Données projet'!$B$11,Paramètres!$A$1:$I$89,3,0)*0.475*44/12</f>
        <v>7.4020071385115545</v>
      </c>
      <c r="BR115" s="21">
        <f>EXP(-LN(2)/2)*BR114+(1-EXP(-LN(2)/2))/(LN(2)/2)*BL115*BO115*VLOOKUP('Données projet'!$B$11,Paramètres!$A$1:$I$89,3,0)*0.475*44/12</f>
        <v>1.1880059516686108</v>
      </c>
      <c r="BS115" s="22">
        <f t="shared" si="63"/>
        <v>13.575704230353431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-2.2737367544323206E-13</v>
      </c>
      <c r="BZ115" s="13">
        <f>BY115*VLOOKUP('Données projet'!$B$12,Paramètres!$A$1:$I$89,3,0)*VLOOKUP('Données projet'!$B$12,Paramètres!$A$1:$I$89,5,0)</f>
        <v>-1.3596945791505279E-13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373.61861223558259</v>
      </c>
      <c r="CE115" s="59">
        <f t="shared" si="94"/>
        <v>277.62293009761049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81.324717787840072</v>
      </c>
      <c r="CL115" s="21">
        <f>EXP(-LN(2)/25)*CL114+(1-EXP(-LN(2)/25))/(LN(2)/25)*Calculateur!CG115*Calculateur!CI115*VLOOKUP('Données projet'!$B$12,Paramètres!$A$1:$I$89,3,0)*0.475*44/12</f>
        <v>21.308100307175447</v>
      </c>
      <c r="CM115" s="21">
        <f>EXP(-LN(2)/2)*CM114+(1-EXP(-LN(2)/2))/(LN(2)/2)*CG115*CJ115*VLOOKUP('Données projet'!$B$12,Paramètres!$A$1:$I$89,3,0)*0.475*44/12</f>
        <v>1.0790503357118028E-3</v>
      </c>
      <c r="CN115" s="22">
        <f t="shared" si="66"/>
        <v>102.63389714535124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10.725999999999999</v>
      </c>
      <c r="N116" s="13">
        <f>IF('Données projet'!$A$36&gt;35,N115+M116-V115,IF(A116&lt;'Données projet'!$A$36,$K$205^A116,IF(A116='Données projet'!$A$36,'Données projet'!$B$36,N115+M116-V115)))</f>
        <v>489.91800000000012</v>
      </c>
      <c r="O116" s="13">
        <f>N116*VLOOKUP('Données projet'!$B$9,Paramètres!$A$1:$I$89,3,0)*VLOOKUP('Données projet'!$B$9,Paramètres!$A$1:$I$89,5,0)</f>
        <v>443.27780640000015</v>
      </c>
      <c r="P116" s="13">
        <f t="shared" si="87"/>
        <v>100.49743280031032</v>
      </c>
      <c r="Q116" s="20">
        <f t="shared" si="107"/>
        <v>947.07520827387407</v>
      </c>
      <c r="R116" s="59">
        <f t="shared" si="55"/>
        <v>1227.7205144027616</v>
      </c>
      <c r="S116" s="59">
        <f ca="1">AVERAGE(OFFSET($R$3,0,0,'Données projet'!$E$9+1,1))-AVERAGE(OFFSET($H$3,0,0,'Données projet'!$E$9+1,1))</f>
        <v>737.40414421611001</v>
      </c>
      <c r="T116" s="59">
        <f t="shared" si="88"/>
        <v>245.32893490531674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54.708052089349039</v>
      </c>
      <c r="AA116" s="21">
        <f>EXP(-LN(2)/25)*AA115+(1-EXP(-LN(2)/25))/(LN(2)/25)*Calculateur!V116*Calculateur!X116*VLOOKUP('Données projet'!$B$9,Paramètres!$A$1:$I$89,3,0)*0.475*44/12</f>
        <v>30.160343338640224</v>
      </c>
      <c r="AB116" s="21">
        <f>EXP(-LN(2)/2)*AB115+(1-EXP(-LN(2)/2))/(LN(2)/2)*V116*Y116*VLOOKUP('Données projet'!$B$9,Paramètres!$A$1:$I$89,3,0)*0.475*44/12</f>
        <v>2.1366140232755007E-3</v>
      </c>
      <c r="AC116" s="22">
        <f t="shared" si="57"/>
        <v>84.870532042012542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1.3999999999999773</v>
      </c>
      <c r="AJ116" s="13">
        <f>AI116*VLOOKUP('Données projet'!$B$10,Paramètres!$A$1:$I$89,3,0)*VLOOKUP('Données projet'!$B$10,Paramètres!$A$1:$I$89,5,0)</f>
        <v>0.83719999999998651</v>
      </c>
      <c r="AK116" s="13">
        <f t="shared" si="89"/>
        <v>0.39388003094446933</v>
      </c>
      <c r="AL116" s="20">
        <f t="shared" si="58"/>
        <v>2.144131053894927</v>
      </c>
      <c r="AM116" s="59">
        <f t="shared" si="59"/>
        <v>282.78943718278254</v>
      </c>
      <c r="AN116" s="59">
        <f ca="1">AVERAGE(OFFSET($AM$3,0,0,'Données projet'!$E$10+1,1))-AVERAGE(OFFSET($H$3,0,0,'Données projet'!$E$10+1,1))</f>
        <v>318.6615972007902</v>
      </c>
      <c r="AO116" s="59">
        <f t="shared" si="90"/>
        <v>326.82168950869504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48.425907785705704</v>
      </c>
      <c r="AV116" s="21">
        <f>EXP(-LN(2)/25)*AV115+(1-EXP(-LN(2)/25))/(LN(2)/25)*Calculateur!AQ116*Calculateur!AS116*VLOOKUP('Données projet'!$B$10,Paramètres!$A$1:$I$89,3,0)*0.475*44/12</f>
        <v>11.094840663004469</v>
      </c>
      <c r="AW116" s="21">
        <f>EXP(-LN(2)/2)*AW115+(1-EXP(-LN(2)/2))/(LN(2)/2)*AQ116*AT116*VLOOKUP('Données projet'!$B$10,Paramètres!$A$1:$I$89,3,0)*0.475*44/12</f>
        <v>6.2976657377145597E-7</v>
      </c>
      <c r="AX116" s="21">
        <f t="shared" si="60"/>
        <v>59.520749078476747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2.4</v>
      </c>
      <c r="BD116" s="12">
        <f>IF('Données projet'!$A$88&gt;35,BD115+BC116-BL115,IF(A116&lt;'Données projet'!$A$88,$BA$205^A116,IF(A116='Données projet'!$A$88,'Données projet'!$B$88,BD115+BC116-BL115)))</f>
        <v>249.2</v>
      </c>
      <c r="BE116" s="13">
        <f>BD116*VLOOKUP('Données projet'!$B$11,Paramètres!$A$1:$I$89,3,0)*VLOOKUP('Données projet'!$B$11,Paramètres!$A$1:$I$89,5,0)</f>
        <v>252.68879999999999</v>
      </c>
      <c r="BF116" s="13">
        <f t="shared" si="91"/>
        <v>61.161347936181826</v>
      </c>
      <c r="BG116" s="20">
        <f t="shared" si="61"/>
        <v>546.62234098884994</v>
      </c>
      <c r="BH116" s="59">
        <f t="shared" si="62"/>
        <v>827.26764711773762</v>
      </c>
      <c r="BI116" s="59">
        <f ca="1">AVERAGE(OFFSET($BH$3,0,0,'Données projet'!$E$11+1,1))-AVERAGE(OFFSET($H$3,0,0,'Données projet'!$E$11+1,1))</f>
        <v>402.96916953216805</v>
      </c>
      <c r="BJ116" s="59">
        <f t="shared" si="92"/>
        <v>164.89273051331318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4.887924777885793</v>
      </c>
      <c r="BQ116" s="21">
        <f>EXP(-LN(2)/25)*BQ115+(1-EXP(-LN(2)/25))/(LN(2)/25)*Calculateur!BL116*Calculateur!BN116*VLOOKUP('Données projet'!$B$11,Paramètres!$A$1:$I$89,3,0)*0.475*44/12</f>
        <v>7.1995988640543178</v>
      </c>
      <c r="BR116" s="21">
        <f>EXP(-LN(2)/2)*BR115+(1-EXP(-LN(2)/2))/(LN(2)/2)*BL116*BO116*VLOOKUP('Données projet'!$B$11,Paramètres!$A$1:$I$89,3,0)*0.475*44/12</f>
        <v>0.84004706451485256</v>
      </c>
      <c r="BS116" s="22">
        <f t="shared" si="63"/>
        <v>12.927570706454963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-2.2737367544323206E-13</v>
      </c>
      <c r="BZ116" s="13">
        <f>BY116*VLOOKUP('Données projet'!$B$12,Paramètres!$A$1:$I$89,3,0)*VLOOKUP('Données projet'!$B$12,Paramètres!$A$1:$I$89,5,0)</f>
        <v>-1.3596945791505279E-13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373.61861223558259</v>
      </c>
      <c r="CE116" s="59">
        <f t="shared" si="94"/>
        <v>277.62293009761049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79.729989675200471</v>
      </c>
      <c r="CL116" s="21">
        <f>EXP(-LN(2)/25)*CL115+(1-EXP(-LN(2)/25))/(LN(2)/25)*Calculateur!CG116*Calculateur!CI116*VLOOKUP('Données projet'!$B$12,Paramètres!$A$1:$I$89,3,0)*0.475*44/12</f>
        <v>20.725429183731439</v>
      </c>
      <c r="CM116" s="21">
        <f>EXP(-LN(2)/2)*CM115+(1-EXP(-LN(2)/2))/(LN(2)/2)*CG116*CJ116*VLOOKUP('Données projet'!$B$12,Paramètres!$A$1:$I$89,3,0)*0.475*44/12</f>
        <v>7.6300380962343638E-4</v>
      </c>
      <c r="CN116" s="22">
        <f t="shared" si="66"/>
        <v>100.45618186274153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10.725999999999999</v>
      </c>
      <c r="N117" s="13">
        <f>IF('Données projet'!$A$36&gt;35,N116+M117-V116,IF(A117&lt;'Données projet'!$A$36,$K$205^A117,IF(A117='Données projet'!$A$36,'Données projet'!$B$36,N116+M117-V116)))</f>
        <v>500.64400000000012</v>
      </c>
      <c r="O117" s="13">
        <f>N117*VLOOKUP('Données projet'!$B$9,Paramètres!$A$1:$I$89,3,0)*VLOOKUP('Données projet'!$B$9,Paramètres!$A$1:$I$89,5,0)</f>
        <v>452.98269120000009</v>
      </c>
      <c r="P117" s="13">
        <f t="shared" si="87"/>
        <v>102.43910451319562</v>
      </c>
      <c r="Q117" s="20">
        <f t="shared" si="107"/>
        <v>967.35962753381591</v>
      </c>
      <c r="R117" s="59">
        <f t="shared" si="55"/>
        <v>1248.2250425685213</v>
      </c>
      <c r="S117" s="59">
        <f ca="1">AVERAGE(OFFSET($R$3,0,0,'Données projet'!$E$9+1,1))-AVERAGE(OFFSET($H$3,0,0,'Données projet'!$E$9+1,1))</f>
        <v>737.40414421611001</v>
      </c>
      <c r="T117" s="59">
        <f t="shared" si="88"/>
        <v>245.32893490531674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53.635260556493805</v>
      </c>
      <c r="AA117" s="21">
        <f>EXP(-LN(2)/25)*AA116+(1-EXP(-LN(2)/25))/(LN(2)/25)*Calculateur!V117*Calculateur!X117*VLOOKUP('Données projet'!$B$9,Paramètres!$A$1:$I$89,3,0)*0.475*44/12</f>
        <v>29.335607163981585</v>
      </c>
      <c r="AB117" s="21">
        <f>EXP(-LN(2)/2)*AB116+(1-EXP(-LN(2)/2))/(LN(2)/2)*V117*Y117*VLOOKUP('Données projet'!$B$9,Paramètres!$A$1:$I$89,3,0)*0.475*44/12</f>
        <v>1.5108142646363784E-3</v>
      </c>
      <c r="AC117" s="22">
        <f t="shared" si="57"/>
        <v>82.972378534740017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1.3999999999999773</v>
      </c>
      <c r="AJ117" s="13">
        <f>AI117*VLOOKUP('Données projet'!$B$10,Paramètres!$A$1:$I$89,3,0)*VLOOKUP('Données projet'!$B$10,Paramètres!$A$1:$I$89,5,0)</f>
        <v>0.83719999999998651</v>
      </c>
      <c r="AK117" s="13">
        <f t="shared" si="89"/>
        <v>0.39388003094446933</v>
      </c>
      <c r="AL117" s="20">
        <f t="shared" si="58"/>
        <v>2.144131053894927</v>
      </c>
      <c r="AM117" s="59">
        <f t="shared" si="59"/>
        <v>283.00954608860036</v>
      </c>
      <c r="AN117" s="59">
        <f ca="1">AVERAGE(OFFSET($AM$3,0,0,'Données projet'!$E$10+1,1))-AVERAGE(OFFSET($H$3,0,0,'Données projet'!$E$10+1,1))</f>
        <v>318.6615972007902</v>
      </c>
      <c r="AO117" s="59">
        <f t="shared" si="90"/>
        <v>326.82168950869504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47.47630527091524</v>
      </c>
      <c r="AV117" s="21">
        <f>EXP(-LN(2)/25)*AV116+(1-EXP(-LN(2)/25))/(LN(2)/25)*Calculateur!AQ117*Calculateur!AS117*VLOOKUP('Données projet'!$B$10,Paramètres!$A$1:$I$89,3,0)*0.475*44/12</f>
        <v>10.791451661622299</v>
      </c>
      <c r="AW117" s="21">
        <f>EXP(-LN(2)/2)*AW116+(1-EXP(-LN(2)/2))/(LN(2)/2)*AQ117*AT117*VLOOKUP('Données projet'!$B$10,Paramètres!$A$1:$I$89,3,0)*0.475*44/12</f>
        <v>4.4531221487841466E-7</v>
      </c>
      <c r="AX117" s="21">
        <f t="shared" si="60"/>
        <v>58.267757377849755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2.4</v>
      </c>
      <c r="BD117" s="12">
        <f>IF('Données projet'!$A$88&gt;35,BD116+BC117-BL116,IF(A117&lt;'Données projet'!$A$88,$BA$205^A117,IF(A117='Données projet'!$A$88,'Données projet'!$B$88,BD116+BC117-BL116)))</f>
        <v>251.6</v>
      </c>
      <c r="BE117" s="13">
        <f>BD117*VLOOKUP('Données projet'!$B$11,Paramètres!$A$1:$I$89,3,0)*VLOOKUP('Données projet'!$B$11,Paramètres!$A$1:$I$89,5,0)</f>
        <v>255.1224</v>
      </c>
      <c r="BF117" s="13">
        <f t="shared" si="91"/>
        <v>61.6815275542615</v>
      </c>
      <c r="BG117" s="20">
        <f t="shared" si="61"/>
        <v>551.76684049033884</v>
      </c>
      <c r="BH117" s="59">
        <f t="shared" si="62"/>
        <v>832.63225552504423</v>
      </c>
      <c r="BI117" s="59">
        <f ca="1">AVERAGE(OFFSET($BH$3,0,0,'Données projet'!$E$11+1,1))-AVERAGE(OFFSET($H$3,0,0,'Données projet'!$E$11+1,1))</f>
        <v>402.96916953216805</v>
      </c>
      <c r="BJ117" s="59">
        <f t="shared" si="92"/>
        <v>164.89273051331318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4.7920755543311842</v>
      </c>
      <c r="BQ117" s="21">
        <f>EXP(-LN(2)/25)*BQ116+(1-EXP(-LN(2)/25))/(LN(2)/25)*Calculateur!BL117*Calculateur!BN117*VLOOKUP('Données projet'!$B$11,Paramètres!$A$1:$I$89,3,0)*0.475*44/12</f>
        <v>7.0027254545063036</v>
      </c>
      <c r="BR117" s="21">
        <f>EXP(-LN(2)/2)*BR116+(1-EXP(-LN(2)/2))/(LN(2)/2)*BL117*BO117*VLOOKUP('Données projet'!$B$11,Paramètres!$A$1:$I$89,3,0)*0.475*44/12</f>
        <v>0.5940029758343055</v>
      </c>
      <c r="BS117" s="22">
        <f t="shared" si="63"/>
        <v>12.388803984671794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-2.2737367544323206E-13</v>
      </c>
      <c r="BZ117" s="13">
        <f>BY117*VLOOKUP('Données projet'!$B$12,Paramètres!$A$1:$I$89,3,0)*VLOOKUP('Données projet'!$B$12,Paramètres!$A$1:$I$89,5,0)</f>
        <v>-1.3596945791505279E-13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373.61861223558259</v>
      </c>
      <c r="CE117" s="59">
        <f t="shared" si="94"/>
        <v>277.62293009761049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78.166533208161624</v>
      </c>
      <c r="CL117" s="21">
        <f>EXP(-LN(2)/25)*CL116+(1-EXP(-LN(2)/25))/(LN(2)/25)*Calculateur!CG117*Calculateur!CI117*VLOOKUP('Données projet'!$B$12,Paramètres!$A$1:$I$89,3,0)*0.475*44/12</f>
        <v>20.158691232799352</v>
      </c>
      <c r="CM117" s="21">
        <f>EXP(-LN(2)/2)*CM116+(1-EXP(-LN(2)/2))/(LN(2)/2)*CG117*CJ117*VLOOKUP('Données projet'!$B$12,Paramètres!$A$1:$I$89,3,0)*0.475*44/12</f>
        <v>5.3952516785590139E-4</v>
      </c>
      <c r="CN117" s="22">
        <f t="shared" si="66"/>
        <v>98.325763966128832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10.725999999999999</v>
      </c>
      <c r="N118" s="13">
        <f>IF('Données projet'!$A$36&gt;35,N117+M118-V117,IF(A118&lt;'Données projet'!$A$36,$K$205^A118,IF(A118='Données projet'!$A$36,'Données projet'!$B$36,N117+M118-V117)))</f>
        <v>511.37000000000012</v>
      </c>
      <c r="O118" s="13">
        <f>N118*VLOOKUP('Données projet'!$B$9,Paramètres!$A$1:$I$89,3,0)*VLOOKUP('Données projet'!$B$9,Paramètres!$A$1:$I$89,5,0)</f>
        <v>462.68757600000015</v>
      </c>
      <c r="P118" s="13">
        <f t="shared" si="87"/>
        <v>104.37593972520772</v>
      </c>
      <c r="Q118" s="20">
        <f t="shared" si="107"/>
        <v>987.63562322140353</v>
      </c>
      <c r="R118" s="59">
        <f t="shared" si="55"/>
        <v>1268.7173287645007</v>
      </c>
      <c r="S118" s="59">
        <f ca="1">AVERAGE(OFFSET($R$3,0,0,'Données projet'!$E$9+1,1))-AVERAGE(OFFSET($H$3,0,0,'Données projet'!$E$9+1,1))</f>
        <v>737.40414421611001</v>
      </c>
      <c r="T118" s="59">
        <f t="shared" si="88"/>
        <v>245.32893490531674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52.583505811259634</v>
      </c>
      <c r="AA118" s="21">
        <f>EXP(-LN(2)/25)*AA117+(1-EXP(-LN(2)/25))/(LN(2)/25)*Calculateur!V118*Calculateur!X118*VLOOKUP('Données projet'!$B$9,Paramètres!$A$1:$I$89,3,0)*0.475*44/12</f>
        <v>28.533423443389974</v>
      </c>
      <c r="AB118" s="21">
        <f>EXP(-LN(2)/2)*AB117+(1-EXP(-LN(2)/2))/(LN(2)/2)*V118*Y118*VLOOKUP('Données projet'!$B$9,Paramètres!$A$1:$I$89,3,0)*0.475*44/12</f>
        <v>1.0683070116377503E-3</v>
      </c>
      <c r="AC118" s="22">
        <f t="shared" si="57"/>
        <v>81.117997561661241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1.3999999999999773</v>
      </c>
      <c r="AJ118" s="13">
        <f>AI118*VLOOKUP('Données projet'!$B$10,Paramètres!$A$1:$I$89,3,0)*VLOOKUP('Données projet'!$B$10,Paramètres!$A$1:$I$89,5,0)</f>
        <v>0.83719999999998651</v>
      </c>
      <c r="AK118" s="13">
        <f t="shared" si="89"/>
        <v>0.39388003094446933</v>
      </c>
      <c r="AL118" s="20">
        <f t="shared" si="58"/>
        <v>2.144131053894927</v>
      </c>
      <c r="AM118" s="59">
        <f t="shared" si="59"/>
        <v>283.22583659699217</v>
      </c>
      <c r="AN118" s="59">
        <f ca="1">AVERAGE(OFFSET($AM$3,0,0,'Données projet'!$E$10+1,1))-AVERAGE(OFFSET($H$3,0,0,'Données projet'!$E$10+1,1))</f>
        <v>318.6615972007902</v>
      </c>
      <c r="AO118" s="59">
        <f t="shared" si="90"/>
        <v>326.82168950869504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46.545323882239472</v>
      </c>
      <c r="AV118" s="21">
        <f>EXP(-LN(2)/25)*AV117+(1-EXP(-LN(2)/25))/(LN(2)/25)*Calculateur!AQ118*Calculateur!AS118*VLOOKUP('Données projet'!$B$10,Paramètres!$A$1:$I$89,3,0)*0.475*44/12</f>
        <v>10.496358848437458</v>
      </c>
      <c r="AW118" s="21">
        <f>EXP(-LN(2)/2)*AW117+(1-EXP(-LN(2)/2))/(LN(2)/2)*AQ118*AT118*VLOOKUP('Données projet'!$B$10,Paramètres!$A$1:$I$89,3,0)*0.475*44/12</f>
        <v>3.1488328688572799E-7</v>
      </c>
      <c r="AX118" s="21">
        <f t="shared" si="60"/>
        <v>57.04168304556022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>
        <f>VLOOKUP(A118,'Données projet'!$A$87:$I$107,2,0)</f>
        <v>254</v>
      </c>
      <c r="BB118" s="12">
        <f>VLOOKUP(A118,'Données projet'!$A$87:$I$107,9,0)</f>
        <v>2.4</v>
      </c>
      <c r="BC118" s="12">
        <f t="array" ref="BC118">INDEX(BB:BB,MIN(IF(ISNUMBER(BB118:BB314),ROW(BB118:BB314),"")))</f>
        <v>2.4</v>
      </c>
      <c r="BD118" s="12">
        <f>IF('Données projet'!$A$88&gt;35,BD117+BC118-BL117,IF(A118&lt;'Données projet'!$A$88,$BA$205^A118,IF(A118='Données projet'!$A$88,'Données projet'!$B$88,BD117+BC118-BL117)))</f>
        <v>254</v>
      </c>
      <c r="BE118" s="13">
        <f>BD118*VLOOKUP('Données projet'!$B$11,Paramètres!$A$1:$I$89,3,0)*VLOOKUP('Données projet'!$B$11,Paramètres!$A$1:$I$89,5,0)</f>
        <v>257.55599999999998</v>
      </c>
      <c r="BF118" s="13">
        <f t="shared" si="91"/>
        <v>62.201129910568184</v>
      </c>
      <c r="BG118" s="20">
        <f t="shared" si="61"/>
        <v>556.91033459423954</v>
      </c>
      <c r="BH118" s="59">
        <f t="shared" si="62"/>
        <v>837.99204013733674</v>
      </c>
      <c r="BI118" s="59">
        <f ca="1">AVERAGE(OFFSET($BH$3,0,0,'Données projet'!$E$11+1,1))-AVERAGE(OFFSET($H$3,0,0,'Données projet'!$E$11+1,1))</f>
        <v>402.96916953216805</v>
      </c>
      <c r="BJ118" s="59">
        <f t="shared" si="92"/>
        <v>164.89273051331318</v>
      </c>
      <c r="BK118" s="15">
        <f>IF(ISNA(VLOOKUP(A118,'Données projet'!$A$87:$I$107,3,0)),0,VLOOKUP(A118,'Données projet'!$A$87:$I$107,3,0))</f>
        <v>17</v>
      </c>
      <c r="BL118" s="15">
        <f>IF(ISNA(VLOOKUP(A118,'Données projet'!$A$87:$I$107,4,0)),0,VLOOKUP(A118,'Données projet'!$A$87:$I$107,4,0))</f>
        <v>8</v>
      </c>
      <c r="BM118" s="16">
        <f>IF(ISNA(VLOOKUP(A118,'Données projet'!$A$87:$I$107,5,0)),0%,VLOOKUP(A118,'Données projet'!$A$87:$I$107,5,0)*VLOOKUP('Données projet'!$B$11,Paramètres!$A$1:$I$89,7,0))</f>
        <v>0.1075</v>
      </c>
      <c r="BN118" s="16">
        <f>IF(ISNA(VLOOKUP(A118,'Données projet'!$A$87:$I$107,6,0)),0%,VLOOKUP(A118,'Données projet'!$A$87:$I$107,6,0)*VLOOKUP('Données projet'!$B$11,Paramètres!$A$1:$I$89,7,0))</f>
        <v>0.1075</v>
      </c>
      <c r="BO118" s="16">
        <f>IF(ISNA(VLOOKUP(A118,'Données projet'!$A$87:$I$107,7,0)),0%,VLOOKUP(A118,'Données projet'!$A$87:$I$107,7,0))</f>
        <v>0.25</v>
      </c>
      <c r="BP118" s="21">
        <f>EXP(-LN(2)/35)*BP117+(1-EXP(-LN(2)/35))/(LN(2)/35)*BL118*BM118*VLOOKUP('Données projet'!$B$11,Paramètres!$A$1:$I$89,3,0)*0.475*44/12</f>
        <v>5.6621202653561413</v>
      </c>
      <c r="BQ118" s="21">
        <f>EXP(-LN(2)/25)*BQ117+(1-EXP(-LN(2)/25))/(LN(2)/25)*Calculateur!BL118*Calculateur!BN118*VLOOKUP('Données projet'!$B$11,Paramètres!$A$1:$I$89,3,0)*0.475*44/12</f>
        <v>7.7714542564926203</v>
      </c>
      <c r="BR118" s="21">
        <f>EXP(-LN(2)/2)*BR117+(1-EXP(-LN(2)/2))/(LN(2)/2)*BL118*BO118*VLOOKUP('Données projet'!$B$11,Paramètres!$A$1:$I$89,3,0)*0.475*44/12</f>
        <v>2.3334961150771534</v>
      </c>
      <c r="BS118" s="22">
        <f t="shared" si="63"/>
        <v>15.767070636925915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-2.2737367544323206E-13</v>
      </c>
      <c r="BZ118" s="13">
        <f>BY118*VLOOKUP('Données projet'!$B$12,Paramètres!$A$1:$I$89,3,0)*VLOOKUP('Données projet'!$B$12,Paramètres!$A$1:$I$89,5,0)</f>
        <v>-1.3596945791505279E-13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373.61861223558259</v>
      </c>
      <c r="CE118" s="59">
        <f t="shared" si="94"/>
        <v>277.62293009761049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76.63373516882713</v>
      </c>
      <c r="CL118" s="21">
        <f>EXP(-LN(2)/25)*CL117+(1-EXP(-LN(2)/25))/(LN(2)/25)*Calculateur!CG118*Calculateur!CI118*VLOOKUP('Données projet'!$B$12,Paramètres!$A$1:$I$89,3,0)*0.475*44/12</f>
        <v>19.607450760938956</v>
      </c>
      <c r="CM118" s="21">
        <f>EXP(-LN(2)/2)*CM117+(1-EXP(-LN(2)/2))/(LN(2)/2)*CG118*CJ118*VLOOKUP('Données projet'!$B$12,Paramètres!$A$1:$I$89,3,0)*0.475*44/12</f>
        <v>3.8150190481171819E-4</v>
      </c>
      <c r="CN118" s="22">
        <f t="shared" si="66"/>
        <v>96.241567431670902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10.725999999999999</v>
      </c>
      <c r="N119" s="13">
        <f>IF('Données projet'!$A$36&gt;35,N118+M119-V118,IF(A119&lt;'Données projet'!$A$36,$K$205^A119,IF(A119='Données projet'!$A$36,'Données projet'!$B$36,N118+M119-V118)))</f>
        <v>522.09600000000012</v>
      </c>
      <c r="O119" s="13">
        <f>N119*VLOOKUP('Données projet'!$B$9,Paramètres!$A$1:$I$89,3,0)*VLOOKUP('Données projet'!$B$9,Paramètres!$A$1:$I$89,5,0)</f>
        <v>472.39246080000009</v>
      </c>
      <c r="P119" s="13">
        <f t="shared" si="87"/>
        <v>106.30805156897928</v>
      </c>
      <c r="Q119" s="20">
        <f t="shared" si="107"/>
        <v>1007.9033923759724</v>
      </c>
      <c r="R119" s="59">
        <f t="shared" si="55"/>
        <v>1289.1976362706939</v>
      </c>
      <c r="S119" s="59">
        <f ca="1">AVERAGE(OFFSET($R$3,0,0,'Données projet'!$E$9+1,1))-AVERAGE(OFFSET($H$3,0,0,'Données projet'!$E$9+1,1))</f>
        <v>737.40414421611001</v>
      </c>
      <c r="T119" s="59">
        <f t="shared" si="88"/>
        <v>245.32893490531674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51.552375335072455</v>
      </c>
      <c r="AA119" s="21">
        <f>EXP(-LN(2)/25)*AA118+(1-EXP(-LN(2)/25))/(LN(2)/25)*Calculateur!V119*Calculateur!X119*VLOOKUP('Données projet'!$B$9,Paramètres!$A$1:$I$89,3,0)*0.475*44/12</f>
        <v>27.75317547882295</v>
      </c>
      <c r="AB119" s="21">
        <f>EXP(-LN(2)/2)*AB118+(1-EXP(-LN(2)/2))/(LN(2)/2)*V119*Y119*VLOOKUP('Données projet'!$B$9,Paramètres!$A$1:$I$89,3,0)*0.475*44/12</f>
        <v>7.5540713231818921E-4</v>
      </c>
      <c r="AC119" s="22">
        <f t="shared" si="57"/>
        <v>79.306306221027725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1.3999999999999773</v>
      </c>
      <c r="AJ119" s="13">
        <f>AI119*VLOOKUP('Données projet'!$B$10,Paramètres!$A$1:$I$89,3,0)*VLOOKUP('Données projet'!$B$10,Paramètres!$A$1:$I$89,5,0)</f>
        <v>0.83719999999998651</v>
      </c>
      <c r="AK119" s="13">
        <f t="shared" si="89"/>
        <v>0.39388003094446933</v>
      </c>
      <c r="AL119" s="20">
        <f t="shared" si="58"/>
        <v>2.144131053894927</v>
      </c>
      <c r="AM119" s="59">
        <f t="shared" si="59"/>
        <v>283.4383749486164</v>
      </c>
      <c r="AN119" s="59">
        <f ca="1">AVERAGE(OFFSET($AM$3,0,0,'Données projet'!$E$10+1,1))-AVERAGE(OFFSET($H$3,0,0,'Données projet'!$E$10+1,1))</f>
        <v>318.6615972007902</v>
      </c>
      <c r="AO119" s="59">
        <f t="shared" si="90"/>
        <v>326.82168950869504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45.632598470753059</v>
      </c>
      <c r="AV119" s="21">
        <f>EXP(-LN(2)/25)*AV118+(1-EXP(-LN(2)/25))/(LN(2)/25)*Calculateur!AQ119*Calculateur!AS119*VLOOKUP('Données projet'!$B$10,Paramètres!$A$1:$I$89,3,0)*0.475*44/12</f>
        <v>10.209335363747414</v>
      </c>
      <c r="AW119" s="21">
        <f>EXP(-LN(2)/2)*AW118+(1-EXP(-LN(2)/2))/(LN(2)/2)*AQ119*AT119*VLOOKUP('Données projet'!$B$10,Paramètres!$A$1:$I$89,3,0)*0.475*44/12</f>
        <v>2.2265610743920733E-7</v>
      </c>
      <c r="AX119" s="21">
        <f t="shared" si="60"/>
        <v>55.841934057156578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2.6</v>
      </c>
      <c r="BD119" s="12">
        <f>IF('Données projet'!$A$88&gt;35,BD118+BC119-BL118,IF(A119&lt;'Données projet'!$A$88,$BA$205^A119,IF(A119='Données projet'!$A$88,'Données projet'!$B$88,BD118+BC119-BL118)))</f>
        <v>248.60000000000002</v>
      </c>
      <c r="BE119" s="13">
        <f>BD119*VLOOKUP('Données projet'!$B$11,Paramètres!$A$1:$I$89,3,0)*VLOOKUP('Données projet'!$B$11,Paramètres!$A$1:$I$89,5,0)</f>
        <v>252.08040000000005</v>
      </c>
      <c r="BF119" s="13">
        <f t="shared" si="91"/>
        <v>61.031212109520752</v>
      </c>
      <c r="BG119" s="20">
        <f t="shared" si="61"/>
        <v>545.33605775741535</v>
      </c>
      <c r="BH119" s="59">
        <f t="shared" si="62"/>
        <v>826.63030165213684</v>
      </c>
      <c r="BI119" s="59">
        <f ca="1">AVERAGE(OFFSET($BH$3,0,0,'Données projet'!$E$11+1,1))-AVERAGE(OFFSET($H$3,0,0,'Données projet'!$E$11+1,1))</f>
        <v>402.96916953216805</v>
      </c>
      <c r="BJ119" s="59">
        <f t="shared" si="92"/>
        <v>164.89273051331318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5.5510895405048597</v>
      </c>
      <c r="BQ119" s="21">
        <f>EXP(-LN(2)/25)*BQ118+(1-EXP(-LN(2)/25))/(LN(2)/25)*Calculateur!BL119*Calculateur!BN119*VLOOKUP('Données projet'!$B$11,Paramètres!$A$1:$I$89,3,0)*0.475*44/12</f>
        <v>7.5589434311658126</v>
      </c>
      <c r="BR119" s="21">
        <f>EXP(-LN(2)/2)*BR118+(1-EXP(-LN(2)/2))/(LN(2)/2)*BL119*BO119*VLOOKUP('Données projet'!$B$11,Paramètres!$A$1:$I$89,3,0)*0.475*44/12</f>
        <v>1.6500309268435196</v>
      </c>
      <c r="BS119" s="22">
        <f t="shared" si="63"/>
        <v>14.760063898514193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-2.2737367544323206E-13</v>
      </c>
      <c r="BZ119" s="13">
        <f>BY119*VLOOKUP('Données projet'!$B$12,Paramètres!$A$1:$I$89,3,0)*VLOOKUP('Données projet'!$B$12,Paramètres!$A$1:$I$89,5,0)</f>
        <v>-1.3596945791505279E-13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373.61861223558259</v>
      </c>
      <c r="CE119" s="59">
        <f t="shared" si="94"/>
        <v>277.62293009761049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75.130994364129492</v>
      </c>
      <c r="CL119" s="21">
        <f>EXP(-LN(2)/25)*CL118+(1-EXP(-LN(2)/25))/(LN(2)/25)*Calculateur!CG119*Calculateur!CI119*VLOOKUP('Données projet'!$B$12,Paramètres!$A$1:$I$89,3,0)*0.475*44/12</f>
        <v>19.071283988770059</v>
      </c>
      <c r="CM119" s="21">
        <f>EXP(-LN(2)/2)*CM118+(1-EXP(-LN(2)/2))/(LN(2)/2)*CG119*CJ119*VLOOKUP('Données projet'!$B$12,Paramètres!$A$1:$I$89,3,0)*0.475*44/12</f>
        <v>2.6976258392795069E-4</v>
      </c>
      <c r="CN119" s="22">
        <f t="shared" si="66"/>
        <v>94.202548115483481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10.725999999999999</v>
      </c>
      <c r="N120" s="13">
        <f>IF('Données projet'!$A$36&gt;35,N119+M120-V119,IF(A120&lt;'Données projet'!$A$36,$K$205^A120,IF(A120='Données projet'!$A$36,'Données projet'!$B$36,N119+M120-V119)))</f>
        <v>532.82200000000012</v>
      </c>
      <c r="O120" s="13">
        <f>N120*VLOOKUP('Données projet'!$B$9,Paramètres!$A$1:$I$89,3,0)*VLOOKUP('Données projet'!$B$9,Paramètres!$A$1:$I$89,5,0)</f>
        <v>482.09734560000015</v>
      </c>
      <c r="P120" s="13">
        <f t="shared" si="87"/>
        <v>108.23554826302497</v>
      </c>
      <c r="Q120" s="20">
        <f t="shared" si="107"/>
        <v>1028.1631234781019</v>
      </c>
      <c r="R120" s="59">
        <f t="shared" si="55"/>
        <v>1309.6662186592116</v>
      </c>
      <c r="S120" s="59">
        <f ca="1">AVERAGE(OFFSET($R$3,0,0,'Données projet'!$E$9+1,1))-AVERAGE(OFFSET($H$3,0,0,'Données projet'!$E$9+1,1))</f>
        <v>737.40414421611001</v>
      </c>
      <c r="T120" s="59">
        <f t="shared" si="88"/>
        <v>245.32893490531674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50.541464698595817</v>
      </c>
      <c r="AA120" s="21">
        <f>EXP(-LN(2)/25)*AA119+(1-EXP(-LN(2)/25))/(LN(2)/25)*Calculateur!V120*Calculateur!X120*VLOOKUP('Données projet'!$B$9,Paramètres!$A$1:$I$89,3,0)*0.475*44/12</f>
        <v>26.994263435878469</v>
      </c>
      <c r="AB120" s="21">
        <f>EXP(-LN(2)/2)*AB119+(1-EXP(-LN(2)/2))/(LN(2)/2)*V120*Y120*VLOOKUP('Données projet'!$B$9,Paramètres!$A$1:$I$89,3,0)*0.475*44/12</f>
        <v>5.3415350581887517E-4</v>
      </c>
      <c r="AC120" s="22">
        <f t="shared" si="57"/>
        <v>77.536262287980108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1.3999999999999773</v>
      </c>
      <c r="AJ120" s="13">
        <f>AI120*VLOOKUP('Données projet'!$B$10,Paramètres!$A$1:$I$89,3,0)*VLOOKUP('Données projet'!$B$10,Paramètres!$A$1:$I$89,5,0)</f>
        <v>0.83719999999998651</v>
      </c>
      <c r="AK120" s="13">
        <f t="shared" si="89"/>
        <v>0.39388003094446933</v>
      </c>
      <c r="AL120" s="20">
        <f t="shared" si="58"/>
        <v>2.144131053894927</v>
      </c>
      <c r="AM120" s="59">
        <f t="shared" si="59"/>
        <v>283.64722623500455</v>
      </c>
      <c r="AN120" s="59">
        <f ca="1">AVERAGE(OFFSET($AM$3,0,0,'Données projet'!$E$10+1,1))-AVERAGE(OFFSET($H$3,0,0,'Données projet'!$E$10+1,1))</f>
        <v>318.6615972007902</v>
      </c>
      <c r="AO120" s="59">
        <f t="shared" si="90"/>
        <v>326.82168950869504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44.737771047878368</v>
      </c>
      <c r="AV120" s="21">
        <f>EXP(-LN(2)/25)*AV119+(1-EXP(-LN(2)/25))/(LN(2)/25)*Calculateur!AQ120*Calculateur!AS120*VLOOKUP('Données projet'!$B$10,Paramètres!$A$1:$I$89,3,0)*0.475*44/12</f>
        <v>9.9301605513401281</v>
      </c>
      <c r="AW120" s="21">
        <f>EXP(-LN(2)/2)*AW119+(1-EXP(-LN(2)/2))/(LN(2)/2)*AQ120*AT120*VLOOKUP('Données projet'!$B$10,Paramètres!$A$1:$I$89,3,0)*0.475*44/12</f>
        <v>1.5744164344286399E-7</v>
      </c>
      <c r="AX120" s="21">
        <f t="shared" si="60"/>
        <v>54.667931756660138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2.6</v>
      </c>
      <c r="BD120" s="12">
        <f>IF('Données projet'!$A$88&gt;35,BD119+BC120-BL119,IF(A120&lt;'Données projet'!$A$88,$BA$205^A120,IF(A120='Données projet'!$A$88,'Données projet'!$B$88,BD119+BC120-BL119)))</f>
        <v>251.20000000000002</v>
      </c>
      <c r="BE120" s="13">
        <f>BD120*VLOOKUP('Données projet'!$B$11,Paramètres!$A$1:$I$89,3,0)*VLOOKUP('Données projet'!$B$11,Paramètres!$A$1:$I$89,5,0)</f>
        <v>254.71680000000006</v>
      </c>
      <c r="BF120" s="13">
        <f t="shared" si="91"/>
        <v>61.594871205031588</v>
      </c>
      <c r="BG120" s="20">
        <f t="shared" si="61"/>
        <v>550.90949401543014</v>
      </c>
      <c r="BH120" s="59">
        <f t="shared" si="62"/>
        <v>832.41258919653978</v>
      </c>
      <c r="BI120" s="59">
        <f ca="1">AVERAGE(OFFSET($BH$3,0,0,'Données projet'!$E$11+1,1))-AVERAGE(OFFSET($H$3,0,0,'Données projet'!$E$11+1,1))</f>
        <v>402.96916953216805</v>
      </c>
      <c r="BJ120" s="59">
        <f t="shared" si="92"/>
        <v>164.89273051331318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5.4422360604458557</v>
      </c>
      <c r="BQ120" s="21">
        <f>EXP(-LN(2)/25)*BQ119+(1-EXP(-LN(2)/25))/(LN(2)/25)*Calculateur!BL120*Calculateur!BN120*VLOOKUP('Données projet'!$B$11,Paramètres!$A$1:$I$89,3,0)*0.475*44/12</f>
        <v>7.3522437255330244</v>
      </c>
      <c r="BR120" s="21">
        <f>EXP(-LN(2)/2)*BR119+(1-EXP(-LN(2)/2))/(LN(2)/2)*BL120*BO120*VLOOKUP('Données projet'!$B$11,Paramètres!$A$1:$I$89,3,0)*0.475*44/12</f>
        <v>1.1667480575385769</v>
      </c>
      <c r="BS120" s="22">
        <f t="shared" si="63"/>
        <v>13.961227843517456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-2.2737367544323206E-13</v>
      </c>
      <c r="BZ120" s="13">
        <f>BY120*VLOOKUP('Données projet'!$B$12,Paramètres!$A$1:$I$89,3,0)*VLOOKUP('Données projet'!$B$12,Paramètres!$A$1:$I$89,5,0)</f>
        <v>-1.3596945791505279E-13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373.61861223558259</v>
      </c>
      <c r="CE120" s="59">
        <f t="shared" si="94"/>
        <v>277.62293009761049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73.657721390030588</v>
      </c>
      <c r="CL120" s="21">
        <f>EXP(-LN(2)/25)*CL119+(1-EXP(-LN(2)/25))/(LN(2)/25)*Calculateur!CG120*Calculateur!CI120*VLOOKUP('Données projet'!$B$12,Paramètres!$A$1:$I$89,3,0)*0.475*44/12</f>
        <v>18.549778725181906</v>
      </c>
      <c r="CM120" s="21">
        <f>EXP(-LN(2)/2)*CM119+(1-EXP(-LN(2)/2))/(LN(2)/2)*CG120*CJ120*VLOOKUP('Données projet'!$B$12,Paramètres!$A$1:$I$89,3,0)*0.475*44/12</f>
        <v>1.907509524058591E-4</v>
      </c>
      <c r="CN120" s="22">
        <f t="shared" si="66"/>
        <v>92.207690866164896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10.725999999999999</v>
      </c>
      <c r="N121" s="13">
        <f>IF('Données projet'!$A$36&gt;35,N120+M121-V120,IF(A121&lt;'Données projet'!$A$36,$K$205^A121,IF(A121='Données projet'!$A$36,'Données projet'!$B$36,N120+M121-V120)))</f>
        <v>543.54800000000012</v>
      </c>
      <c r="O121" s="13">
        <f>N121*VLOOKUP('Données projet'!$B$9,Paramètres!$A$1:$I$89,3,0)*VLOOKUP('Données projet'!$B$9,Paramètres!$A$1:$I$89,5,0)</f>
        <v>491.8022304000001</v>
      </c>
      <c r="P121" s="13">
        <f t="shared" si="87"/>
        <v>110.1585334197499</v>
      </c>
      <c r="Q121" s="20">
        <f t="shared" si="107"/>
        <v>1048.4149969860646</v>
      </c>
      <c r="R121" s="59">
        <f t="shared" si="55"/>
        <v>1330.1233203506649</v>
      </c>
      <c r="S121" s="59">
        <f ca="1">AVERAGE(OFFSET($R$3,0,0,'Données projet'!$E$9+1,1))-AVERAGE(OFFSET($H$3,0,0,'Données projet'!$E$9+1,1))</f>
        <v>737.40414421611001</v>
      </c>
      <c r="T121" s="59">
        <f t="shared" si="88"/>
        <v>245.32893490531674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49.550377403105884</v>
      </c>
      <c r="AA121" s="21">
        <f>EXP(-LN(2)/25)*AA120+(1-EXP(-LN(2)/25))/(LN(2)/25)*Calculateur!V121*Calculateur!X121*VLOOKUP('Données projet'!$B$9,Paramètres!$A$1:$I$89,3,0)*0.475*44/12</f>
        <v>26.256103882657754</v>
      </c>
      <c r="AB121" s="21">
        <f>EXP(-LN(2)/2)*AB120+(1-EXP(-LN(2)/2))/(LN(2)/2)*V121*Y121*VLOOKUP('Données projet'!$B$9,Paramètres!$A$1:$I$89,3,0)*0.475*44/12</f>
        <v>3.7770356615909461E-4</v>
      </c>
      <c r="AC121" s="22">
        <f t="shared" si="57"/>
        <v>75.806858989329797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1.3999999999999773</v>
      </c>
      <c r="AJ121" s="13">
        <f>AI121*VLOOKUP('Données projet'!$B$10,Paramètres!$A$1:$I$89,3,0)*VLOOKUP('Données projet'!$B$10,Paramètres!$A$1:$I$89,5,0)</f>
        <v>0.83719999999998651</v>
      </c>
      <c r="AK121" s="13">
        <f t="shared" si="89"/>
        <v>0.39388003094446933</v>
      </c>
      <c r="AL121" s="20">
        <f t="shared" si="58"/>
        <v>2.144131053894927</v>
      </c>
      <c r="AM121" s="59">
        <f t="shared" si="59"/>
        <v>283.85245441849531</v>
      </c>
      <c r="AN121" s="59">
        <f ca="1">AVERAGE(OFFSET($AM$3,0,0,'Données projet'!$E$10+1,1))-AVERAGE(OFFSET($H$3,0,0,'Données projet'!$E$10+1,1))</f>
        <v>318.6615972007902</v>
      </c>
      <c r="AO121" s="59">
        <f t="shared" si="90"/>
        <v>326.82168950869504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43.860490644975414</v>
      </c>
      <c r="AV121" s="21">
        <f>EXP(-LN(2)/25)*AV120+(1-EXP(-LN(2)/25))/(LN(2)/25)*Calculateur!AQ121*Calculateur!AS121*VLOOKUP('Données projet'!$B$10,Paramètres!$A$1:$I$89,3,0)*0.475*44/12</f>
        <v>9.6586197888592853</v>
      </c>
      <c r="AW121" s="21">
        <f>EXP(-LN(2)/2)*AW120+(1-EXP(-LN(2)/2))/(LN(2)/2)*AQ121*AT121*VLOOKUP('Données projet'!$B$10,Paramètres!$A$1:$I$89,3,0)*0.475*44/12</f>
        <v>1.1132805371960367E-7</v>
      </c>
      <c r="AX121" s="21">
        <f t="shared" si="60"/>
        <v>53.519110545162754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2.6</v>
      </c>
      <c r="BD121" s="12">
        <f>IF('Données projet'!$A$88&gt;35,BD120+BC121-BL120,IF(A121&lt;'Données projet'!$A$88,$BA$205^A121,IF(A121='Données projet'!$A$88,'Données projet'!$B$88,BD120+BC121-BL120)))</f>
        <v>253.8</v>
      </c>
      <c r="BE121" s="13">
        <f>BD121*VLOOKUP('Données projet'!$B$11,Paramètres!$A$1:$I$89,3,0)*VLOOKUP('Données projet'!$B$11,Paramètres!$A$1:$I$89,5,0)</f>
        <v>257.35320000000002</v>
      </c>
      <c r="BF121" s="13">
        <f t="shared" si="91"/>
        <v>62.157851613080965</v>
      </c>
      <c r="BG121" s="20">
        <f t="shared" si="61"/>
        <v>556.48174822611611</v>
      </c>
      <c r="BH121" s="59">
        <f t="shared" si="62"/>
        <v>838.19007159071657</v>
      </c>
      <c r="BI121" s="59">
        <f ca="1">AVERAGE(OFFSET($BH$3,0,0,'Données projet'!$E$11+1,1))-AVERAGE(OFFSET($H$3,0,0,'Données projet'!$E$11+1,1))</f>
        <v>402.96916953216805</v>
      </c>
      <c r="BJ121" s="59">
        <f t="shared" si="92"/>
        <v>164.89273051331318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5.3355171307367426</v>
      </c>
      <c r="BQ121" s="21">
        <f>EXP(-LN(2)/25)*BQ120+(1-EXP(-LN(2)/25))/(LN(2)/25)*Calculateur!BL121*Calculateur!BN121*VLOOKUP('Données projet'!$B$11,Paramètres!$A$1:$I$89,3,0)*0.475*44/12</f>
        <v>7.1511962342206301</v>
      </c>
      <c r="BR121" s="21">
        <f>EXP(-LN(2)/2)*BR120+(1-EXP(-LN(2)/2))/(LN(2)/2)*BL121*BO121*VLOOKUP('Données projet'!$B$11,Paramètres!$A$1:$I$89,3,0)*0.475*44/12</f>
        <v>0.82501546342175991</v>
      </c>
      <c r="BS121" s="22">
        <f t="shared" si="63"/>
        <v>13.311728828379133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-2.2737367544323206E-13</v>
      </c>
      <c r="BZ121" s="13">
        <f>BY121*VLOOKUP('Données projet'!$B$12,Paramètres!$A$1:$I$89,3,0)*VLOOKUP('Données projet'!$B$12,Paramètres!$A$1:$I$89,5,0)</f>
        <v>-1.3596945791505279E-13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373.61861223558259</v>
      </c>
      <c r="CE121" s="59">
        <f t="shared" si="94"/>
        <v>277.62293009761049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72.213338400345989</v>
      </c>
      <c r="CL121" s="21">
        <f>EXP(-LN(2)/25)*CL120+(1-EXP(-LN(2)/25))/(LN(2)/25)*Calculateur!CG121*Calculateur!CI121*VLOOKUP('Données projet'!$B$12,Paramètres!$A$1:$I$89,3,0)*0.475*44/12</f>
        <v>18.042534050451341</v>
      </c>
      <c r="CM121" s="21">
        <f>EXP(-LN(2)/2)*CM120+(1-EXP(-LN(2)/2))/(LN(2)/2)*CG121*CJ121*VLOOKUP('Données projet'!$B$12,Paramètres!$A$1:$I$89,3,0)*0.475*44/12</f>
        <v>1.3488129196397535E-4</v>
      </c>
      <c r="CN121" s="22">
        <f t="shared" si="66"/>
        <v>90.256007332089297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10.725999999999999</v>
      </c>
      <c r="N122" s="13">
        <f>IF('Données projet'!$A$36&gt;35,N121+M122-V121,IF(A122&lt;'Données projet'!$A$36,$K$205^A122,IF(A122='Données projet'!$A$36,'Données projet'!$B$36,N121+M122-V121)))</f>
        <v>554.27400000000011</v>
      </c>
      <c r="O122" s="13">
        <f>N122*VLOOKUP('Données projet'!$B$9,Paramètres!$A$1:$I$89,3,0)*VLOOKUP('Données projet'!$B$9,Paramètres!$A$1:$I$89,5,0)</f>
        <v>501.50711520000004</v>
      </c>
      <c r="P122" s="13">
        <f t="shared" si="87"/>
        <v>112.07710632845966</v>
      </c>
      <c r="Q122" s="20">
        <f t="shared" si="107"/>
        <v>1068.6591858287338</v>
      </c>
      <c r="R122" s="59">
        <f t="shared" si="55"/>
        <v>1350.5691771266629</v>
      </c>
      <c r="S122" s="59">
        <f ca="1">AVERAGE(OFFSET($R$3,0,0,'Données projet'!$E$9+1,1))-AVERAGE(OFFSET($H$3,0,0,'Données projet'!$E$9+1,1))</f>
        <v>737.40414421611001</v>
      </c>
      <c r="T122" s="59">
        <f t="shared" si="88"/>
        <v>245.32893490531674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48.578724724976944</v>
      </c>
      <c r="AA122" s="21">
        <f>EXP(-LN(2)/25)*AA121+(1-EXP(-LN(2)/25))/(LN(2)/25)*Calculateur!V122*Calculateur!X122*VLOOKUP('Données projet'!$B$9,Paramètres!$A$1:$I$89,3,0)*0.475*44/12</f>
        <v>25.538129341237983</v>
      </c>
      <c r="AB122" s="21">
        <f>EXP(-LN(2)/2)*AB121+(1-EXP(-LN(2)/2))/(LN(2)/2)*V122*Y122*VLOOKUP('Données projet'!$B$9,Paramètres!$A$1:$I$89,3,0)*0.475*44/12</f>
        <v>2.6707675290943758E-4</v>
      </c>
      <c r="AC122" s="22">
        <f t="shared" si="57"/>
        <v>74.117121142967832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1.3999999999999773</v>
      </c>
      <c r="AJ122" s="13">
        <f>AI122*VLOOKUP('Données projet'!$B$10,Paramètres!$A$1:$I$89,3,0)*VLOOKUP('Données projet'!$B$10,Paramètres!$A$1:$I$89,5,0)</f>
        <v>0.83719999999998651</v>
      </c>
      <c r="AK122" s="13">
        <f t="shared" si="89"/>
        <v>0.39388003094446933</v>
      </c>
      <c r="AL122" s="20">
        <f t="shared" si="58"/>
        <v>2.144131053894927</v>
      </c>
      <c r="AM122" s="59">
        <f t="shared" si="59"/>
        <v>284.05412235182405</v>
      </c>
      <c r="AN122" s="59">
        <f ca="1">AVERAGE(OFFSET($AM$3,0,0,'Données projet'!$E$10+1,1))-AVERAGE(OFFSET($H$3,0,0,'Données projet'!$E$10+1,1))</f>
        <v>318.6615972007902</v>
      </c>
      <c r="AO122" s="59">
        <f t="shared" si="90"/>
        <v>326.82168950869504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43.000413175685175</v>
      </c>
      <c r="AV122" s="21">
        <f>EXP(-LN(2)/25)*AV121+(1-EXP(-LN(2)/25))/(LN(2)/25)*Calculateur!AQ122*Calculateur!AS122*VLOOKUP('Données projet'!$B$10,Paramètres!$A$1:$I$89,3,0)*0.475*44/12</f>
        <v>9.3945043228081886</v>
      </c>
      <c r="AW122" s="21">
        <f>EXP(-LN(2)/2)*AW121+(1-EXP(-LN(2)/2))/(LN(2)/2)*AQ122*AT122*VLOOKUP('Données projet'!$B$10,Paramètres!$A$1:$I$89,3,0)*0.475*44/12</f>
        <v>7.8720821721431997E-8</v>
      </c>
      <c r="AX122" s="21">
        <f t="shared" si="60"/>
        <v>52.394917577214187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2.6</v>
      </c>
      <c r="BD122" s="12">
        <f>IF('Données projet'!$A$88&gt;35,BD121+BC122-BL121,IF(A122&lt;'Données projet'!$A$88,$BA$205^A122,IF(A122='Données projet'!$A$88,'Données projet'!$B$88,BD121+BC122-BL121)))</f>
        <v>256.40000000000003</v>
      </c>
      <c r="BE122" s="13">
        <f>BD122*VLOOKUP('Données projet'!$B$11,Paramètres!$A$1:$I$89,3,0)*VLOOKUP('Données projet'!$B$11,Paramètres!$A$1:$I$89,5,0)</f>
        <v>259.98960000000005</v>
      </c>
      <c r="BF122" s="13">
        <f t="shared" si="91"/>
        <v>62.720161091275294</v>
      </c>
      <c r="BG122" s="20">
        <f t="shared" si="61"/>
        <v>562.05283390063789</v>
      </c>
      <c r="BH122" s="59">
        <f t="shared" si="62"/>
        <v>843.96282519856709</v>
      </c>
      <c r="BI122" s="59">
        <f ca="1">AVERAGE(OFFSET($BH$3,0,0,'Données projet'!$E$11+1,1))-AVERAGE(OFFSET($H$3,0,0,'Données projet'!$E$11+1,1))</f>
        <v>402.96916953216805</v>
      </c>
      <c r="BJ122" s="59">
        <f t="shared" si="92"/>
        <v>164.89273051331318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5.2308908941471053</v>
      </c>
      <c r="BQ122" s="21">
        <f>EXP(-LN(2)/25)*BQ121+(1-EXP(-LN(2)/25))/(LN(2)/25)*Calculateur!BL122*Calculateur!BN122*VLOOKUP('Données projet'!$B$11,Paramètres!$A$1:$I$89,3,0)*0.475*44/12</f>
        <v>6.9556463971308009</v>
      </c>
      <c r="BR122" s="21">
        <f>EXP(-LN(2)/2)*BR121+(1-EXP(-LN(2)/2))/(LN(2)/2)*BL122*BO122*VLOOKUP('Données projet'!$B$11,Paramètres!$A$1:$I$89,3,0)*0.475*44/12</f>
        <v>0.58337402876928857</v>
      </c>
      <c r="BS122" s="22">
        <f t="shared" si="63"/>
        <v>12.769911320047195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-2.2737367544323206E-13</v>
      </c>
      <c r="BZ122" s="13">
        <f>BY122*VLOOKUP('Données projet'!$B$12,Paramètres!$A$1:$I$89,3,0)*VLOOKUP('Données projet'!$B$12,Paramètres!$A$1:$I$89,5,0)</f>
        <v>-1.3596945791505279E-13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373.61861223558259</v>
      </c>
      <c r="CE122" s="59">
        <f t="shared" si="94"/>
        <v>277.62293009761049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70.797278880102468</v>
      </c>
      <c r="CL122" s="21">
        <f>EXP(-LN(2)/25)*CL121+(1-EXP(-LN(2)/25))/(LN(2)/25)*Calculateur!CG122*Calculateur!CI122*VLOOKUP('Données projet'!$B$12,Paramètres!$A$1:$I$89,3,0)*0.475*44/12</f>
        <v>17.549160008026121</v>
      </c>
      <c r="CM122" s="21">
        <f>EXP(-LN(2)/2)*CM121+(1-EXP(-LN(2)/2))/(LN(2)/2)*CG122*CJ122*VLOOKUP('Données projet'!$B$12,Paramètres!$A$1:$I$89,3,0)*0.475*44/12</f>
        <v>9.5375476202929548E-5</v>
      </c>
      <c r="CN122" s="22">
        <f t="shared" si="66"/>
        <v>88.346534263604795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565</v>
      </c>
      <c r="L123" s="12">
        <f>VLOOKUP(A123,'Données projet'!$A$35:$I$55,9,0)</f>
        <v>10.725999999999999</v>
      </c>
      <c r="M123" s="12">
        <f t="array" ref="M123">INDEX(L:L,MIN(IF(ISNUMBER(L123:L319),ROW(L123:L319),"")))</f>
        <v>10.725999999999999</v>
      </c>
      <c r="N123" s="13">
        <f>IF('Données projet'!$A$36&gt;35,N122+M123-V122,IF(A123&lt;'Données projet'!$A$36,$K$205^A123,IF(A123='Données projet'!$A$36,'Données projet'!$B$36,N122+M123-V122)))</f>
        <v>565.00000000000011</v>
      </c>
      <c r="O123" s="13">
        <f>N123*VLOOKUP('Données projet'!$B$9,Paramètres!$A$1:$I$89,3,0)*VLOOKUP('Données projet'!$B$9,Paramètres!$A$1:$I$89,5,0)</f>
        <v>511.2120000000001</v>
      </c>
      <c r="P123" s="13">
        <f t="shared" si="87"/>
        <v>113.9913622158443</v>
      </c>
      <c r="Q123" s="20">
        <f t="shared" si="107"/>
        <v>1088.8958558592624</v>
      </c>
      <c r="R123" s="59">
        <f t="shared" si="55"/>
        <v>1371.0040166027391</v>
      </c>
      <c r="S123" s="59">
        <f ca="1">AVERAGE(OFFSET($R$3,0,0,'Données projet'!$E$9+1,1))-AVERAGE(OFFSET($H$3,0,0,'Données projet'!$E$9+1,1))</f>
        <v>737.40414421611001</v>
      </c>
      <c r="T123" s="59">
        <f t="shared" si="88"/>
        <v>245.32893490531674</v>
      </c>
      <c r="U123" s="15">
        <f>IF(ISNA(VLOOKUP(A123,'Données projet'!$A$35:$I$55,3,0)),0,VLOOKUP(A123,'Données projet'!$A$35:$I$55,3,0))</f>
        <v>11</v>
      </c>
      <c r="V123" s="15">
        <f>IF(ISNA(VLOOKUP(A123,'Données projet'!$A$35:$I$55,4,0)),0,VLOOKUP(A123,'Données projet'!$A$35:$I$55,4,0))</f>
        <v>66.050000000000011</v>
      </c>
      <c r="W123" s="16">
        <f>IF(ISNA(VLOOKUP(A123,'Données projet'!$A$35:$I$55,5,0)),0%,VLOOKUP(A123,'Données projet'!$A$35:$I$55,5,0)*VLOOKUP('Données projet'!$B$9,Paramètres!$A$1:$I$89,7,0))</f>
        <v>0.215</v>
      </c>
      <c r="X123" s="16">
        <f>IF(ISNA(VLOOKUP(A123,'Données projet'!$A$35:$I$55,6,0)),0%,VLOOKUP(A123,'Données projet'!$A$35:$I$55,6,0)*VLOOKUP('Données projet'!$B$9,Paramètres!$A$1:$I$89,7,0))</f>
        <v>8.6000000000000007E-2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61.830136046916117</v>
      </c>
      <c r="AA123" s="21">
        <f>EXP(-LN(2)/25)*AA122+(1-EXP(-LN(2)/25))/(LN(2)/25)*Calculateur!V123*Calculateur!X123*VLOOKUP('Données projet'!$B$9,Paramètres!$A$1:$I$89,3,0)*0.475*44/12</f>
        <v>30.499021404319176</v>
      </c>
      <c r="AB123" s="21">
        <f>EXP(-LN(2)/2)*AB122+(1-EXP(-LN(2)/2))/(LN(2)/2)*V123*Y123*VLOOKUP('Données projet'!$B$9,Paramètres!$A$1:$I$89,3,0)*0.475*44/12</f>
        <v>1.888517830795473E-4</v>
      </c>
      <c r="AC123" s="22">
        <f t="shared" si="57"/>
        <v>92.329346303018369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1.3999999999999773</v>
      </c>
      <c r="AJ123" s="13">
        <f>AI123*VLOOKUP('Données projet'!$B$10,Paramètres!$A$1:$I$89,3,0)*VLOOKUP('Données projet'!$B$10,Paramètres!$A$1:$I$89,5,0)</f>
        <v>0.83719999999998651</v>
      </c>
      <c r="AK123" s="13">
        <f t="shared" si="89"/>
        <v>0.39388003094446933</v>
      </c>
      <c r="AL123" s="20">
        <f t="shared" si="58"/>
        <v>2.144131053894927</v>
      </c>
      <c r="AM123" s="59">
        <f t="shared" si="59"/>
        <v>284.25229179737153</v>
      </c>
      <c r="AN123" s="59">
        <f ca="1">AVERAGE(OFFSET($AM$3,0,0,'Données projet'!$E$10+1,1))-AVERAGE(OFFSET($H$3,0,0,'Données projet'!$E$10+1,1))</f>
        <v>318.6615972007902</v>
      </c>
      <c r="AO123" s="59">
        <f t="shared" si="90"/>
        <v>326.82168950869504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42.157201300972261</v>
      </c>
      <c r="AV123" s="21">
        <f>EXP(-LN(2)/25)*AV122+(1-EXP(-LN(2)/25))/(LN(2)/25)*Calculateur!AQ123*Calculateur!AS123*VLOOKUP('Données projet'!$B$10,Paramètres!$A$1:$I$89,3,0)*0.475*44/12</f>
        <v>9.1376111080654869</v>
      </c>
      <c r="AW123" s="21">
        <f>EXP(-LN(2)/2)*AW122+(1-EXP(-LN(2)/2))/(LN(2)/2)*AQ123*AT123*VLOOKUP('Données projet'!$B$10,Paramètres!$A$1:$I$89,3,0)*0.475*44/12</f>
        <v>5.5664026859801833E-8</v>
      </c>
      <c r="AX123" s="21">
        <f t="shared" si="60"/>
        <v>51.294812464701771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>
        <f>VLOOKUP(A123,'Données projet'!$A$87:$I$107,2,0)</f>
        <v>259</v>
      </c>
      <c r="BB123" s="12">
        <f>VLOOKUP(A123,'Données projet'!$A$87:$I$107,9,0)</f>
        <v>2.6</v>
      </c>
      <c r="BC123" s="12">
        <f t="array" ref="BC123">INDEX(BB:BB,MIN(IF(ISNUMBER(BB123:BB319),ROW(BB123:BB319),"")))</f>
        <v>2.6</v>
      </c>
      <c r="BD123" s="12">
        <f>IF('Données projet'!$A$88&gt;35,BD122+BC123-BL122,IF(A123&lt;'Données projet'!$A$88,$BA$205^A123,IF(A123='Données projet'!$A$88,'Données projet'!$B$88,BD122+BC123-BL122)))</f>
        <v>259.00000000000006</v>
      </c>
      <c r="BE123" s="13">
        <f>BD123*VLOOKUP('Données projet'!$B$11,Paramètres!$A$1:$I$89,3,0)*VLOOKUP('Données projet'!$B$11,Paramètres!$A$1:$I$89,5,0)</f>
        <v>262.62600000000009</v>
      </c>
      <c r="BF123" s="13">
        <f t="shared" si="91"/>
        <v>63.281807230823453</v>
      </c>
      <c r="BG123" s="20">
        <f t="shared" si="61"/>
        <v>567.622764260351</v>
      </c>
      <c r="BH123" s="59">
        <f t="shared" si="62"/>
        <v>849.73092500382768</v>
      </c>
      <c r="BI123" s="59">
        <f ca="1">AVERAGE(OFFSET($BH$3,0,0,'Données projet'!$E$11+1,1))-AVERAGE(OFFSET($H$3,0,0,'Données projet'!$E$11+1,1))</f>
        <v>402.96916953216805</v>
      </c>
      <c r="BJ123" s="59">
        <f t="shared" si="92"/>
        <v>164.89273051331318</v>
      </c>
      <c r="BK123" s="15">
        <f>IF(ISNA(VLOOKUP(A123,'Données projet'!$A$87:$I$107,3,0)),0,VLOOKUP(A123,'Données projet'!$A$87:$I$107,3,0))</f>
        <v>18</v>
      </c>
      <c r="BL123" s="15">
        <f>IF(ISNA(VLOOKUP(A123,'Données projet'!$A$87:$I$107,4,0)),0,VLOOKUP(A123,'Données projet'!$A$87:$I$107,4,0))</f>
        <v>8</v>
      </c>
      <c r="BM123" s="16">
        <f>IF(ISNA(VLOOKUP(A123,'Données projet'!$A$87:$I$107,5,0)),0%,VLOOKUP(A123,'Données projet'!$A$87:$I$107,5,0)*VLOOKUP('Données projet'!$B$11,Paramètres!$A$1:$I$89,7,0))</f>
        <v>0.1075</v>
      </c>
      <c r="BN123" s="16">
        <f>IF(ISNA(VLOOKUP(A123,'Données projet'!$A$87:$I$107,6,0)),0%,VLOOKUP(A123,'Données projet'!$A$87:$I$107,6,0)*VLOOKUP('Données projet'!$B$11,Paramètres!$A$1:$I$89,7,0))</f>
        <v>0.1075</v>
      </c>
      <c r="BO123" s="16">
        <f>IF(ISNA(VLOOKUP(A123,'Données projet'!$A$87:$I$107,7,0)),0%,VLOOKUP(A123,'Données projet'!$A$87:$I$107,7,0))</f>
        <v>0.25</v>
      </c>
      <c r="BP123" s="21">
        <f>EXP(-LN(2)/35)*BP122+(1-EXP(-LN(2)/35))/(LN(2)/35)*BL123*BM123*VLOOKUP('Données projet'!$B$11,Paramètres!$A$1:$I$89,3,0)*0.475*44/12</f>
        <v>6.0923307040092007</v>
      </c>
      <c r="BQ123" s="21">
        <f>EXP(-LN(2)/25)*BQ122+(1-EXP(-LN(2)/25))/(LN(2)/25)*Calculateur!BL123*Calculateur!BN123*VLOOKUP('Données projet'!$B$11,Paramètres!$A$1:$I$89,3,0)*0.475*44/12</f>
        <v>7.7256625784168307</v>
      </c>
      <c r="BR123" s="21">
        <f>EXP(-LN(2)/2)*BR122+(1-EXP(-LN(2)/2))/(LN(2)/2)*BL123*BO123*VLOOKUP('Données projet'!$B$11,Paramètres!$A$1:$I$89,3,0)*0.475*44/12</f>
        <v>2.3259803145306073</v>
      </c>
      <c r="BS123" s="22">
        <f t="shared" si="63"/>
        <v>16.143973596956638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-2.2737367544323206E-13</v>
      </c>
      <c r="BZ123" s="13">
        <f>BY123*VLOOKUP('Données projet'!$B$12,Paramètres!$A$1:$I$89,3,0)*VLOOKUP('Données projet'!$B$12,Paramètres!$A$1:$I$89,5,0)</f>
        <v>-1.3596945791505279E-13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373.61861223558259</v>
      </c>
      <c r="CE123" s="59">
        <f t="shared" si="94"/>
        <v>277.62293009761049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69.408987423339894</v>
      </c>
      <c r="CL123" s="21">
        <f>EXP(-LN(2)/25)*CL122+(1-EXP(-LN(2)/25))/(LN(2)/25)*Calculateur!CG123*Calculateur!CI123*VLOOKUP('Données projet'!$B$12,Paramètres!$A$1:$I$89,3,0)*0.475*44/12</f>
        <v>17.069277304736431</v>
      </c>
      <c r="CM123" s="21">
        <f>EXP(-LN(2)/2)*CM122+(1-EXP(-LN(2)/2))/(LN(2)/2)*CG123*CJ123*VLOOKUP('Données projet'!$B$12,Paramètres!$A$1:$I$89,3,0)*0.475*44/12</f>
        <v>6.7440645981987673E-5</v>
      </c>
      <c r="CN123" s="22">
        <f t="shared" si="66"/>
        <v>86.478332168722304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10.745999999999999</v>
      </c>
      <c r="N124" s="13">
        <f>IF('Données projet'!$A$36&gt;35,N123+M124-V123,IF(A124&lt;'Données projet'!$A$36,$K$205^A124,IF(A124='Données projet'!$A$36,'Données projet'!$B$36,N123+M124-V123)))</f>
        <v>509.69600000000008</v>
      </c>
      <c r="O124" s="13">
        <f>N124*VLOOKUP('Données projet'!$B$9,Paramètres!$A$1:$I$89,3,0)*VLOOKUP('Données projet'!$B$9,Paramètres!$A$1:$I$89,5,0)</f>
        <v>461.17294080000005</v>
      </c>
      <c r="P124" s="13">
        <f t="shared" si="87"/>
        <v>104.07397295861892</v>
      </c>
      <c r="Q124" s="20">
        <f t="shared" si="107"/>
        <v>984.47170812959484</v>
      </c>
      <c r="R124" s="59">
        <f t="shared" si="55"/>
        <v>1266.7746005217791</v>
      </c>
      <c r="S124" s="59">
        <f ca="1">AVERAGE(OFFSET($R$3,0,0,'Données projet'!$E$9+1,1))-AVERAGE(OFFSET($H$3,0,0,'Données projet'!$E$9+1,1))</f>
        <v>737.40414421611001</v>
      </c>
      <c r="T124" s="59">
        <f t="shared" si="88"/>
        <v>245.32893490531674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60.617684791695261</v>
      </c>
      <c r="AA124" s="21">
        <f>EXP(-LN(2)/25)*AA123+(1-EXP(-LN(2)/25))/(LN(2)/25)*Calculateur!V124*Calculateur!X124*VLOOKUP('Données projet'!$B$9,Paramètres!$A$1:$I$89,3,0)*0.475*44/12</f>
        <v>29.665024060144241</v>
      </c>
      <c r="AB124" s="21">
        <f>EXP(-LN(2)/2)*AB123+(1-EXP(-LN(2)/2))/(LN(2)/2)*V124*Y124*VLOOKUP('Données projet'!$B$9,Paramètres!$A$1:$I$89,3,0)*0.475*44/12</f>
        <v>1.3353837645471879E-4</v>
      </c>
      <c r="AC124" s="22">
        <f t="shared" si="57"/>
        <v>90.282842390215961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1.3999999999999773</v>
      </c>
      <c r="AJ124" s="13">
        <f>AI124*VLOOKUP('Données projet'!$B$10,Paramètres!$A$1:$I$89,3,0)*VLOOKUP('Données projet'!$B$10,Paramètres!$A$1:$I$89,5,0)</f>
        <v>0.83719999999998651</v>
      </c>
      <c r="AK124" s="13">
        <f t="shared" si="89"/>
        <v>0.39388003094446933</v>
      </c>
      <c r="AL124" s="20">
        <f t="shared" si="58"/>
        <v>2.144131053894927</v>
      </c>
      <c r="AM124" s="59">
        <f t="shared" si="59"/>
        <v>284.4470234460793</v>
      </c>
      <c r="AN124" s="59">
        <f ca="1">AVERAGE(OFFSET($AM$3,0,0,'Données projet'!$E$10+1,1))-AVERAGE(OFFSET($H$3,0,0,'Données projet'!$E$10+1,1))</f>
        <v>318.6615972007902</v>
      </c>
      <c r="AO124" s="59">
        <f t="shared" si="90"/>
        <v>326.82168950869504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41.330524296814005</v>
      </c>
      <c r="AV124" s="21">
        <f>EXP(-LN(2)/25)*AV123+(1-EXP(-LN(2)/25))/(LN(2)/25)*Calculateur!AQ124*Calculateur!AS124*VLOOKUP('Données projet'!$B$10,Paramètres!$A$1:$I$89,3,0)*0.475*44/12</f>
        <v>8.8877426517893525</v>
      </c>
      <c r="AW124" s="21">
        <f>EXP(-LN(2)/2)*AW123+(1-EXP(-LN(2)/2))/(LN(2)/2)*AQ124*AT124*VLOOKUP('Données projet'!$B$10,Paramètres!$A$1:$I$89,3,0)*0.475*44/12</f>
        <v>3.9360410860715998E-8</v>
      </c>
      <c r="AX124" s="21">
        <f t="shared" si="60"/>
        <v>50.218266987963766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2.4</v>
      </c>
      <c r="BD124" s="12">
        <f>IF('Données projet'!$A$88&gt;35,BD123+BC124-BL123,IF(A124&lt;'Données projet'!$A$88,$BA$205^A124,IF(A124='Données projet'!$A$88,'Données projet'!$B$88,BD123+BC124-BL123)))</f>
        <v>253.40000000000003</v>
      </c>
      <c r="BE124" s="13">
        <f>BD124*VLOOKUP('Données projet'!$B$11,Paramètres!$A$1:$I$89,3,0)*VLOOKUP('Données projet'!$B$11,Paramètres!$A$1:$I$89,5,0)</f>
        <v>256.94760000000008</v>
      </c>
      <c r="BF124" s="13">
        <f t="shared" si="91"/>
        <v>62.071283104858303</v>
      </c>
      <c r="BG124" s="20">
        <f t="shared" si="61"/>
        <v>555.62455474096157</v>
      </c>
      <c r="BH124" s="59">
        <f t="shared" si="62"/>
        <v>837.92744713314596</v>
      </c>
      <c r="BI124" s="59">
        <f ca="1">AVERAGE(OFFSET($BH$3,0,0,'Données projet'!$E$11+1,1))-AVERAGE(OFFSET($H$3,0,0,'Données projet'!$E$11+1,1))</f>
        <v>402.96916953216805</v>
      </c>
      <c r="BJ124" s="59">
        <f t="shared" si="92"/>
        <v>164.89273051331318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5.9728638148583899</v>
      </c>
      <c r="BQ124" s="21">
        <f>EXP(-LN(2)/25)*BQ123+(1-EXP(-LN(2)/25))/(LN(2)/25)*Calculateur!BL124*Calculateur!BN124*VLOOKUP('Données projet'!$B$11,Paramètres!$A$1:$I$89,3,0)*0.475*44/12</f>
        <v>7.514403928935085</v>
      </c>
      <c r="BR124" s="21">
        <f>EXP(-LN(2)/2)*BR123+(1-EXP(-LN(2)/2))/(LN(2)/2)*BL124*BO124*VLOOKUP('Données projet'!$B$11,Paramètres!$A$1:$I$89,3,0)*0.475*44/12</f>
        <v>1.6447164533110112</v>
      </c>
      <c r="BS124" s="22">
        <f t="shared" si="63"/>
        <v>15.131984197104485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-2.2737367544323206E-13</v>
      </c>
      <c r="BZ124" s="13">
        <f>BY124*VLOOKUP('Données projet'!$B$12,Paramètres!$A$1:$I$89,3,0)*VLOOKUP('Données projet'!$B$12,Paramètres!$A$1:$I$89,5,0)</f>
        <v>-1.3596945791505279E-13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373.61861223558259</v>
      </c>
      <c r="CE124" s="59">
        <f t="shared" si="94"/>
        <v>277.62293009761049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68.047919515270266</v>
      </c>
      <c r="CL124" s="21">
        <f>EXP(-LN(2)/25)*CL123+(1-EXP(-LN(2)/25))/(LN(2)/25)*Calculateur!CG124*Calculateur!CI124*VLOOKUP('Données projet'!$B$12,Paramètres!$A$1:$I$89,3,0)*0.475*44/12</f>
        <v>16.602517019204132</v>
      </c>
      <c r="CM124" s="21">
        <f>EXP(-LN(2)/2)*CM123+(1-EXP(-LN(2)/2))/(LN(2)/2)*CG124*CJ124*VLOOKUP('Données projet'!$B$12,Paramètres!$A$1:$I$89,3,0)*0.475*44/12</f>
        <v>4.7687738101464774E-5</v>
      </c>
      <c r="CN124" s="22">
        <f t="shared" si="66"/>
        <v>84.650484222212498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10.745999999999999</v>
      </c>
      <c r="N125" s="13">
        <f>IF('Données projet'!$A$36&gt;35,N124+M125-V124,IF(A125&lt;'Données projet'!$A$36,$K$205^A125,IF(A125='Données projet'!$A$36,'Données projet'!$B$36,N124+M125-V124)))</f>
        <v>520.44200000000012</v>
      </c>
      <c r="O125" s="13">
        <f>N125*VLOOKUP('Données projet'!$B$9,Paramètres!$A$1:$I$89,3,0)*VLOOKUP('Données projet'!$B$9,Paramètres!$A$1:$I$89,5,0)</f>
        <v>470.89592160000012</v>
      </c>
      <c r="P125" s="13">
        <f t="shared" si="87"/>
        <v>106.0104143991686</v>
      </c>
      <c r="Q125" s="20">
        <f t="shared" si="107"/>
        <v>1004.7785351985522</v>
      </c>
      <c r="R125" s="59">
        <f t="shared" si="55"/>
        <v>1287.2727810806939</v>
      </c>
      <c r="S125" s="59">
        <f ca="1">AVERAGE(OFFSET($R$3,0,0,'Données projet'!$E$9+1,1))-AVERAGE(OFFSET($H$3,0,0,'Données projet'!$E$9+1,1))</f>
        <v>737.40414421611001</v>
      </c>
      <c r="T125" s="59">
        <f t="shared" si="88"/>
        <v>245.32893490531674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59.429008966067045</v>
      </c>
      <c r="AA125" s="21">
        <f>EXP(-LN(2)/25)*AA124+(1-EXP(-LN(2)/25))/(LN(2)/25)*Calculateur!V125*Calculateur!X125*VLOOKUP('Données projet'!$B$9,Paramètres!$A$1:$I$89,3,0)*0.475*44/12</f>
        <v>28.85383241720378</v>
      </c>
      <c r="AB125" s="21">
        <f>EXP(-LN(2)/2)*AB124+(1-EXP(-LN(2)/2))/(LN(2)/2)*V125*Y125*VLOOKUP('Données projet'!$B$9,Paramètres!$A$1:$I$89,3,0)*0.475*44/12</f>
        <v>9.4425891539773652E-5</v>
      </c>
      <c r="AC125" s="22">
        <f t="shared" si="57"/>
        <v>88.282935809162367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1.3999999999999773</v>
      </c>
      <c r="AJ125" s="13">
        <f>AI125*VLOOKUP('Données projet'!$B$10,Paramètres!$A$1:$I$89,3,0)*VLOOKUP('Données projet'!$B$10,Paramètres!$A$1:$I$89,5,0)</f>
        <v>0.83719999999998651</v>
      </c>
      <c r="AK125" s="13">
        <f t="shared" si="89"/>
        <v>0.39388003094446933</v>
      </c>
      <c r="AL125" s="20">
        <f t="shared" si="58"/>
        <v>2.144131053894927</v>
      </c>
      <c r="AM125" s="59">
        <f t="shared" si="59"/>
        <v>284.63837693603671</v>
      </c>
      <c r="AN125" s="59">
        <f ca="1">AVERAGE(OFFSET($AM$3,0,0,'Données projet'!$E$10+1,1))-AVERAGE(OFFSET($H$3,0,0,'Données projet'!$E$10+1,1))</f>
        <v>318.6615972007902</v>
      </c>
      <c r="AO125" s="59">
        <f t="shared" si="90"/>
        <v>326.82168950869504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40.520057924484107</v>
      </c>
      <c r="AV125" s="21">
        <f>EXP(-LN(2)/25)*AV124+(1-EXP(-LN(2)/25))/(LN(2)/25)*Calculateur!AQ125*Calculateur!AS125*VLOOKUP('Données projet'!$B$10,Paramètres!$A$1:$I$89,3,0)*0.475*44/12</f>
        <v>8.6447068615900999</v>
      </c>
      <c r="AW125" s="21">
        <f>EXP(-LN(2)/2)*AW124+(1-EXP(-LN(2)/2))/(LN(2)/2)*AQ125*AT125*VLOOKUP('Données projet'!$B$10,Paramètres!$A$1:$I$89,3,0)*0.475*44/12</f>
        <v>2.7832013429900916E-8</v>
      </c>
      <c r="AX125" s="21">
        <f t="shared" si="60"/>
        <v>49.164764813906224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2.4</v>
      </c>
      <c r="BD125" s="12">
        <f>IF('Données projet'!$A$88&gt;35,BD124+BC125-BL124,IF(A125&lt;'Données projet'!$A$88,$BA$205^A125,IF(A125='Données projet'!$A$88,'Données projet'!$B$88,BD124+BC125-BL124)))</f>
        <v>255.80000000000004</v>
      </c>
      <c r="BE125" s="13">
        <f>BD125*VLOOKUP('Données projet'!$B$11,Paramètres!$A$1:$I$89,3,0)*VLOOKUP('Données projet'!$B$11,Paramètres!$A$1:$I$89,5,0)</f>
        <v>259.38120000000009</v>
      </c>
      <c r="BF125" s="13">
        <f t="shared" si="91"/>
        <v>62.59045651553744</v>
      </c>
      <c r="BG125" s="20">
        <f t="shared" si="61"/>
        <v>560.76730176456124</v>
      </c>
      <c r="BH125" s="59">
        <f t="shared" si="62"/>
        <v>843.26154764670309</v>
      </c>
      <c r="BI125" s="59">
        <f ca="1">AVERAGE(OFFSET($BH$3,0,0,'Données projet'!$E$11+1,1))-AVERAGE(OFFSET($H$3,0,0,'Données projet'!$E$11+1,1))</f>
        <v>402.96916953216805</v>
      </c>
      <c r="BJ125" s="59">
        <f t="shared" si="92"/>
        <v>164.89273051331318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5.8557395985362186</v>
      </c>
      <c r="BQ125" s="21">
        <f>EXP(-LN(2)/25)*BQ124+(1-EXP(-LN(2)/25))/(LN(2)/25)*Calculateur!BL125*Calculateur!BN125*VLOOKUP('Données projet'!$B$11,Paramètres!$A$1:$I$89,3,0)*0.475*44/12</f>
        <v>7.3089221583330266</v>
      </c>
      <c r="BR125" s="21">
        <f>EXP(-LN(2)/2)*BR124+(1-EXP(-LN(2)/2))/(LN(2)/2)*BL125*BO125*VLOOKUP('Données projet'!$B$11,Paramètres!$A$1:$I$89,3,0)*0.475*44/12</f>
        <v>1.1629901572653039</v>
      </c>
      <c r="BS125" s="22">
        <f t="shared" si="63"/>
        <v>14.327651914134549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-2.2737367544323206E-13</v>
      </c>
      <c r="BZ125" s="13">
        <f>BY125*VLOOKUP('Données projet'!$B$12,Paramètres!$A$1:$I$89,3,0)*VLOOKUP('Données projet'!$B$12,Paramètres!$A$1:$I$89,5,0)</f>
        <v>-1.3596945791505279E-13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373.61861223558259</v>
      </c>
      <c r="CE125" s="59">
        <f t="shared" si="94"/>
        <v>277.62293009761049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66.713541318708423</v>
      </c>
      <c r="CL125" s="21">
        <f>EXP(-LN(2)/25)*CL124+(1-EXP(-LN(2)/25))/(LN(2)/25)*Calculateur!CG125*Calculateur!CI125*VLOOKUP('Données projet'!$B$12,Paramètres!$A$1:$I$89,3,0)*0.475*44/12</f>
        <v>16.148520318225572</v>
      </c>
      <c r="CM125" s="21">
        <f>EXP(-LN(2)/2)*CM124+(1-EXP(-LN(2)/2))/(LN(2)/2)*CG125*CJ125*VLOOKUP('Données projet'!$B$12,Paramètres!$A$1:$I$89,3,0)*0.475*44/12</f>
        <v>3.3720322990993837E-5</v>
      </c>
      <c r="CN125" s="22">
        <f t="shared" si="66"/>
        <v>82.862095357256976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10.745999999999999</v>
      </c>
      <c r="N126" s="13">
        <f>IF('Données projet'!$A$36&gt;35,N125+M126-V125,IF(A126&lt;'Données projet'!$A$36,$K$205^A126,IF(A126='Données projet'!$A$36,'Données projet'!$B$36,N125+M126-V125)))</f>
        <v>531.1880000000001</v>
      </c>
      <c r="O126" s="13">
        <f>N126*VLOOKUP('Données projet'!$B$9,Paramètres!$A$1:$I$89,3,0)*VLOOKUP('Données projet'!$B$9,Paramètres!$A$1:$I$89,5,0)</f>
        <v>480.61890240000002</v>
      </c>
      <c r="P126" s="13">
        <f t="shared" si="87"/>
        <v>107.9422070202726</v>
      </c>
      <c r="Q126" s="20">
        <f t="shared" si="107"/>
        <v>1025.0772655736414</v>
      </c>
      <c r="R126" s="59">
        <f t="shared" si="55"/>
        <v>1307.7595453904921</v>
      </c>
      <c r="S126" s="59">
        <f ca="1">AVERAGE(OFFSET($R$3,0,0,'Données projet'!$E$9+1,1))-AVERAGE(OFFSET($H$3,0,0,'Données projet'!$E$9+1,1))</f>
        <v>737.40414421611001</v>
      </c>
      <c r="T126" s="59">
        <f t="shared" si="88"/>
        <v>245.32893490531674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58.263642348358736</v>
      </c>
      <c r="AA126" s="21">
        <f>EXP(-LN(2)/25)*AA125+(1-EXP(-LN(2)/25))/(LN(2)/25)*Calculateur!V126*Calculateur!X126*VLOOKUP('Données projet'!$B$9,Paramètres!$A$1:$I$89,3,0)*0.475*44/12</f>
        <v>28.06482285239824</v>
      </c>
      <c r="AB126" s="21">
        <f>EXP(-LN(2)/2)*AB125+(1-EXP(-LN(2)/2))/(LN(2)/2)*V126*Y126*VLOOKUP('Données projet'!$B$9,Paramètres!$A$1:$I$89,3,0)*0.475*44/12</f>
        <v>6.6769188227359396E-5</v>
      </c>
      <c r="AC126" s="22">
        <f t="shared" si="57"/>
        <v>86.328531969945203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1.3999999999999773</v>
      </c>
      <c r="AJ126" s="13">
        <f>AI126*VLOOKUP('Données projet'!$B$10,Paramètres!$A$1:$I$89,3,0)*VLOOKUP('Données projet'!$B$10,Paramètres!$A$1:$I$89,5,0)</f>
        <v>0.83719999999998651</v>
      </c>
      <c r="AK126" s="13">
        <f t="shared" si="89"/>
        <v>0.39388003094446933</v>
      </c>
      <c r="AL126" s="20">
        <f t="shared" si="58"/>
        <v>2.144131053894927</v>
      </c>
      <c r="AM126" s="59">
        <f t="shared" si="59"/>
        <v>284.82641087074558</v>
      </c>
      <c r="AN126" s="59">
        <f ca="1">AVERAGE(OFFSET($AM$3,0,0,'Données projet'!$E$10+1,1))-AVERAGE(OFFSET($H$3,0,0,'Données projet'!$E$10+1,1))</f>
        <v>318.6615972007902</v>
      </c>
      <c r="AO126" s="59">
        <f t="shared" si="90"/>
        <v>326.82168950869504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39.725484303379922</v>
      </c>
      <c r="AV126" s="21">
        <f>EXP(-LN(2)/25)*AV125+(1-EXP(-LN(2)/25))/(LN(2)/25)*Calculateur!AQ126*Calculateur!AS126*VLOOKUP('Données projet'!$B$10,Paramètres!$A$1:$I$89,3,0)*0.475*44/12</f>
        <v>8.4083168978545419</v>
      </c>
      <c r="AW126" s="21">
        <f>EXP(-LN(2)/2)*AW125+(1-EXP(-LN(2)/2))/(LN(2)/2)*AQ126*AT126*VLOOKUP('Données projet'!$B$10,Paramètres!$A$1:$I$89,3,0)*0.475*44/12</f>
        <v>1.9680205430357999E-8</v>
      </c>
      <c r="AX126" s="21">
        <f t="shared" si="60"/>
        <v>48.13380122091467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2.4</v>
      </c>
      <c r="BD126" s="12">
        <f>IF('Données projet'!$A$88&gt;35,BD125+BC126-BL125,IF(A126&lt;'Données projet'!$A$88,$BA$205^A126,IF(A126='Données projet'!$A$88,'Données projet'!$B$88,BD125+BC126-BL125)))</f>
        <v>258.20000000000005</v>
      </c>
      <c r="BE126" s="13">
        <f>BD126*VLOOKUP('Données projet'!$B$11,Paramètres!$A$1:$I$89,3,0)*VLOOKUP('Données projet'!$B$11,Paramètres!$A$1:$I$89,5,0)</f>
        <v>261.81480000000005</v>
      </c>
      <c r="BF126" s="13">
        <f t="shared" si="91"/>
        <v>63.109063235970666</v>
      </c>
      <c r="BG126" s="20">
        <f t="shared" si="61"/>
        <v>565.90906180264903</v>
      </c>
      <c r="BH126" s="59">
        <f t="shared" si="62"/>
        <v>848.59134161949964</v>
      </c>
      <c r="BI126" s="59">
        <f ca="1">AVERAGE(OFFSET($BH$3,0,0,'Données projet'!$E$11+1,1))-AVERAGE(OFFSET($H$3,0,0,'Données projet'!$E$11+1,1))</f>
        <v>402.96916953216805</v>
      </c>
      <c r="BJ126" s="59">
        <f t="shared" si="92"/>
        <v>164.89273051331318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5.7409121166574071</v>
      </c>
      <c r="BQ126" s="21">
        <f>EXP(-LN(2)/25)*BQ125+(1-EXP(-LN(2)/25))/(LN(2)/25)*Calculateur!BL126*Calculateur!BN126*VLOOKUP('Données projet'!$B$11,Paramètres!$A$1:$I$89,3,0)*0.475*44/12</f>
        <v>7.1090592975538982</v>
      </c>
      <c r="BR126" s="21">
        <f>EXP(-LN(2)/2)*BR125+(1-EXP(-LN(2)/2))/(LN(2)/2)*BL126*BO126*VLOOKUP('Données projet'!$B$11,Paramètres!$A$1:$I$89,3,0)*0.475*44/12</f>
        <v>0.82235822665550573</v>
      </c>
      <c r="BS126" s="22">
        <f t="shared" si="63"/>
        <v>13.672329640866812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-2.2737367544323206E-13</v>
      </c>
      <c r="BZ126" s="13">
        <f>BY126*VLOOKUP('Données projet'!$B$12,Paramètres!$A$1:$I$89,3,0)*VLOOKUP('Données projet'!$B$12,Paramètres!$A$1:$I$89,5,0)</f>
        <v>-1.3596945791505279E-13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373.61861223558259</v>
      </c>
      <c r="CE126" s="59">
        <f t="shared" si="94"/>
        <v>277.62293009761049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65.405329464690823</v>
      </c>
      <c r="CL126" s="21">
        <f>EXP(-LN(2)/25)*CL125+(1-EXP(-LN(2)/25))/(LN(2)/25)*Calculateur!CG126*Calculateur!CI126*VLOOKUP('Données projet'!$B$12,Paramètres!$A$1:$I$89,3,0)*0.475*44/12</f>
        <v>15.706938180909917</v>
      </c>
      <c r="CM126" s="21">
        <f>EXP(-LN(2)/2)*CM125+(1-EXP(-LN(2)/2))/(LN(2)/2)*CG126*CJ126*VLOOKUP('Données projet'!$B$12,Paramètres!$A$1:$I$89,3,0)*0.475*44/12</f>
        <v>2.3843869050732387E-5</v>
      </c>
      <c r="CN126" s="22">
        <f t="shared" si="66"/>
        <v>81.112291489469783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10.745999999999999</v>
      </c>
      <c r="N127" s="13">
        <f>IF('Données projet'!$A$36&gt;35,N126+M127-V126,IF(A127&lt;'Données projet'!$A$36,$K$205^A127,IF(A127='Données projet'!$A$36,'Données projet'!$B$36,N126+M127-V126)))</f>
        <v>541.93400000000008</v>
      </c>
      <c r="O127" s="13">
        <f>N127*VLOOKUP('Données projet'!$B$9,Paramètres!$A$1:$I$89,3,0)*VLOOKUP('Données projet'!$B$9,Paramètres!$A$1:$I$89,5,0)</f>
        <v>490.34188320000004</v>
      </c>
      <c r="P127" s="13">
        <f t="shared" si="87"/>
        <v>109.86945570602957</v>
      </c>
      <c r="Q127" s="20">
        <f t="shared" si="107"/>
        <v>1045.3680819280014</v>
      </c>
      <c r="R127" s="59">
        <f t="shared" si="55"/>
        <v>1328.2351337111747</v>
      </c>
      <c r="S127" s="59">
        <f ca="1">AVERAGE(OFFSET($R$3,0,0,'Données projet'!$E$9+1,1))-AVERAGE(OFFSET($H$3,0,0,'Données projet'!$E$9+1,1))</f>
        <v>737.40414421611001</v>
      </c>
      <c r="T127" s="59">
        <f t="shared" si="88"/>
        <v>245.32893490531674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57.121127859220238</v>
      </c>
      <c r="AA127" s="21">
        <f>EXP(-LN(2)/25)*AA126+(1-EXP(-LN(2)/25))/(LN(2)/25)*Calculateur!V127*Calculateur!X127*VLOOKUP('Données projet'!$B$9,Paramètres!$A$1:$I$89,3,0)*0.475*44/12</f>
        <v>27.297388795634518</v>
      </c>
      <c r="AB127" s="21">
        <f>EXP(-LN(2)/2)*AB126+(1-EXP(-LN(2)/2))/(LN(2)/2)*V127*Y127*VLOOKUP('Données projet'!$B$9,Paramètres!$A$1:$I$89,3,0)*0.475*44/12</f>
        <v>4.7212945769886826E-5</v>
      </c>
      <c r="AC127" s="22">
        <f t="shared" si="57"/>
        <v>84.418563867800529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1.3999999999999773</v>
      </c>
      <c r="AJ127" s="13">
        <f>AI127*VLOOKUP('Données projet'!$B$10,Paramètres!$A$1:$I$89,3,0)*VLOOKUP('Données projet'!$B$10,Paramètres!$A$1:$I$89,5,0)</f>
        <v>0.83719999999998651</v>
      </c>
      <c r="AK127" s="13">
        <f t="shared" si="89"/>
        <v>0.39388003094446933</v>
      </c>
      <c r="AL127" s="20">
        <f t="shared" si="58"/>
        <v>2.144131053894927</v>
      </c>
      <c r="AM127" s="59">
        <f t="shared" si="59"/>
        <v>285.01118283706825</v>
      </c>
      <c r="AN127" s="59">
        <f ca="1">AVERAGE(OFFSET($AM$3,0,0,'Données projet'!$E$10+1,1))-AVERAGE(OFFSET($H$3,0,0,'Données projet'!$E$10+1,1))</f>
        <v>318.6615972007902</v>
      </c>
      <c r="AO127" s="59">
        <f t="shared" si="90"/>
        <v>326.82168950869504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38.946491786343536</v>
      </c>
      <c r="AV127" s="21">
        <f>EXP(-LN(2)/25)*AV126+(1-EXP(-LN(2)/25))/(LN(2)/25)*Calculateur!AQ127*Calculateur!AS127*VLOOKUP('Données projet'!$B$10,Paramètres!$A$1:$I$89,3,0)*0.475*44/12</f>
        <v>8.178391030108541</v>
      </c>
      <c r="AW127" s="21">
        <f>EXP(-LN(2)/2)*AW126+(1-EXP(-LN(2)/2))/(LN(2)/2)*AQ127*AT127*VLOOKUP('Données projet'!$B$10,Paramètres!$A$1:$I$89,3,0)*0.475*44/12</f>
        <v>1.3916006714950458E-8</v>
      </c>
      <c r="AX127" s="21">
        <f t="shared" si="60"/>
        <v>47.124882830368087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2.4</v>
      </c>
      <c r="BD127" s="12">
        <f>IF('Données projet'!$A$88&gt;35,BD126+BC127-BL126,IF(A127&lt;'Données projet'!$A$88,$BA$205^A127,IF(A127='Données projet'!$A$88,'Données projet'!$B$88,BD126+BC127-BL126)))</f>
        <v>260.60000000000002</v>
      </c>
      <c r="BE127" s="13">
        <f>BD127*VLOOKUP('Données projet'!$B$11,Paramètres!$A$1:$I$89,3,0)*VLOOKUP('Données projet'!$B$11,Paramètres!$A$1:$I$89,5,0)</f>
        <v>264.2484</v>
      </c>
      <c r="BF127" s="13">
        <f t="shared" si="91"/>
        <v>63.627109143733414</v>
      </c>
      <c r="BG127" s="20">
        <f t="shared" si="61"/>
        <v>571.04984509200233</v>
      </c>
      <c r="BH127" s="59">
        <f t="shared" si="62"/>
        <v>853.91689687517567</v>
      </c>
      <c r="BI127" s="59">
        <f ca="1">AVERAGE(OFFSET($BH$3,0,0,'Données projet'!$E$11+1,1))-AVERAGE(OFFSET($H$3,0,0,'Données projet'!$E$11+1,1))</f>
        <v>402.96916953216805</v>
      </c>
      <c r="BJ127" s="59">
        <f t="shared" si="92"/>
        <v>164.89273051331318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5.6283363316603916</v>
      </c>
      <c r="BQ127" s="21">
        <f>EXP(-LN(2)/25)*BQ126+(1-EXP(-LN(2)/25))/(LN(2)/25)*Calculateur!BL127*Calculateur!BN127*VLOOKUP('Données projet'!$B$11,Paramètres!$A$1:$I$89,3,0)*0.475*44/12</f>
        <v>6.9146616972131065</v>
      </c>
      <c r="BR127" s="21">
        <f>EXP(-LN(2)/2)*BR126+(1-EXP(-LN(2)/2))/(LN(2)/2)*BL127*BO127*VLOOKUP('Données projet'!$B$11,Paramètres!$A$1:$I$89,3,0)*0.475*44/12</f>
        <v>0.58149507863265193</v>
      </c>
      <c r="BS127" s="22">
        <f t="shared" si="63"/>
        <v>13.124493107506151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-2.2737367544323206E-13</v>
      </c>
      <c r="BZ127" s="13">
        <f>BY127*VLOOKUP('Données projet'!$B$12,Paramètres!$A$1:$I$89,3,0)*VLOOKUP('Données projet'!$B$12,Paramètres!$A$1:$I$89,5,0)</f>
        <v>-1.3596945791505279E-13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373.61861223558259</v>
      </c>
      <c r="CE127" s="59">
        <f t="shared" si="94"/>
        <v>277.62293009761049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64.122770847200073</v>
      </c>
      <c r="CL127" s="21">
        <f>EXP(-LN(2)/25)*CL126+(1-EXP(-LN(2)/25))/(LN(2)/25)*Calculateur!CG127*Calculateur!CI127*VLOOKUP('Données projet'!$B$12,Paramètres!$A$1:$I$89,3,0)*0.475*44/12</f>
        <v>15.277431130360956</v>
      </c>
      <c r="CM127" s="21">
        <f>EXP(-LN(2)/2)*CM126+(1-EXP(-LN(2)/2))/(LN(2)/2)*CG127*CJ127*VLOOKUP('Données projet'!$B$12,Paramètres!$A$1:$I$89,3,0)*0.475*44/12</f>
        <v>1.6860161495496918E-5</v>
      </c>
      <c r="CN127" s="22">
        <f t="shared" si="66"/>
        <v>79.40021883772252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10.745999999999999</v>
      </c>
      <c r="N128" s="13">
        <f>IF('Données projet'!$A$36&gt;35,N127+M128-V127,IF(A128&lt;'Données projet'!$A$36,$K$205^A128,IF(A128='Données projet'!$A$36,'Données projet'!$B$36,N127+M128-V127)))</f>
        <v>552.68000000000006</v>
      </c>
      <c r="O128" s="13">
        <f>N128*VLOOKUP('Données projet'!$B$9,Paramètres!$A$1:$I$89,3,0)*VLOOKUP('Données projet'!$B$9,Paramètres!$A$1:$I$89,5,0)</f>
        <v>500.064864</v>
      </c>
      <c r="P128" s="13">
        <f t="shared" si="87"/>
        <v>111.7922609431773</v>
      </c>
      <c r="Q128" s="20">
        <f t="shared" si="107"/>
        <v>1065.6511592760337</v>
      </c>
      <c r="R128" s="59">
        <f t="shared" si="55"/>
        <v>1348.6997776450021</v>
      </c>
      <c r="S128" s="59">
        <f ca="1">AVERAGE(OFFSET($R$3,0,0,'Données projet'!$E$9+1,1))-AVERAGE(OFFSET($H$3,0,0,'Données projet'!$E$9+1,1))</f>
        <v>737.40414421611001</v>
      </c>
      <c r="T128" s="59">
        <f t="shared" si="88"/>
        <v>245.32893490531674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56.001017382348714</v>
      </c>
      <c r="AA128" s="21">
        <f>EXP(-LN(2)/25)*AA127+(1-EXP(-LN(2)/25))/(LN(2)/25)*Calculateur!V128*Calculateur!X128*VLOOKUP('Données projet'!$B$9,Paramètres!$A$1:$I$89,3,0)*0.475*44/12</f>
        <v>26.550940263510604</v>
      </c>
      <c r="AB128" s="21">
        <f>EXP(-LN(2)/2)*AB127+(1-EXP(-LN(2)/2))/(LN(2)/2)*V128*Y128*VLOOKUP('Données projet'!$B$9,Paramètres!$A$1:$I$89,3,0)*0.475*44/12</f>
        <v>3.3384594113679698E-5</v>
      </c>
      <c r="AC128" s="22">
        <f t="shared" si="57"/>
        <v>82.551991030453436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1.3999999999999773</v>
      </c>
      <c r="AJ128" s="13">
        <f>AI128*VLOOKUP('Données projet'!$B$10,Paramètres!$A$1:$I$89,3,0)*VLOOKUP('Données projet'!$B$10,Paramètres!$A$1:$I$89,5,0)</f>
        <v>0.83719999999998651</v>
      </c>
      <c r="AK128" s="13">
        <f t="shared" si="89"/>
        <v>0.39388003094446933</v>
      </c>
      <c r="AL128" s="20">
        <f t="shared" si="58"/>
        <v>2.144131053894927</v>
      </c>
      <c r="AM128" s="59">
        <f t="shared" si="59"/>
        <v>285.19274942286341</v>
      </c>
      <c r="AN128" s="59">
        <f ca="1">AVERAGE(OFFSET($AM$3,0,0,'Données projet'!$E$10+1,1))-AVERAGE(OFFSET($H$3,0,0,'Données projet'!$E$10+1,1))</f>
        <v>318.6615972007902</v>
      </c>
      <c r="AO128" s="59">
        <f t="shared" si="90"/>
        <v>326.82168950869504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38.182774837427715</v>
      </c>
      <c r="AV128" s="21">
        <f>EXP(-LN(2)/25)*AV127+(1-EXP(-LN(2)/25))/(LN(2)/25)*Calculateur!AQ128*Calculateur!AS128*VLOOKUP('Données projet'!$B$10,Paramètres!$A$1:$I$89,3,0)*0.475*44/12</f>
        <v>7.9547524973073305</v>
      </c>
      <c r="AW128" s="21">
        <f>EXP(-LN(2)/2)*AW127+(1-EXP(-LN(2)/2))/(LN(2)/2)*AQ128*AT128*VLOOKUP('Données projet'!$B$10,Paramètres!$A$1:$I$89,3,0)*0.475*44/12</f>
        <v>9.8401027151789996E-9</v>
      </c>
      <c r="AX128" s="21">
        <f t="shared" si="60"/>
        <v>46.137527344575147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>
        <f>VLOOKUP(A128,'Données projet'!$A$87:$I$107,2,0)</f>
        <v>263</v>
      </c>
      <c r="BB128" s="12">
        <f>VLOOKUP(A128,'Données projet'!$A$87:$I$107,9,0)</f>
        <v>2.4</v>
      </c>
      <c r="BC128" s="12">
        <f t="array" ref="BC128">INDEX(BB:BB,MIN(IF(ISNUMBER(BB128:BB324),ROW(BB128:BB324),"")))</f>
        <v>2.4</v>
      </c>
      <c r="BD128" s="12">
        <f>IF('Données projet'!$A$88&gt;35,BD127+BC128-BL127,IF(A128&lt;'Données projet'!$A$88,$BA$205^A128,IF(A128='Données projet'!$A$88,'Données projet'!$B$88,BD127+BC128-BL127)))</f>
        <v>263</v>
      </c>
      <c r="BE128" s="13">
        <f>BD128*VLOOKUP('Données projet'!$B$11,Paramètres!$A$1:$I$89,3,0)*VLOOKUP('Données projet'!$B$11,Paramètres!$A$1:$I$89,5,0)</f>
        <v>266.68200000000002</v>
      </c>
      <c r="BF128" s="13">
        <f t="shared" si="91"/>
        <v>64.144600001897771</v>
      </c>
      <c r="BG128" s="20">
        <f t="shared" si="61"/>
        <v>576.189661669972</v>
      </c>
      <c r="BH128" s="59">
        <f t="shared" si="62"/>
        <v>859.2382800389405</v>
      </c>
      <c r="BI128" s="59">
        <f ca="1">AVERAGE(OFFSET($BH$3,0,0,'Données projet'!$E$11+1,1))-AVERAGE(OFFSET($H$3,0,0,'Données projet'!$E$11+1,1))</f>
        <v>402.96916953216805</v>
      </c>
      <c r="BJ128" s="59">
        <f t="shared" si="92"/>
        <v>164.89273051331318</v>
      </c>
      <c r="BK128" s="15">
        <f>IF(ISNA(VLOOKUP(A128,'Données projet'!$A$87:$I$107,3,0)),0,VLOOKUP(A128,'Données projet'!$A$87:$I$107,3,0))</f>
        <v>19</v>
      </c>
      <c r="BL128" s="15">
        <f>IF(ISNA(VLOOKUP(A128,'Données projet'!$A$87:$I$107,4,0)),0,VLOOKUP(A128,'Données projet'!$A$87:$I$107,4,0))</f>
        <v>8</v>
      </c>
      <c r="BM128" s="16">
        <f>IF(ISNA(VLOOKUP(A128,'Données projet'!$A$87:$I$107,5,0)),0%,VLOOKUP(A128,'Données projet'!$A$87:$I$107,5,0)*VLOOKUP('Données projet'!$B$11,Paramètres!$A$1:$I$89,7,0))</f>
        <v>0.1075</v>
      </c>
      <c r="BN128" s="16">
        <f>IF(ISNA(VLOOKUP(A128,'Données projet'!$A$87:$I$107,6,0)),0%,VLOOKUP(A128,'Données projet'!$A$87:$I$107,6,0)*VLOOKUP('Données projet'!$B$11,Paramètres!$A$1:$I$89,7,0))</f>
        <v>0.1075</v>
      </c>
      <c r="BO128" s="16">
        <f>IF(ISNA(VLOOKUP(A128,'Données projet'!$A$87:$I$107,7,0)),0%,VLOOKUP(A128,'Données projet'!$A$87:$I$107,7,0))</f>
        <v>0.25</v>
      </c>
      <c r="BP128" s="21">
        <f>EXP(-LN(2)/35)*BP127+(1-EXP(-LN(2)/35))/(LN(2)/35)*BL128*BM128*VLOOKUP('Données projet'!$B$11,Paramètres!$A$1:$I$89,3,0)*0.475*44/12</f>
        <v>6.4819824789106324</v>
      </c>
      <c r="BQ128" s="21">
        <f>EXP(-LN(2)/25)*BQ127+(1-EXP(-LN(2)/25))/(LN(2)/25)*Calculateur!BL128*Calculateur!BN128*VLOOKUP('Données projet'!$B$11,Paramètres!$A$1:$I$89,3,0)*0.475*44/12</f>
        <v>7.6857986072736768</v>
      </c>
      <c r="BR128" s="21">
        <f>EXP(-LN(2)/2)*BR127+(1-EXP(-LN(2)/2))/(LN(2)/2)*BL128*BO128*VLOOKUP('Données projet'!$B$11,Paramètres!$A$1:$I$89,3,0)*0.475*44/12</f>
        <v>2.3246516961474799</v>
      </c>
      <c r="BS128" s="22">
        <f t="shared" si="63"/>
        <v>16.49243278233179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-2.2737367544323206E-13</v>
      </c>
      <c r="BZ128" s="13">
        <f>BY128*VLOOKUP('Données projet'!$B$12,Paramètres!$A$1:$I$89,3,0)*VLOOKUP('Données projet'!$B$12,Paramètres!$A$1:$I$89,5,0)</f>
        <v>-1.3596945791505279E-13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373.61861223558259</v>
      </c>
      <c r="CE128" s="59">
        <f t="shared" si="94"/>
        <v>277.62293009761049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62.865362421914803</v>
      </c>
      <c r="CL128" s="21">
        <f>EXP(-LN(2)/25)*CL127+(1-EXP(-LN(2)/25))/(LN(2)/25)*Calculateur!CG128*Calculateur!CI128*VLOOKUP('Données projet'!$B$12,Paramètres!$A$1:$I$89,3,0)*0.475*44/12</f>
        <v>14.859668972696049</v>
      </c>
      <c r="CM128" s="21">
        <f>EXP(-LN(2)/2)*CM127+(1-EXP(-LN(2)/2))/(LN(2)/2)*CG128*CJ128*VLOOKUP('Données projet'!$B$12,Paramètres!$A$1:$I$89,3,0)*0.475*44/12</f>
        <v>1.1921934525366193E-5</v>
      </c>
      <c r="CN128" s="22">
        <f t="shared" si="66"/>
        <v>77.725043316545381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10.745999999999999</v>
      </c>
      <c r="N129" s="13">
        <f>IF('Données projet'!$A$36&gt;35,N128+M129-V128,IF(A129&lt;'Données projet'!$A$36,$K$205^A129,IF(A129='Données projet'!$A$36,'Données projet'!$B$36,N128+M129-V128)))</f>
        <v>563.42600000000004</v>
      </c>
      <c r="O129" s="13">
        <f>N129*VLOOKUP('Données projet'!$B$9,Paramètres!$A$1:$I$89,3,0)*VLOOKUP('Données projet'!$B$9,Paramètres!$A$1:$I$89,5,0)</f>
        <v>509.78784480000002</v>
      </c>
      <c r="P129" s="13">
        <f t="shared" si="87"/>
        <v>113.71071908731024</v>
      </c>
      <c r="Q129" s="20">
        <f t="shared" si="107"/>
        <v>1085.9266654370654</v>
      </c>
      <c r="R129" s="59">
        <f t="shared" si="55"/>
        <v>1369.1537006174876</v>
      </c>
      <c r="S129" s="59">
        <f ca="1">AVERAGE(OFFSET($R$3,0,0,'Données projet'!$E$9+1,1))-AVERAGE(OFFSET($H$3,0,0,'Données projet'!$E$9+1,1))</f>
        <v>737.40414421611001</v>
      </c>
      <c r="T129" s="59">
        <f t="shared" si="88"/>
        <v>245.32893490531674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54.902871588728708</v>
      </c>
      <c r="AA129" s="21">
        <f>EXP(-LN(2)/25)*AA128+(1-EXP(-LN(2)/25))/(LN(2)/25)*Calculateur!V129*Calculateur!X129*VLOOKUP('Données projet'!$B$9,Paramètres!$A$1:$I$89,3,0)*0.475*44/12</f>
        <v>25.824903405751641</v>
      </c>
      <c r="AB129" s="21">
        <f>EXP(-LN(2)/2)*AB128+(1-EXP(-LN(2)/2))/(LN(2)/2)*V129*Y129*VLOOKUP('Données projet'!$B$9,Paramètres!$A$1:$I$89,3,0)*0.475*44/12</f>
        <v>2.3606472884943413E-5</v>
      </c>
      <c r="AC129" s="22">
        <f t="shared" si="57"/>
        <v>80.727798600953221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1.3999999999999773</v>
      </c>
      <c r="AJ129" s="13">
        <f>AI129*VLOOKUP('Données projet'!$B$10,Paramètres!$A$1:$I$89,3,0)*VLOOKUP('Données projet'!$B$10,Paramètres!$A$1:$I$89,5,0)</f>
        <v>0.83719999999998651</v>
      </c>
      <c r="AK129" s="13">
        <f t="shared" si="89"/>
        <v>0.39388003094446933</v>
      </c>
      <c r="AL129" s="20">
        <f t="shared" si="58"/>
        <v>2.144131053894927</v>
      </c>
      <c r="AM129" s="59">
        <f t="shared" si="59"/>
        <v>285.37116623431712</v>
      </c>
      <c r="AN129" s="59">
        <f ca="1">AVERAGE(OFFSET($AM$3,0,0,'Données projet'!$E$10+1,1))-AVERAGE(OFFSET($H$3,0,0,'Données projet'!$E$10+1,1))</f>
        <v>318.6615972007902</v>
      </c>
      <c r="AO129" s="59">
        <f t="shared" si="90"/>
        <v>326.82168950869504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37.434033912058794</v>
      </c>
      <c r="AV129" s="21">
        <f>EXP(-LN(2)/25)*AV128+(1-EXP(-LN(2)/25))/(LN(2)/25)*Calculateur!AQ129*Calculateur!AS129*VLOOKUP('Données projet'!$B$10,Paramètres!$A$1:$I$89,3,0)*0.475*44/12</f>
        <v>7.7372293719462082</v>
      </c>
      <c r="AW129" s="21">
        <f>EXP(-LN(2)/2)*AW128+(1-EXP(-LN(2)/2))/(LN(2)/2)*AQ129*AT129*VLOOKUP('Données projet'!$B$10,Paramètres!$A$1:$I$89,3,0)*0.475*44/12</f>
        <v>6.9580033574752291E-9</v>
      </c>
      <c r="AX129" s="21">
        <f t="shared" si="60"/>
        <v>45.171263290963005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2.2000000000000002</v>
      </c>
      <c r="BD129" s="12">
        <f>IF('Données projet'!$A$88&gt;35,BD128+BC129-BL128,IF(A129&lt;'Données projet'!$A$88,$BA$205^A129,IF(A129='Données projet'!$A$88,'Données projet'!$B$88,BD128+BC129-BL128)))</f>
        <v>257.2</v>
      </c>
      <c r="BE129" s="13">
        <f>BD129*VLOOKUP('Données projet'!$B$11,Paramètres!$A$1:$I$89,3,0)*VLOOKUP('Données projet'!$B$11,Paramètres!$A$1:$I$89,5,0)</f>
        <v>260.80080000000004</v>
      </c>
      <c r="BF129" s="13">
        <f t="shared" si="91"/>
        <v>62.89304559143978</v>
      </c>
      <c r="BG129" s="20">
        <f t="shared" si="61"/>
        <v>563.76678107175769</v>
      </c>
      <c r="BH129" s="59">
        <f t="shared" si="62"/>
        <v>846.99381625217984</v>
      </c>
      <c r="BI129" s="59">
        <f ca="1">AVERAGE(OFFSET($BH$3,0,0,'Données projet'!$E$11+1,1))-AVERAGE(OFFSET($H$3,0,0,'Données projet'!$E$11+1,1))</f>
        <v>402.96916953216805</v>
      </c>
      <c r="BJ129" s="59">
        <f t="shared" si="92"/>
        <v>164.89273051331318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6.3548747561181198</v>
      </c>
      <c r="BQ129" s="21">
        <f>EXP(-LN(2)/25)*BQ128+(1-EXP(-LN(2)/25))/(LN(2)/25)*Calculateur!BL129*Calculateur!BN129*VLOOKUP('Données projet'!$B$11,Paramètres!$A$1:$I$89,3,0)*0.475*44/12</f>
        <v>7.4756300401791957</v>
      </c>
      <c r="BR129" s="21">
        <f>EXP(-LN(2)/2)*BR128+(1-EXP(-LN(2)/2))/(LN(2)/2)*BL129*BO129*VLOOKUP('Données projet'!$B$11,Paramètres!$A$1:$I$89,3,0)*0.475*44/12</f>
        <v>1.6437769782426928</v>
      </c>
      <c r="BS129" s="22">
        <f t="shared" si="63"/>
        <v>15.474281774540009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-2.2737367544323206E-13</v>
      </c>
      <c r="BZ129" s="13">
        <f>BY129*VLOOKUP('Données projet'!$B$12,Paramètres!$A$1:$I$89,3,0)*VLOOKUP('Données projet'!$B$12,Paramètres!$A$1:$I$89,5,0)</f>
        <v>-1.3596945791505279E-13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373.61861223558259</v>
      </c>
      <c r="CE129" s="59">
        <f t="shared" si="94"/>
        <v>277.62293009761049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61.632611008905968</v>
      </c>
      <c r="CL129" s="21">
        <f>EXP(-LN(2)/25)*CL128+(1-EXP(-LN(2)/25))/(LN(2)/25)*Calculateur!CG129*Calculateur!CI129*VLOOKUP('Données projet'!$B$12,Paramètres!$A$1:$I$89,3,0)*0.475*44/12</f>
        <v>14.453330543201647</v>
      </c>
      <c r="CM129" s="21">
        <f>EXP(-LN(2)/2)*CM128+(1-EXP(-LN(2)/2))/(LN(2)/2)*CG129*CJ129*VLOOKUP('Données projet'!$B$12,Paramètres!$A$1:$I$89,3,0)*0.475*44/12</f>
        <v>8.4300807477484592E-6</v>
      </c>
      <c r="CN129" s="22">
        <f t="shared" si="66"/>
        <v>76.085949982188367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10.745999999999999</v>
      </c>
      <c r="N130" s="13">
        <f>IF('Données projet'!$A$36&gt;35,N129+M130-V129,IF(A130&lt;'Données projet'!$A$36,$K$205^A130,IF(A130='Données projet'!$A$36,'Données projet'!$B$36,N129+M130-V129)))</f>
        <v>574.17200000000003</v>
      </c>
      <c r="O130" s="13">
        <f>N130*VLOOKUP('Données projet'!$B$9,Paramètres!$A$1:$I$89,3,0)*VLOOKUP('Données projet'!$B$9,Paramètres!$A$1:$I$89,5,0)</f>
        <v>519.51082560000009</v>
      </c>
      <c r="P130" s="13">
        <f t="shared" si="87"/>
        <v>115.62492260821269</v>
      </c>
      <c r="Q130" s="20">
        <f t="shared" si="107"/>
        <v>1106.1947614626372</v>
      </c>
      <c r="R130" s="59">
        <f t="shared" si="55"/>
        <v>1389.5971183217146</v>
      </c>
      <c r="S130" s="59">
        <f ca="1">AVERAGE(OFFSET($R$3,0,0,'Données projet'!$E$9+1,1))-AVERAGE(OFFSET($H$3,0,0,'Données projet'!$E$9+1,1))</f>
        <v>737.40414421611001</v>
      </c>
      <c r="T130" s="59">
        <f t="shared" si="88"/>
        <v>245.32893490531674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53.826259764318799</v>
      </c>
      <c r="AA130" s="21">
        <f>EXP(-LN(2)/25)*AA129+(1-EXP(-LN(2)/25))/(LN(2)/25)*Calculateur!V130*Calculateur!X130*VLOOKUP('Données projet'!$B$9,Paramètres!$A$1:$I$89,3,0)*0.475*44/12</f>
        <v>25.118720064048716</v>
      </c>
      <c r="AB130" s="21">
        <f>EXP(-LN(2)/2)*AB129+(1-EXP(-LN(2)/2))/(LN(2)/2)*V130*Y130*VLOOKUP('Données projet'!$B$9,Paramètres!$A$1:$I$89,3,0)*0.475*44/12</f>
        <v>1.6692297056839849E-5</v>
      </c>
      <c r="AC130" s="22">
        <f t="shared" si="57"/>
        <v>78.94499652066456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1.3999999999999773</v>
      </c>
      <c r="AJ130" s="13">
        <f>AI130*VLOOKUP('Données projet'!$B$10,Paramètres!$A$1:$I$89,3,0)*VLOOKUP('Données projet'!$B$10,Paramètres!$A$1:$I$89,5,0)</f>
        <v>0.83719999999998651</v>
      </c>
      <c r="AK130" s="13">
        <f t="shared" si="89"/>
        <v>0.39388003094446933</v>
      </c>
      <c r="AL130" s="20">
        <f t="shared" si="58"/>
        <v>2.144131053894927</v>
      </c>
      <c r="AM130" s="59">
        <f t="shared" si="59"/>
        <v>285.54648791297234</v>
      </c>
      <c r="AN130" s="59">
        <f ca="1">AVERAGE(OFFSET($AM$3,0,0,'Données projet'!$E$10+1,1))-AVERAGE(OFFSET($H$3,0,0,'Données projet'!$E$10+1,1))</f>
        <v>318.6615972007902</v>
      </c>
      <c r="AO130" s="59">
        <f t="shared" si="90"/>
        <v>326.82168950869504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36.699975339549482</v>
      </c>
      <c r="AV130" s="21">
        <f>EXP(-LN(2)/25)*AV129+(1-EXP(-LN(2)/25))/(LN(2)/25)*Calculateur!AQ130*Calculateur!AS130*VLOOKUP('Données projet'!$B$10,Paramètres!$A$1:$I$89,3,0)*0.475*44/12</f>
        <v>7.5256544278871305</v>
      </c>
      <c r="AW130" s="21">
        <f>EXP(-LN(2)/2)*AW129+(1-EXP(-LN(2)/2))/(LN(2)/2)*AQ130*AT130*VLOOKUP('Données projet'!$B$10,Paramètres!$A$1:$I$89,3,0)*0.475*44/12</f>
        <v>4.9200513575894998E-9</v>
      </c>
      <c r="AX130" s="21">
        <f t="shared" si="60"/>
        <v>44.225629772356669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2.2000000000000002</v>
      </c>
      <c r="BD130" s="12">
        <f>IF('Données projet'!$A$88&gt;35,BD129+BC130-BL129,IF(A130&lt;'Données projet'!$A$88,$BA$205^A130,IF(A130='Données projet'!$A$88,'Données projet'!$B$88,BD129+BC130-BL129)))</f>
        <v>259.39999999999998</v>
      </c>
      <c r="BE130" s="13">
        <f>BD130*VLOOKUP('Données projet'!$B$11,Paramètres!$A$1:$I$89,3,0)*VLOOKUP('Données projet'!$B$11,Paramètres!$A$1:$I$89,5,0)</f>
        <v>263.03159999999997</v>
      </c>
      <c r="BF130" s="13">
        <f t="shared" si="91"/>
        <v>63.368155928598917</v>
      </c>
      <c r="BG130" s="20">
        <f t="shared" si="61"/>
        <v>568.47957490897636</v>
      </c>
      <c r="BH130" s="59">
        <f t="shared" si="62"/>
        <v>851.88193176805385</v>
      </c>
      <c r="BI130" s="59">
        <f ca="1">AVERAGE(OFFSET($BH$3,0,0,'Données projet'!$E$11+1,1))-AVERAGE(OFFSET($H$3,0,0,'Données projet'!$E$11+1,1))</f>
        <v>402.96916953216805</v>
      </c>
      <c r="BJ130" s="59">
        <f t="shared" si="92"/>
        <v>164.89273051331318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6.2302595382415129</v>
      </c>
      <c r="BQ130" s="21">
        <f>EXP(-LN(2)/25)*BQ129+(1-EXP(-LN(2)/25))/(LN(2)/25)*Calculateur!BL130*Calculateur!BN130*VLOOKUP('Données projet'!$B$11,Paramètres!$A$1:$I$89,3,0)*0.475*44/12</f>
        <v>7.2712085436041978</v>
      </c>
      <c r="BR130" s="21">
        <f>EXP(-LN(2)/2)*BR129+(1-EXP(-LN(2)/2))/(LN(2)/2)*BL130*BO130*VLOOKUP('Données projet'!$B$11,Paramètres!$A$1:$I$89,3,0)*0.475*44/12</f>
        <v>1.1623258480737402</v>
      </c>
      <c r="BS130" s="22">
        <f t="shared" si="63"/>
        <v>14.663793929919452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-2.2737367544323206E-13</v>
      </c>
      <c r="BZ130" s="13">
        <f>BY130*VLOOKUP('Données projet'!$B$12,Paramètres!$A$1:$I$89,3,0)*VLOOKUP('Données projet'!$B$12,Paramètres!$A$1:$I$89,5,0)</f>
        <v>-1.3596945791505279E-13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373.61861223558259</v>
      </c>
      <c r="CE130" s="59">
        <f t="shared" si="94"/>
        <v>277.62293009761049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60.42403309920212</v>
      </c>
      <c r="CL130" s="21">
        <f>EXP(-LN(2)/25)*CL129+(1-EXP(-LN(2)/25))/(LN(2)/25)*Calculateur!CG130*Calculateur!CI130*VLOOKUP('Données projet'!$B$12,Paramètres!$A$1:$I$89,3,0)*0.475*44/12</f>
        <v>14.058103459430178</v>
      </c>
      <c r="CM130" s="21">
        <f>EXP(-LN(2)/2)*CM129+(1-EXP(-LN(2)/2))/(LN(2)/2)*CG130*CJ130*VLOOKUP('Données projet'!$B$12,Paramètres!$A$1:$I$89,3,0)*0.475*44/12</f>
        <v>5.9609672626830967E-6</v>
      </c>
      <c r="CN130" s="22">
        <f t="shared" si="66"/>
        <v>74.482142519599563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10.745999999999999</v>
      </c>
      <c r="N131" s="13">
        <f>IF('Données projet'!$A$36&gt;35,N130+M131-V130,IF(A131&lt;'Données projet'!$A$36,$K$205^A131,IF(A131='Données projet'!$A$36,'Données projet'!$B$36,N130+M131-V130)))</f>
        <v>584.91800000000001</v>
      </c>
      <c r="O131" s="13">
        <f>N131*VLOOKUP('Données projet'!$B$9,Paramètres!$A$1:$I$89,3,0)*VLOOKUP('Données projet'!$B$9,Paramètres!$A$1:$I$89,5,0)</f>
        <v>529.23380639999993</v>
      </c>
      <c r="P131" s="13">
        <f t="shared" si="87"/>
        <v>117.53496031630661</v>
      </c>
      <c r="Q131" s="20">
        <f t="shared" ref="Q131:Q153" si="108">(O131+P131)*0.475*44/12</f>
        <v>1126.4556020309005</v>
      </c>
      <c r="R131" s="59">
        <f t="shared" ref="R131:R194" si="109">Q131+(I131+J131)*44/12</f>
        <v>1410.030239129469</v>
      </c>
      <c r="S131" s="59">
        <f ca="1">AVERAGE(OFFSET($R$3,0,0,'Données projet'!$E$9+1,1))-AVERAGE(OFFSET($H$3,0,0,'Données projet'!$E$9+1,1))</f>
        <v>737.40414421611001</v>
      </c>
      <c r="T131" s="59">
        <f t="shared" si="88"/>
        <v>245.32893490531674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52.770759641117195</v>
      </c>
      <c r="AA131" s="21">
        <f>EXP(-LN(2)/25)*AA130+(1-EXP(-LN(2)/25))/(LN(2)/25)*Calculateur!V131*Calculateur!X131*VLOOKUP('Données projet'!$B$9,Paramètres!$A$1:$I$89,3,0)*0.475*44/12</f>
        <v>24.431847342961227</v>
      </c>
      <c r="AB131" s="21">
        <f>EXP(-LN(2)/2)*AB130+(1-EXP(-LN(2)/2))/(LN(2)/2)*V131*Y131*VLOOKUP('Données projet'!$B$9,Paramètres!$A$1:$I$89,3,0)*0.475*44/12</f>
        <v>1.1803236442471706E-5</v>
      </c>
      <c r="AC131" s="22">
        <f t="shared" si="57"/>
        <v>77.202618787314861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1.3999999999999773</v>
      </c>
      <c r="AJ131" s="13">
        <f>AI131*VLOOKUP('Données projet'!$B$10,Paramètres!$A$1:$I$89,3,0)*VLOOKUP('Données projet'!$B$10,Paramètres!$A$1:$I$89,5,0)</f>
        <v>0.83719999999998651</v>
      </c>
      <c r="AK131" s="13">
        <f t="shared" si="89"/>
        <v>0.39388003094446933</v>
      </c>
      <c r="AL131" s="20">
        <f t="shared" si="58"/>
        <v>2.144131053894927</v>
      </c>
      <c r="AM131" s="59">
        <f t="shared" si="59"/>
        <v>285.71876815246344</v>
      </c>
      <c r="AN131" s="59">
        <f ca="1">AVERAGE(OFFSET($AM$3,0,0,'Données projet'!$E$10+1,1))-AVERAGE(OFFSET($H$3,0,0,'Données projet'!$E$10+1,1))</f>
        <v>318.6615972007902</v>
      </c>
      <c r="AO131" s="59">
        <f t="shared" si="90"/>
        <v>326.82168950869504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35.980311207915562</v>
      </c>
      <c r="AV131" s="21">
        <f>EXP(-LN(2)/25)*AV130+(1-EXP(-LN(2)/25))/(LN(2)/25)*Calculateur!AQ131*Calculateur!AS131*VLOOKUP('Données projet'!$B$10,Paramètres!$A$1:$I$89,3,0)*0.475*44/12</f>
        <v>7.3198650117995907</v>
      </c>
      <c r="AW131" s="21">
        <f>EXP(-LN(2)/2)*AW130+(1-EXP(-LN(2)/2))/(LN(2)/2)*AQ131*AT131*VLOOKUP('Données projet'!$B$10,Paramètres!$A$1:$I$89,3,0)*0.475*44/12</f>
        <v>3.4790016787376146E-9</v>
      </c>
      <c r="AX131" s="21">
        <f t="shared" si="60"/>
        <v>43.300176223194157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2.2000000000000002</v>
      </c>
      <c r="BD131" s="12">
        <f>IF('Données projet'!$A$88&gt;35,BD130+BC131-BL130,IF(A131&lt;'Données projet'!$A$88,$BA$205^A131,IF(A131='Données projet'!$A$88,'Données projet'!$B$88,BD130+BC131-BL130)))</f>
        <v>261.59999999999997</v>
      </c>
      <c r="BE131" s="13">
        <f>BD131*VLOOKUP('Données projet'!$B$11,Paramètres!$A$1:$I$89,3,0)*VLOOKUP('Données projet'!$B$11,Paramètres!$A$1:$I$89,5,0)</f>
        <v>265.26240000000001</v>
      </c>
      <c r="BF131" s="13">
        <f t="shared" si="91"/>
        <v>63.842797461739814</v>
      </c>
      <c r="BG131" s="20">
        <f t="shared" si="61"/>
        <v>573.19155224586348</v>
      </c>
      <c r="BH131" s="59">
        <f t="shared" si="62"/>
        <v>856.76618934443195</v>
      </c>
      <c r="BI131" s="59">
        <f ca="1">AVERAGE(OFFSET($BH$3,0,0,'Données projet'!$E$11+1,1))-AVERAGE(OFFSET($H$3,0,0,'Données projet'!$E$11+1,1))</f>
        <v>402.96916953216805</v>
      </c>
      <c r="BJ131" s="59">
        <f t="shared" si="92"/>
        <v>164.89273051331318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6.108087948779688</v>
      </c>
      <c r="BQ131" s="21">
        <f>EXP(-LN(2)/25)*BQ130+(1-EXP(-LN(2)/25))/(LN(2)/25)*Calculateur!BL131*Calculateur!BN131*VLOOKUP('Données projet'!$B$11,Paramètres!$A$1:$I$89,3,0)*0.475*44/12</f>
        <v>7.0723769636031024</v>
      </c>
      <c r="BR131" s="21">
        <f>EXP(-LN(2)/2)*BR130+(1-EXP(-LN(2)/2))/(LN(2)/2)*BL131*BO131*VLOOKUP('Données projet'!$B$11,Paramètres!$A$1:$I$89,3,0)*0.475*44/12</f>
        <v>0.82188848912134649</v>
      </c>
      <c r="BS131" s="22">
        <f t="shared" si="63"/>
        <v>14.002353401504138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-2.2737367544323206E-13</v>
      </c>
      <c r="BZ131" s="13">
        <f>BY131*VLOOKUP('Données projet'!$B$12,Paramètres!$A$1:$I$89,3,0)*VLOOKUP('Données projet'!$B$12,Paramètres!$A$1:$I$89,5,0)</f>
        <v>-1.3596945791505279E-13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373.61861223558259</v>
      </c>
      <c r="CE131" s="59">
        <f t="shared" si="94"/>
        <v>277.62293009761049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59.239154665147829</v>
      </c>
      <c r="CL131" s="21">
        <f>EXP(-LN(2)/25)*CL130+(1-EXP(-LN(2)/25))/(LN(2)/25)*Calculateur!CG131*Calculateur!CI131*VLOOKUP('Données projet'!$B$12,Paramètres!$A$1:$I$89,3,0)*0.475*44/12</f>
        <v>13.673683881048529</v>
      </c>
      <c r="CM131" s="21">
        <f>EXP(-LN(2)/2)*CM130+(1-EXP(-LN(2)/2))/(LN(2)/2)*CG131*CJ131*VLOOKUP('Données projet'!$B$12,Paramètres!$A$1:$I$89,3,0)*0.475*44/12</f>
        <v>4.2150403738742296E-6</v>
      </c>
      <c r="CN131" s="22">
        <f t="shared" si="66"/>
        <v>72.912842761236732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10.745999999999999</v>
      </c>
      <c r="N132" s="13">
        <f>IF('Données projet'!$A$36&gt;35,N131+M132-V131,IF(A132&lt;'Données projet'!$A$36,$K$205^A132,IF(A132='Données projet'!$A$36,'Données projet'!$B$36,N131+M132-V131)))</f>
        <v>595.66399999999999</v>
      </c>
      <c r="O132" s="13">
        <f>N132*VLOOKUP('Données projet'!$B$9,Paramètres!$A$1:$I$89,3,0)*VLOOKUP('Données projet'!$B$9,Paramètres!$A$1:$I$89,5,0)</f>
        <v>538.95678720000001</v>
      </c>
      <c r="P132" s="13">
        <f t="shared" si="87"/>
        <v>119.44091757198787</v>
      </c>
      <c r="Q132" s="20">
        <f t="shared" si="108"/>
        <v>1146.709335811212</v>
      </c>
      <c r="R132" s="59">
        <f t="shared" si="109"/>
        <v>1430.4532644722774</v>
      </c>
      <c r="S132" s="59">
        <f ca="1">AVERAGE(OFFSET($R$3,0,0,'Données projet'!$E$9+1,1))-AVERAGE(OFFSET($H$3,0,0,'Données projet'!$E$9+1,1))</f>
        <v>737.40414421611001</v>
      </c>
      <c r="T132" s="59">
        <f t="shared" si="88"/>
        <v>245.32893490531674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51.73595723154007</v>
      </c>
      <c r="AA132" s="21">
        <f>EXP(-LN(2)/25)*AA131+(1-EXP(-LN(2)/25))/(LN(2)/25)*Calculateur!V132*Calculateur!X132*VLOOKUP('Données projet'!$B$9,Paramètres!$A$1:$I$89,3,0)*0.475*44/12</f>
        <v>23.763757192552941</v>
      </c>
      <c r="AB132" s="21">
        <f>EXP(-LN(2)/2)*AB131+(1-EXP(-LN(2)/2))/(LN(2)/2)*V132*Y132*VLOOKUP('Données projet'!$B$9,Paramètres!$A$1:$I$89,3,0)*0.475*44/12</f>
        <v>8.3461485284199245E-6</v>
      </c>
      <c r="AC132" s="22">
        <f t="shared" ref="AC132:AC153" si="111">SUM(Z132:AB132)</f>
        <v>75.499722770241547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1.3999999999999773</v>
      </c>
      <c r="AJ132" s="13">
        <f>AI132*VLOOKUP('Données projet'!$B$10,Paramètres!$A$1:$I$89,3,0)*VLOOKUP('Données projet'!$B$10,Paramètres!$A$1:$I$89,5,0)</f>
        <v>0.83719999999998651</v>
      </c>
      <c r="AK132" s="13">
        <f t="shared" si="89"/>
        <v>0.39388003094446933</v>
      </c>
      <c r="AL132" s="20">
        <f t="shared" ref="AL132:AL153" si="112">(AJ132+AK132)*0.475*44/12</f>
        <v>2.144131053894927</v>
      </c>
      <c r="AM132" s="59">
        <f t="shared" ref="AM132:AM195" si="113">AL132+(AD132+AE132)*44/12</f>
        <v>285.88805971496026</v>
      </c>
      <c r="AN132" s="59">
        <f ca="1">AVERAGE(OFFSET($AM$3,0,0,'Données projet'!$E$10+1,1))-AVERAGE(OFFSET($H$3,0,0,'Données projet'!$E$10+1,1))</f>
        <v>318.6615972007902</v>
      </c>
      <c r="AO132" s="59">
        <f t="shared" si="90"/>
        <v>326.82168950869504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35.274759250951206</v>
      </c>
      <c r="AV132" s="21">
        <f>EXP(-LN(2)/25)*AV131+(1-EXP(-LN(2)/25))/(LN(2)/25)*Calculateur!AQ132*Calculateur!AS132*VLOOKUP('Données projet'!$B$10,Paramètres!$A$1:$I$89,3,0)*0.475*44/12</f>
        <v>7.1197029181169595</v>
      </c>
      <c r="AW132" s="21">
        <f>EXP(-LN(2)/2)*AW131+(1-EXP(-LN(2)/2))/(LN(2)/2)*AQ132*AT132*VLOOKUP('Données projet'!$B$10,Paramètres!$A$1:$I$89,3,0)*0.475*44/12</f>
        <v>2.4600256787947499E-9</v>
      </c>
      <c r="AX132" s="21">
        <f t="shared" ref="AX132:AX153" si="114">SUM(AU132:AW132)</f>
        <v>42.39446217152819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2.2000000000000002</v>
      </c>
      <c r="BD132" s="12">
        <f>IF('Données projet'!$A$88&gt;35,BD131+BC132-BL131,IF(A132&lt;'Données projet'!$A$88,$BA$205^A132,IF(A132='Données projet'!$A$88,'Données projet'!$B$88,BD131+BC132-BL131)))</f>
        <v>263.79999999999995</v>
      </c>
      <c r="BE132" s="13">
        <f>BD132*VLOOKUP('Données projet'!$B$11,Paramètres!$A$1:$I$89,3,0)*VLOOKUP('Données projet'!$B$11,Paramètres!$A$1:$I$89,5,0)</f>
        <v>267.49319999999994</v>
      </c>
      <c r="BF132" s="13">
        <f t="shared" si="91"/>
        <v>64.316974590266284</v>
      </c>
      <c r="BG132" s="20">
        <f t="shared" ref="BG132:BG153" si="115">(BE132+BF132)*0.475*44/12</f>
        <v>577.90272074471375</v>
      </c>
      <c r="BH132" s="59">
        <f t="shared" ref="BH132:BH195" si="116">BG132+(AY132+AZ132)*44/12</f>
        <v>861.64664940577904</v>
      </c>
      <c r="BI132" s="59">
        <f ca="1">AVERAGE(OFFSET($BH$3,0,0,'Données projet'!$E$11+1,1))-AVERAGE(OFFSET($H$3,0,0,'Données projet'!$E$11+1,1))</f>
        <v>402.96916953216805</v>
      </c>
      <c r="BJ132" s="59">
        <f t="shared" si="92"/>
        <v>164.89273051331318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5.9883120696698979</v>
      </c>
      <c r="BQ132" s="21">
        <f>EXP(-LN(2)/25)*BQ131+(1-EXP(-LN(2)/25))/(LN(2)/25)*Calculateur!BL132*Calculateur!BN132*VLOOKUP('Données projet'!$B$11,Paramètres!$A$1:$I$89,3,0)*0.475*44/12</f>
        <v>6.8789824436132356</v>
      </c>
      <c r="BR132" s="21">
        <f>EXP(-LN(2)/2)*BR131+(1-EXP(-LN(2)/2))/(LN(2)/2)*BL132*BO132*VLOOKUP('Données projet'!$B$11,Paramètres!$A$1:$I$89,3,0)*0.475*44/12</f>
        <v>0.58116292403687009</v>
      </c>
      <c r="BS132" s="22">
        <f t="shared" ref="BS132:BS153" si="117">SUM(BP132:BR132)</f>
        <v>13.448457437320005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-2.2737367544323206E-13</v>
      </c>
      <c r="BZ132" s="13">
        <f>BY132*VLOOKUP('Données projet'!$B$12,Paramètres!$A$1:$I$89,3,0)*VLOOKUP('Données projet'!$B$12,Paramètres!$A$1:$I$89,5,0)</f>
        <v>-1.3596945791505279E-13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373.61861223558259</v>
      </c>
      <c r="CE132" s="59">
        <f t="shared" si="94"/>
        <v>277.62293009761049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58.077510974480859</v>
      </c>
      <c r="CL132" s="21">
        <f>EXP(-LN(2)/25)*CL131+(1-EXP(-LN(2)/25))/(LN(2)/25)*Calculateur!CG132*Calculateur!CI132*VLOOKUP('Données projet'!$B$12,Paramètres!$A$1:$I$89,3,0)*0.475*44/12</f>
        <v>13.299776276253473</v>
      </c>
      <c r="CM132" s="21">
        <f>EXP(-LN(2)/2)*CM131+(1-EXP(-LN(2)/2))/(LN(2)/2)*CG132*CJ132*VLOOKUP('Données projet'!$B$12,Paramètres!$A$1:$I$89,3,0)*0.475*44/12</f>
        <v>2.9804836313415484E-6</v>
      </c>
      <c r="CN132" s="22">
        <f t="shared" ref="CN132:CN153" si="120">SUM(CK132:CM132)</f>
        <v>71.377290231217955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>
        <f>VLOOKUP(A133,'Données projet'!$A$35:$I$55,2,0)</f>
        <v>606.41</v>
      </c>
      <c r="L133" s="12">
        <f>VLOOKUP(A133,'Données projet'!$A$35:$I$55,9,0)</f>
        <v>10.745999999999999</v>
      </c>
      <c r="M133" s="12">
        <f t="array" ref="M133">INDEX(L:L,MIN(IF(ISNUMBER(L133:L329),ROW(L133:L329),"")))</f>
        <v>10.745999999999999</v>
      </c>
      <c r="N133" s="13">
        <f>IF('Données projet'!$A$36&gt;35,N132+M133-V132,IF(A133&lt;'Données projet'!$A$36,$K$205^A133,IF(A133='Données projet'!$A$36,'Données projet'!$B$36,N132+M133-V132)))</f>
        <v>606.41</v>
      </c>
      <c r="O133" s="13">
        <f>N133*VLOOKUP('Données projet'!$B$9,Paramètres!$A$1:$I$89,3,0)*VLOOKUP('Données projet'!$B$9,Paramètres!$A$1:$I$89,5,0)</f>
        <v>548.67976799999997</v>
      </c>
      <c r="P133" s="13">
        <f t="shared" ref="P133:P196" si="141">EXP(-1.0587+0.8836*LN(O133)+0.284)</f>
        <v>121.34287647942783</v>
      </c>
      <c r="Q133" s="20">
        <f t="shared" si="108"/>
        <v>1166.95610580167</v>
      </c>
      <c r="R133" s="59">
        <f t="shared" si="109"/>
        <v>1450.8663891951021</v>
      </c>
      <c r="S133" s="59">
        <f ca="1">AVERAGE(OFFSET($R$3,0,0,'Données projet'!$E$9+1,1))-AVERAGE(OFFSET($H$3,0,0,'Données projet'!$E$9+1,1))</f>
        <v>737.40414421611001</v>
      </c>
      <c r="T133" s="59">
        <f t="shared" ref="T133:T196" si="142">$T$3</f>
        <v>245.32893490531674</v>
      </c>
      <c r="U133" s="15">
        <f>IF(ISNA(VLOOKUP(A133,'Données projet'!$A$35:$I$55,3,0)),0,VLOOKUP(A133,'Données projet'!$A$35:$I$55,3,0))</f>
        <v>12</v>
      </c>
      <c r="V133" s="15">
        <f>IF(ISNA(VLOOKUP(A133,'Données projet'!$A$35:$I$55,4,0)),0,VLOOKUP(A133,'Données projet'!$A$35:$I$55,4,0))</f>
        <v>75.799999999999955</v>
      </c>
      <c r="W133" s="16">
        <f>IF(ISNA(VLOOKUP(A133,'Données projet'!$A$35:$I$55,5,0)),0%,VLOOKUP(A133,'Données projet'!$A$35:$I$55,5,0)*VLOOKUP('Données projet'!$B$9,Paramètres!$A$1:$I$89,7,0))</f>
        <v>0.215</v>
      </c>
      <c r="X133" s="16">
        <f>IF(ISNA(VLOOKUP(A133,'Données projet'!$A$35:$I$55,6,0)),0%,VLOOKUP(A133,'Données projet'!$A$35:$I$55,6,0)*VLOOKUP('Données projet'!$B$9,Paramètres!$A$1:$I$89,7,0))</f>
        <v>8.6000000000000007E-2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67.022188447492425</v>
      </c>
      <c r="AA133" s="21">
        <f>EXP(-LN(2)/25)*AA132+(1-EXP(-LN(2)/25))/(LN(2)/25)*Calculateur!V133*Calculateur!X133*VLOOKUP('Données projet'!$B$9,Paramètres!$A$1:$I$89,3,0)*0.475*44/12</f>
        <v>29.608559822433588</v>
      </c>
      <c r="AB133" s="21">
        <f>EXP(-LN(2)/2)*AB132+(1-EXP(-LN(2)/2))/(LN(2)/2)*V133*Y133*VLOOKUP('Données projet'!$B$9,Paramètres!$A$1:$I$89,3,0)*0.475*44/12</f>
        <v>5.9016182212358532E-6</v>
      </c>
      <c r="AC133" s="22">
        <f t="shared" si="111"/>
        <v>96.63075417154424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1.3999999999999773</v>
      </c>
      <c r="AJ133" s="13">
        <f>AI133*VLOOKUP('Données projet'!$B$10,Paramètres!$A$1:$I$89,3,0)*VLOOKUP('Données projet'!$B$10,Paramètres!$A$1:$I$89,5,0)</f>
        <v>0.83719999999998651</v>
      </c>
      <c r="AK133" s="13">
        <f t="shared" ref="AK133:AK153" si="143">EXP(-1.0587+0.8836*LN(AJ133)+0.284)</f>
        <v>0.39388003094446933</v>
      </c>
      <c r="AL133" s="20">
        <f t="shared" si="112"/>
        <v>2.144131053894927</v>
      </c>
      <c r="AM133" s="59">
        <f t="shared" si="113"/>
        <v>286.05441444732702</v>
      </c>
      <c r="AN133" s="59">
        <f ca="1">AVERAGE(OFFSET($AM$3,0,0,'Données projet'!$E$10+1,1))-AVERAGE(OFFSET($H$3,0,0,'Données projet'!$E$10+1,1))</f>
        <v>318.6615972007902</v>
      </c>
      <c r="AO133" s="59">
        <f t="shared" ref="AO133:AO196" si="144">$AO$3</f>
        <v>326.82168950869504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34.583042737518717</v>
      </c>
      <c r="AV133" s="21">
        <f>EXP(-LN(2)/25)*AV132+(1-EXP(-LN(2)/25))/(LN(2)/25)*Calculateur!AQ133*Calculateur!AS133*VLOOKUP('Données projet'!$B$10,Paramètres!$A$1:$I$89,3,0)*0.475*44/12</f>
        <v>6.9250142674121475</v>
      </c>
      <c r="AW133" s="21">
        <f>EXP(-LN(2)/2)*AW132+(1-EXP(-LN(2)/2))/(LN(2)/2)*AQ133*AT133*VLOOKUP('Données projet'!$B$10,Paramètres!$A$1:$I$89,3,0)*0.475*44/12</f>
        <v>1.7395008393688073E-9</v>
      </c>
      <c r="AX133" s="21">
        <f t="shared" si="114"/>
        <v>41.508057006670363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>
        <f>VLOOKUP(A133,'Données projet'!$A$87:$I$107,2,0)</f>
        <v>266</v>
      </c>
      <c r="BB133" s="12">
        <f>VLOOKUP(A133,'Données projet'!$A$87:$I$107,9,0)</f>
        <v>2.2000000000000002</v>
      </c>
      <c r="BC133" s="12">
        <f t="array" ref="BC133">INDEX(BB:BB,MIN(IF(ISNUMBER(BB133:BB329),ROW(BB133:BB329),"")))</f>
        <v>2.2000000000000002</v>
      </c>
      <c r="BD133" s="12">
        <f>IF('Données projet'!$A$88&gt;35,BD132+BC133-BL132,IF(A133&lt;'Données projet'!$A$88,$BA$205^A133,IF(A133='Données projet'!$A$88,'Données projet'!$B$88,BD132+BC133-BL132)))</f>
        <v>265.99999999999994</v>
      </c>
      <c r="BE133" s="13">
        <f>BD133*VLOOKUP('Données projet'!$B$11,Paramètres!$A$1:$I$89,3,0)*VLOOKUP('Données projet'!$B$11,Paramètres!$A$1:$I$89,5,0)</f>
        <v>269.72399999999999</v>
      </c>
      <c r="BF133" s="13">
        <f t="shared" ref="BF133:BF153" si="145">EXP(-1.0587+0.8836*LN(BE133)+0.284)</f>
        <v>64.790691635967406</v>
      </c>
      <c r="BG133" s="20">
        <f t="shared" si="115"/>
        <v>582.61308793264311</v>
      </c>
      <c r="BH133" s="59">
        <f t="shared" si="116"/>
        <v>866.52337132607522</v>
      </c>
      <c r="BI133" s="59">
        <f ca="1">AVERAGE(OFFSET($BH$3,0,0,'Données projet'!$E$11+1,1))-AVERAGE(OFFSET($H$3,0,0,'Données projet'!$E$11+1,1))</f>
        <v>402.96916953216805</v>
      </c>
      <c r="BJ133" s="59">
        <f t="shared" ref="BJ133:BJ196" si="146">$BJ$3</f>
        <v>164.89273051331318</v>
      </c>
      <c r="BK133" s="15" t="str">
        <f>IF(ISNA(VLOOKUP(A133,'Données projet'!$A$87:$I$107,3,0)),0,VLOOKUP(A133,'Données projet'!$A$87:$I$107,3,0))</f>
        <v>CR</v>
      </c>
      <c r="BL133" s="15">
        <f>IF(ISNA(VLOOKUP(A133,'Données projet'!$A$87:$I$107,4,0)),0,VLOOKUP(A133,'Données projet'!$A$87:$I$107,4,0))</f>
        <v>266</v>
      </c>
      <c r="BM133" s="16">
        <f>IF(ISNA(VLOOKUP(A133,'Données projet'!$A$87:$I$107,5,0)),0%,VLOOKUP(A133,'Données projet'!$A$87:$I$107,5,0)*VLOOKUP('Données projet'!$B$11,Paramètres!$A$1:$I$89,7,0))</f>
        <v>0.1075</v>
      </c>
      <c r="BN133" s="16">
        <f>IF(ISNA(VLOOKUP(A133,'Données projet'!$A$87:$I$107,6,0)),0%,VLOOKUP(A133,'Données projet'!$A$87:$I$107,6,0)*VLOOKUP('Données projet'!$B$11,Paramètres!$A$1:$I$89,7,0))</f>
        <v>0.1075</v>
      </c>
      <c r="BO133" s="16">
        <f>IF(ISNA(VLOOKUP(A133,'Données projet'!$A$87:$I$107,7,0)),0%,VLOOKUP(A133,'Données projet'!$A$87:$I$107,7,0))</f>
        <v>0.25</v>
      </c>
      <c r="BP133" s="21">
        <f>EXP(-LN(2)/35)*BP132+(1-EXP(-LN(2)/35))/(LN(2)/35)*BL133*BM133*VLOOKUP('Données projet'!$B$11,Paramètres!$A$1:$I$89,3,0)*0.475*44/12</f>
        <v>37.924363382276518</v>
      </c>
      <c r="BQ133" s="21">
        <f>EXP(-LN(2)/25)*BQ132+(1-EXP(-LN(2)/25))/(LN(2)/25)*Calculateur!BL133*Calculateur!BN133*VLOOKUP('Données projet'!$B$11,Paramètres!$A$1:$I$89,3,0)*0.475*44/12</f>
        <v>38.618148008696842</v>
      </c>
      <c r="BR133" s="21">
        <f>EXP(-LN(2)/2)*BR132+(1-EXP(-LN(2)/2))/(LN(2)/2)*BL133*BO133*VLOOKUP('Données projet'!$B$11,Paramètres!$A$1:$I$89,3,0)*0.475*44/12</f>
        <v>64.033907623316608</v>
      </c>
      <c r="BS133" s="22">
        <f t="shared" si="117"/>
        <v>140.57641901428997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-2.2737367544323206E-13</v>
      </c>
      <c r="BZ133" s="13">
        <f>BY133*VLOOKUP('Données projet'!$B$12,Paramètres!$A$1:$I$89,3,0)*VLOOKUP('Données projet'!$B$12,Paramètres!$A$1:$I$89,5,0)</f>
        <v>-1.3596945791505279E-13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373.61861223558259</v>
      </c>
      <c r="CE133" s="59">
        <f t="shared" ref="CE133:CE196" si="148">$CE$3</f>
        <v>277.62293009761049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56.938646408055178</v>
      </c>
      <c r="CL133" s="21">
        <f>EXP(-LN(2)/25)*CL132+(1-EXP(-LN(2)/25))/(LN(2)/25)*Calculateur!CG133*Calculateur!CI133*VLOOKUP('Données projet'!$B$12,Paramètres!$A$1:$I$89,3,0)*0.475*44/12</f>
        <v>12.936093194574484</v>
      </c>
      <c r="CM133" s="21">
        <f>EXP(-LN(2)/2)*CM132+(1-EXP(-LN(2)/2))/(LN(2)/2)*CG133*CJ133*VLOOKUP('Données projet'!$B$12,Paramètres!$A$1:$I$89,3,0)*0.475*44/12</f>
        <v>2.1075201869371148E-6</v>
      </c>
      <c r="CN133" s="22">
        <f t="shared" si="120"/>
        <v>69.874741710149848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10.843999999999994</v>
      </c>
      <c r="N134" s="13">
        <f>IF('Données projet'!$A$36&gt;35,N133+M134-V133,IF(A134&lt;'Données projet'!$A$36,$K$205^A134,IF(A134='Données projet'!$A$36,'Données projet'!$B$36,N133+M134-V133)))</f>
        <v>541.45399999999995</v>
      </c>
      <c r="O134" s="13">
        <f>N134*VLOOKUP('Données projet'!$B$9,Paramètres!$A$1:$I$89,3,0)*VLOOKUP('Données projet'!$B$9,Paramètres!$A$1:$I$89,5,0)</f>
        <v>489.90757919999993</v>
      </c>
      <c r="P134" s="13">
        <f t="shared" si="141"/>
        <v>109.78346531715303</v>
      </c>
      <c r="Q134" s="20">
        <f t="shared" si="108"/>
        <v>1044.4619025340414</v>
      </c>
      <c r="R134" s="59">
        <f t="shared" si="109"/>
        <v>1328.5356547771471</v>
      </c>
      <c r="S134" s="59">
        <f ca="1">AVERAGE(OFFSET($R$3,0,0,'Données projet'!$E$9+1,1))-AVERAGE(OFFSET($H$3,0,0,'Données projet'!$E$9+1,1))</f>
        <v>737.40414421611001</v>
      </c>
      <c r="T134" s="59">
        <f t="shared" si="142"/>
        <v>245.32893490531674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65.707924211535541</v>
      </c>
      <c r="AA134" s="21">
        <f>EXP(-LN(2)/25)*AA133+(1-EXP(-LN(2)/25))/(LN(2)/25)*Calculateur!V134*Calculateur!X134*VLOOKUP('Données projet'!$B$9,Paramètres!$A$1:$I$89,3,0)*0.475*44/12</f>
        <v>28.79891219704265</v>
      </c>
      <c r="AB134" s="21">
        <f>EXP(-LN(2)/2)*AB133+(1-EXP(-LN(2)/2))/(LN(2)/2)*V134*Y134*VLOOKUP('Données projet'!$B$9,Paramètres!$A$1:$I$89,3,0)*0.475*44/12</f>
        <v>4.1730742642099622E-6</v>
      </c>
      <c r="AC134" s="22">
        <f t="shared" si="111"/>
        <v>94.506840581652455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1.3999999999999773</v>
      </c>
      <c r="AJ134" s="13">
        <f>AI134*VLOOKUP('Données projet'!$B$10,Paramètres!$A$1:$I$89,3,0)*VLOOKUP('Données projet'!$B$10,Paramètres!$A$1:$I$89,5,0)</f>
        <v>0.83719999999998651</v>
      </c>
      <c r="AK134" s="13">
        <f t="shared" si="143"/>
        <v>0.39388003094446933</v>
      </c>
      <c r="AL134" s="20">
        <f t="shared" si="112"/>
        <v>2.144131053894927</v>
      </c>
      <c r="AM134" s="59">
        <f t="shared" si="113"/>
        <v>286.21788329700064</v>
      </c>
      <c r="AN134" s="59">
        <f ca="1">AVERAGE(OFFSET($AM$3,0,0,'Données projet'!$E$10+1,1))-AVERAGE(OFFSET($H$3,0,0,'Données projet'!$E$10+1,1))</f>
        <v>318.6615972007902</v>
      </c>
      <c r="AO134" s="59">
        <f t="shared" si="144"/>
        <v>326.82168950869504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33.90489036300923</v>
      </c>
      <c r="AV134" s="21">
        <f>EXP(-LN(2)/25)*AV133+(1-EXP(-LN(2)/25))/(LN(2)/25)*Calculateur!AQ134*Calculateur!AS134*VLOOKUP('Données projet'!$B$10,Paramètres!$A$1:$I$89,3,0)*0.475*44/12</f>
        <v>6.7356493880990893</v>
      </c>
      <c r="AW134" s="21">
        <f>EXP(-LN(2)/2)*AW133+(1-EXP(-LN(2)/2))/(LN(2)/2)*AQ134*AT134*VLOOKUP('Données projet'!$B$10,Paramètres!$A$1:$I$89,3,0)*0.475*44/12</f>
        <v>1.2300128393973749E-9</v>
      </c>
      <c r="AX134" s="21">
        <f t="shared" si="114"/>
        <v>40.640539752338334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-5.6843418860808015E-14</v>
      </c>
      <c r="BE134" s="13">
        <f>BD134*VLOOKUP('Données projet'!$B$11,Paramètres!$A$1:$I$89,3,0)*VLOOKUP('Données projet'!$B$11,Paramètres!$A$1:$I$89,5,0)</f>
        <v>-5.7639226724859328E-14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402.96916953216805</v>
      </c>
      <c r="BJ134" s="59">
        <f t="shared" si="146"/>
        <v>164.89273051331318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37.180689747927687</v>
      </c>
      <c r="BQ134" s="21">
        <f>EXP(-LN(2)/25)*BQ133+(1-EXP(-LN(2)/25))/(LN(2)/25)*Calculateur!BL134*Calculateur!BN134*VLOOKUP('Données projet'!$B$11,Paramètres!$A$1:$I$89,3,0)*0.475*44/12</f>
        <v>37.562132720558886</v>
      </c>
      <c r="BR134" s="21">
        <f>EXP(-LN(2)/2)*BR133+(1-EXP(-LN(2)/2))/(LN(2)/2)*BL134*BO134*VLOOKUP('Données projet'!$B$11,Paramètres!$A$1:$I$89,3,0)*0.475*44/12</f>
        <v>45.278810306320139</v>
      </c>
      <c r="BS134" s="22">
        <f t="shared" si="117"/>
        <v>120.0216327748067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-2.2737367544323206E-13</v>
      </c>
      <c r="BZ134" s="13">
        <f>BY134*VLOOKUP('Données projet'!$B$12,Paramètres!$A$1:$I$89,3,0)*VLOOKUP('Données projet'!$B$12,Paramètres!$A$1:$I$89,5,0)</f>
        <v>-1.3596945791505279E-13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373.61861223558259</v>
      </c>
      <c r="CE134" s="59">
        <f t="shared" si="148"/>
        <v>277.62293009761049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55.822114281138305</v>
      </c>
      <c r="CL134" s="21">
        <f>EXP(-LN(2)/25)*CL133+(1-EXP(-LN(2)/25))/(LN(2)/25)*Calculateur!CG134*Calculateur!CI134*VLOOKUP('Données projet'!$B$12,Paramètres!$A$1:$I$89,3,0)*0.475*44/12</f>
        <v>12.582355045889269</v>
      </c>
      <c r="CM134" s="21">
        <f>EXP(-LN(2)/2)*CM133+(1-EXP(-LN(2)/2))/(LN(2)/2)*CG134*CJ134*VLOOKUP('Données projet'!$B$12,Paramètres!$A$1:$I$89,3,0)*0.475*44/12</f>
        <v>1.4902418156707742E-6</v>
      </c>
      <c r="CN134" s="22">
        <f t="shared" si="120"/>
        <v>68.404470817269384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10.843999999999994</v>
      </c>
      <c r="N135" s="13">
        <f>IF('Données projet'!$A$36&gt;35,N134+M135-V134,IF(A135&lt;'Données projet'!$A$36,$K$205^A135,IF(A135='Données projet'!$A$36,'Données projet'!$B$36,N134+M135-V134)))</f>
        <v>552.298</v>
      </c>
      <c r="O135" s="13">
        <f>N135*VLOOKUP('Données projet'!$B$9,Paramètres!$A$1:$I$89,3,0)*VLOOKUP('Données projet'!$B$9,Paramètres!$A$1:$I$89,5,0)</f>
        <v>499.71923039999996</v>
      </c>
      <c r="P135" s="13">
        <f t="shared" si="141"/>
        <v>111.72398392673504</v>
      </c>
      <c r="Q135" s="20">
        <f t="shared" si="108"/>
        <v>1064.9302649523968</v>
      </c>
      <c r="R135" s="59">
        <f t="shared" si="109"/>
        <v>1349.164650226096</v>
      </c>
      <c r="S135" s="59">
        <f ca="1">AVERAGE(OFFSET($R$3,0,0,'Données projet'!$E$9+1,1))-AVERAGE(OFFSET($H$3,0,0,'Données projet'!$E$9+1,1))</f>
        <v>737.40414421611001</v>
      </c>
      <c r="T135" s="59">
        <f t="shared" si="142"/>
        <v>245.32893490531674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64.419431895623731</v>
      </c>
      <c r="AA135" s="21">
        <f>EXP(-LN(2)/25)*AA134+(1-EXP(-LN(2)/25))/(LN(2)/25)*Calculateur!V135*Calculateur!X135*VLOOKUP('Données projet'!$B$9,Paramètres!$A$1:$I$89,3,0)*0.475*44/12</f>
        <v>28.011404428545546</v>
      </c>
      <c r="AB135" s="21">
        <f>EXP(-LN(2)/2)*AB134+(1-EXP(-LN(2)/2))/(LN(2)/2)*V135*Y135*VLOOKUP('Données projet'!$B$9,Paramètres!$A$1:$I$89,3,0)*0.475*44/12</f>
        <v>2.9508091106179266E-6</v>
      </c>
      <c r="AC135" s="22">
        <f t="shared" si="111"/>
        <v>92.430839274978382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1.3999999999999773</v>
      </c>
      <c r="AJ135" s="13">
        <f>AI135*VLOOKUP('Données projet'!$B$10,Paramètres!$A$1:$I$89,3,0)*VLOOKUP('Données projet'!$B$10,Paramètres!$A$1:$I$89,5,0)</f>
        <v>0.83719999999998651</v>
      </c>
      <c r="AK135" s="13">
        <f t="shared" si="143"/>
        <v>0.39388003094446933</v>
      </c>
      <c r="AL135" s="20">
        <f t="shared" si="112"/>
        <v>2.144131053894927</v>
      </c>
      <c r="AM135" s="59">
        <f t="shared" si="113"/>
        <v>286.37851632759407</v>
      </c>
      <c r="AN135" s="59">
        <f ca="1">AVERAGE(OFFSET($AM$3,0,0,'Données projet'!$E$10+1,1))-AVERAGE(OFFSET($H$3,0,0,'Données projet'!$E$10+1,1))</f>
        <v>318.6615972007902</v>
      </c>
      <c r="AO135" s="59">
        <f t="shared" si="144"/>
        <v>326.82168950869504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33.240036142931764</v>
      </c>
      <c r="AV135" s="21">
        <f>EXP(-LN(2)/25)*AV134+(1-EXP(-LN(2)/25))/(LN(2)/25)*Calculateur!AQ135*Calculateur!AS135*VLOOKUP('Données projet'!$B$10,Paramètres!$A$1:$I$89,3,0)*0.475*44/12</f>
        <v>6.5514627013691129</v>
      </c>
      <c r="AW135" s="21">
        <f>EXP(-LN(2)/2)*AW134+(1-EXP(-LN(2)/2))/(LN(2)/2)*AQ135*AT135*VLOOKUP('Données projet'!$B$10,Paramètres!$A$1:$I$89,3,0)*0.475*44/12</f>
        <v>8.6975041968440364E-10</v>
      </c>
      <c r="AX135" s="21">
        <f t="shared" si="114"/>
        <v>39.791498845170622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-5.6843418860808015E-14</v>
      </c>
      <c r="BE135" s="13">
        <f>BD135*VLOOKUP('Données projet'!$B$11,Paramètres!$A$1:$I$89,3,0)*VLOOKUP('Données projet'!$B$11,Paramètres!$A$1:$I$89,5,0)</f>
        <v>-5.7639226724859328E-14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402.96916953216805</v>
      </c>
      <c r="BJ135" s="59">
        <f t="shared" si="146"/>
        <v>164.89273051331318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36.451599099952304</v>
      </c>
      <c r="BQ135" s="21">
        <f>EXP(-LN(2)/25)*BQ134+(1-EXP(-LN(2)/25))/(LN(2)/25)*Calculateur!BL135*Calculateur!BN135*VLOOKUP('Données projet'!$B$11,Paramètres!$A$1:$I$89,3,0)*0.475*44/12</f>
        <v>36.534994226008493</v>
      </c>
      <c r="BR135" s="21">
        <f>EXP(-LN(2)/2)*BR134+(1-EXP(-LN(2)/2))/(LN(2)/2)*BL135*BO135*VLOOKUP('Données projet'!$B$11,Paramètres!$A$1:$I$89,3,0)*0.475*44/12</f>
        <v>32.016953811658311</v>
      </c>
      <c r="BS135" s="22">
        <f t="shared" si="117"/>
        <v>105.00354713761911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-2.2737367544323206E-13</v>
      </c>
      <c r="BZ135" s="13">
        <f>BY135*VLOOKUP('Données projet'!$B$12,Paramètres!$A$1:$I$89,3,0)*VLOOKUP('Données projet'!$B$12,Paramètres!$A$1:$I$89,5,0)</f>
        <v>-1.3596945791505279E-13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373.61861223558259</v>
      </c>
      <c r="CE135" s="59">
        <f t="shared" si="148"/>
        <v>277.62293009761049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54.727476668212923</v>
      </c>
      <c r="CL135" s="21">
        <f>EXP(-LN(2)/25)*CL134+(1-EXP(-LN(2)/25))/(LN(2)/25)*Calculateur!CG135*Calculateur!CI135*VLOOKUP('Données projet'!$B$12,Paramètres!$A$1:$I$89,3,0)*0.475*44/12</f>
        <v>12.238289885482132</v>
      </c>
      <c r="CM135" s="21">
        <f>EXP(-LN(2)/2)*CM134+(1-EXP(-LN(2)/2))/(LN(2)/2)*CG135*CJ135*VLOOKUP('Données projet'!$B$12,Paramètres!$A$1:$I$89,3,0)*0.475*44/12</f>
        <v>1.0537600934685574E-6</v>
      </c>
      <c r="CN135" s="22">
        <f t="shared" si="120"/>
        <v>66.965767607455149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10.843999999999994</v>
      </c>
      <c r="N136" s="13">
        <f>IF('Données projet'!$A$36&gt;35,N135+M136-V135,IF(A136&lt;'Données projet'!$A$36,$K$205^A136,IF(A136='Données projet'!$A$36,'Données projet'!$B$36,N135+M136-V135)))</f>
        <v>563.14200000000005</v>
      </c>
      <c r="O136" s="13">
        <f>N136*VLOOKUP('Données projet'!$B$9,Paramètres!$A$1:$I$89,3,0)*VLOOKUP('Données projet'!$B$9,Paramètres!$A$1:$I$89,5,0)</f>
        <v>509.53088160000004</v>
      </c>
      <c r="P136" s="13">
        <f t="shared" si="141"/>
        <v>113.66007236881403</v>
      </c>
      <c r="Q136" s="20">
        <f t="shared" si="108"/>
        <v>1085.3909114956843</v>
      </c>
      <c r="R136" s="59">
        <f t="shared" si="109"/>
        <v>1369.7831431760178</v>
      </c>
      <c r="S136" s="59">
        <f ca="1">AVERAGE(OFFSET($R$3,0,0,'Données projet'!$E$9+1,1))-AVERAGE(OFFSET($H$3,0,0,'Données projet'!$E$9+1,1))</f>
        <v>737.40414421611001</v>
      </c>
      <c r="T136" s="59">
        <f t="shared" si="142"/>
        <v>245.32893490531674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63.156206128124246</v>
      </c>
      <c r="AA136" s="21">
        <f>EXP(-LN(2)/25)*AA135+(1-EXP(-LN(2)/25))/(LN(2)/25)*Calculateur!V136*Calculateur!X136*VLOOKUP('Données projet'!$B$9,Paramètres!$A$1:$I$89,3,0)*0.475*44/12</f>
        <v>27.24543110139123</v>
      </c>
      <c r="AB136" s="21">
        <f>EXP(-LN(2)/2)*AB135+(1-EXP(-LN(2)/2))/(LN(2)/2)*V136*Y136*VLOOKUP('Données projet'!$B$9,Paramètres!$A$1:$I$89,3,0)*0.475*44/12</f>
        <v>2.0865371321049811E-6</v>
      </c>
      <c r="AC136" s="22">
        <f t="shared" si="111"/>
        <v>90.401639316052609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1.3999999999999773</v>
      </c>
      <c r="AJ136" s="13">
        <f>AI136*VLOOKUP('Données projet'!$B$10,Paramètres!$A$1:$I$89,3,0)*VLOOKUP('Données projet'!$B$10,Paramètres!$A$1:$I$89,5,0)</f>
        <v>0.83719999999998651</v>
      </c>
      <c r="AK136" s="13">
        <f t="shared" si="143"/>
        <v>0.39388003094446933</v>
      </c>
      <c r="AL136" s="20">
        <f t="shared" si="112"/>
        <v>2.144131053894927</v>
      </c>
      <c r="AM136" s="59">
        <f t="shared" si="113"/>
        <v>286.53636273422831</v>
      </c>
      <c r="AN136" s="59">
        <f ca="1">AVERAGE(OFFSET($AM$3,0,0,'Données projet'!$E$10+1,1))-AVERAGE(OFFSET($H$3,0,0,'Données projet'!$E$10+1,1))</f>
        <v>318.6615972007902</v>
      </c>
      <c r="AO136" s="59">
        <f t="shared" si="144"/>
        <v>326.82168950869504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32.58821930858899</v>
      </c>
      <c r="AV136" s="21">
        <f>EXP(-LN(2)/25)*AV135+(1-EXP(-LN(2)/25))/(LN(2)/25)*Calculateur!AQ136*Calculateur!AS136*VLOOKUP('Données projet'!$B$10,Paramètres!$A$1:$I$89,3,0)*0.475*44/12</f>
        <v>6.3723126092737248</v>
      </c>
      <c r="AW136" s="21">
        <f>EXP(-LN(2)/2)*AW135+(1-EXP(-LN(2)/2))/(LN(2)/2)*AQ136*AT136*VLOOKUP('Données projet'!$B$10,Paramètres!$A$1:$I$89,3,0)*0.475*44/12</f>
        <v>6.1500641969868747E-10</v>
      </c>
      <c r="AX136" s="21">
        <f t="shared" si="114"/>
        <v>38.96053191847772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-5.6843418860808015E-14</v>
      </c>
      <c r="BE136" s="13">
        <f>BD136*VLOOKUP('Données projet'!$B$11,Paramètres!$A$1:$I$89,3,0)*VLOOKUP('Données projet'!$B$11,Paramètres!$A$1:$I$89,5,0)</f>
        <v>-5.7639226724859328E-14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402.96916953216805</v>
      </c>
      <c r="BJ136" s="59">
        <f t="shared" si="146"/>
        <v>164.89273051331318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35.736805474882338</v>
      </c>
      <c r="BQ136" s="21">
        <f>EXP(-LN(2)/25)*BQ135+(1-EXP(-LN(2)/25))/(LN(2)/25)*Calculateur!BL136*Calculateur!BN136*VLOOKUP('Données projet'!$B$11,Paramètres!$A$1:$I$89,3,0)*0.475*44/12</f>
        <v>35.535942887606446</v>
      </c>
      <c r="BR136" s="21">
        <f>EXP(-LN(2)/2)*BR135+(1-EXP(-LN(2)/2))/(LN(2)/2)*BL136*BO136*VLOOKUP('Données projet'!$B$11,Paramètres!$A$1:$I$89,3,0)*0.475*44/12</f>
        <v>22.639405153160073</v>
      </c>
      <c r="BS136" s="22">
        <f t="shared" si="117"/>
        <v>93.912153515648853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-2.2737367544323206E-13</v>
      </c>
      <c r="BZ136" s="13">
        <f>BY136*VLOOKUP('Données projet'!$B$12,Paramètres!$A$1:$I$89,3,0)*VLOOKUP('Données projet'!$B$12,Paramètres!$A$1:$I$89,5,0)</f>
        <v>-1.3596945791505279E-13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373.61861223558259</v>
      </c>
      <c r="CE136" s="59">
        <f t="shared" si="148"/>
        <v>277.62293009761049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53.654304231213985</v>
      </c>
      <c r="CL136" s="21">
        <f>EXP(-LN(2)/25)*CL135+(1-EXP(-LN(2)/25))/(LN(2)/25)*Calculateur!CG136*Calculateur!CI136*VLOOKUP('Données projet'!$B$12,Paramètres!$A$1:$I$89,3,0)*0.475*44/12</f>
        <v>11.903633204979929</v>
      </c>
      <c r="CM136" s="21">
        <f>EXP(-LN(2)/2)*CM135+(1-EXP(-LN(2)/2))/(LN(2)/2)*CG136*CJ136*VLOOKUP('Données projet'!$B$12,Paramètres!$A$1:$I$89,3,0)*0.475*44/12</f>
        <v>7.4512090783538709E-7</v>
      </c>
      <c r="CN136" s="22">
        <f t="shared" si="120"/>
        <v>65.557938181314825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10.843999999999994</v>
      </c>
      <c r="N137" s="13">
        <f>IF('Données projet'!$A$36&gt;35,N136+M137-V136,IF(A137&lt;'Données projet'!$A$36,$K$205^A137,IF(A137='Données projet'!$A$36,'Données projet'!$B$36,N136+M137-V136)))</f>
        <v>573.9860000000001</v>
      </c>
      <c r="O137" s="13">
        <f>N137*VLOOKUP('Données projet'!$B$9,Paramètres!$A$1:$I$89,3,0)*VLOOKUP('Données projet'!$B$9,Paramètres!$A$1:$I$89,5,0)</f>
        <v>519.34253280000007</v>
      </c>
      <c r="P137" s="13">
        <f t="shared" si="141"/>
        <v>115.5918257868824</v>
      </c>
      <c r="Q137" s="20">
        <f t="shared" si="108"/>
        <v>1105.8440078721535</v>
      </c>
      <c r="R137" s="59">
        <f t="shared" si="109"/>
        <v>1390.3913476768578</v>
      </c>
      <c r="S137" s="59">
        <f ca="1">AVERAGE(OFFSET($R$3,0,0,'Données projet'!$E$9+1,1))-AVERAGE(OFFSET($H$3,0,0,'Données projet'!$E$9+1,1))</f>
        <v>737.40414421611001</v>
      </c>
      <c r="T137" s="59">
        <f t="shared" si="142"/>
        <v>245.32893490531674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61.917751447433787</v>
      </c>
      <c r="AA137" s="21">
        <f>EXP(-LN(2)/25)*AA136+(1-EXP(-LN(2)/25))/(LN(2)/25)*Calculateur!V137*Calculateur!X137*VLOOKUP('Données projet'!$B$9,Paramètres!$A$1:$I$89,3,0)*0.475*44/12</f>
        <v>26.500403355148734</v>
      </c>
      <c r="AB137" s="21">
        <f>EXP(-LN(2)/2)*AB136+(1-EXP(-LN(2)/2))/(LN(2)/2)*V137*Y137*VLOOKUP('Données projet'!$B$9,Paramètres!$A$1:$I$89,3,0)*0.475*44/12</f>
        <v>1.4754045553089633E-6</v>
      </c>
      <c r="AC137" s="22">
        <f t="shared" si="111"/>
        <v>88.41815627798708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1.3999999999999773</v>
      </c>
      <c r="AJ137" s="13">
        <f>AI137*VLOOKUP('Données projet'!$B$10,Paramètres!$A$1:$I$89,3,0)*VLOOKUP('Données projet'!$B$10,Paramètres!$A$1:$I$89,5,0)</f>
        <v>0.83719999999998651</v>
      </c>
      <c r="AK137" s="13">
        <f t="shared" si="143"/>
        <v>0.39388003094446933</v>
      </c>
      <c r="AL137" s="20">
        <f t="shared" si="112"/>
        <v>2.144131053894927</v>
      </c>
      <c r="AM137" s="59">
        <f t="shared" si="113"/>
        <v>286.69147085859919</v>
      </c>
      <c r="AN137" s="59">
        <f ca="1">AVERAGE(OFFSET($AM$3,0,0,'Données projet'!$E$10+1,1))-AVERAGE(OFFSET($H$3,0,0,'Données projet'!$E$10+1,1))</f>
        <v>318.6615972007902</v>
      </c>
      <c r="AO137" s="59">
        <f t="shared" si="144"/>
        <v>326.82168950869504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31.949184204798662</v>
      </c>
      <c r="AV137" s="21">
        <f>EXP(-LN(2)/25)*AV136+(1-EXP(-LN(2)/25))/(LN(2)/25)*Calculateur!AQ137*Calculateur!AS137*VLOOKUP('Données projet'!$B$10,Paramètres!$A$1:$I$89,3,0)*0.475*44/12</f>
        <v>6.1980613858677787</v>
      </c>
      <c r="AW137" s="21">
        <f>EXP(-LN(2)/2)*AW136+(1-EXP(-LN(2)/2))/(LN(2)/2)*AQ137*AT137*VLOOKUP('Données projet'!$B$10,Paramètres!$A$1:$I$89,3,0)*0.475*44/12</f>
        <v>4.3487520984220182E-10</v>
      </c>
      <c r="AX137" s="21">
        <f t="shared" si="114"/>
        <v>38.147245591101317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-5.6843418860808015E-14</v>
      </c>
      <c r="BE137" s="13">
        <f>BD137*VLOOKUP('Données projet'!$B$11,Paramètres!$A$1:$I$89,3,0)*VLOOKUP('Données projet'!$B$11,Paramètres!$A$1:$I$89,5,0)</f>
        <v>-5.7639226724859328E-14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402.96916953216805</v>
      </c>
      <c r="BJ137" s="59">
        <f t="shared" si="146"/>
        <v>164.89273051331318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35.036028516818931</v>
      </c>
      <c r="BQ137" s="21">
        <f>EXP(-LN(2)/25)*BQ136+(1-EXP(-LN(2)/25))/(LN(2)/25)*Calculateur!BL137*Calculateur!BN137*VLOOKUP('Données projet'!$B$11,Paramètres!$A$1:$I$89,3,0)*0.475*44/12</f>
        <v>34.564210660590831</v>
      </c>
      <c r="BR137" s="21">
        <f>EXP(-LN(2)/2)*BR136+(1-EXP(-LN(2)/2))/(LN(2)/2)*BL137*BO137*VLOOKUP('Données projet'!$B$11,Paramètres!$A$1:$I$89,3,0)*0.475*44/12</f>
        <v>16.008476905829156</v>
      </c>
      <c r="BS137" s="22">
        <f t="shared" si="117"/>
        <v>85.608716083238917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-2.2737367544323206E-13</v>
      </c>
      <c r="BZ137" s="13">
        <f>BY137*VLOOKUP('Données projet'!$B$12,Paramètres!$A$1:$I$89,3,0)*VLOOKUP('Données projet'!$B$12,Paramètres!$A$1:$I$89,5,0)</f>
        <v>-1.3596945791505279E-13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373.61861223558259</v>
      </c>
      <c r="CE137" s="59">
        <f t="shared" si="148"/>
        <v>277.62293009761049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52.602176051134045</v>
      </c>
      <c r="CL137" s="21">
        <f>EXP(-LN(2)/25)*CL136+(1-EXP(-LN(2)/25))/(LN(2)/25)*Calculateur!CG137*Calculateur!CI137*VLOOKUP('Données projet'!$B$12,Paramètres!$A$1:$I$89,3,0)*0.475*44/12</f>
        <v>11.578127729004889</v>
      </c>
      <c r="CM137" s="21">
        <f>EXP(-LN(2)/2)*CM136+(1-EXP(-LN(2)/2))/(LN(2)/2)*CG137*CJ137*VLOOKUP('Données projet'!$B$12,Paramètres!$A$1:$I$89,3,0)*0.475*44/12</f>
        <v>5.268800467342787E-7</v>
      </c>
      <c r="CN137" s="22">
        <f t="shared" si="120"/>
        <v>64.180304307018972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10.843999999999994</v>
      </c>
      <c r="N138" s="13">
        <f>IF('Données projet'!$A$36&gt;35,N137+M138-V137,IF(A138&lt;'Données projet'!$A$36,$K$205^A138,IF(A138='Données projet'!$A$36,'Données projet'!$B$36,N137+M138-V137)))</f>
        <v>584.83000000000015</v>
      </c>
      <c r="O138" s="13">
        <f>N138*VLOOKUP('Données projet'!$B$9,Paramètres!$A$1:$I$89,3,0)*VLOOKUP('Données projet'!$B$9,Paramètres!$A$1:$I$89,5,0)</f>
        <v>529.15418400000021</v>
      </c>
      <c r="P138" s="13">
        <f t="shared" si="141"/>
        <v>117.51933552372023</v>
      </c>
      <c r="Q138" s="20">
        <f t="shared" si="108"/>
        <v>1126.2897131704797</v>
      </c>
      <c r="R138" s="59">
        <f t="shared" si="109"/>
        <v>1410.9894703203668</v>
      </c>
      <c r="S138" s="59">
        <f ca="1">AVERAGE(OFFSET($R$3,0,0,'Données projet'!$E$9+1,1))-AVERAGE(OFFSET($H$3,0,0,'Données projet'!$E$9+1,1))</f>
        <v>737.40414421611001</v>
      </c>
      <c r="T138" s="59">
        <f t="shared" si="142"/>
        <v>245.32893490531674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60.703582107648899</v>
      </c>
      <c r="AA138" s="21">
        <f>EXP(-LN(2)/25)*AA137+(1-EXP(-LN(2)/25))/(LN(2)/25)*Calculateur!V138*Calculateur!X138*VLOOKUP('Données projet'!$B$9,Paramètres!$A$1:$I$89,3,0)*0.475*44/12</f>
        <v>25.775748431806548</v>
      </c>
      <c r="AB138" s="21">
        <f>EXP(-LN(2)/2)*AB137+(1-EXP(-LN(2)/2))/(LN(2)/2)*V138*Y138*VLOOKUP('Données projet'!$B$9,Paramètres!$A$1:$I$89,3,0)*0.475*44/12</f>
        <v>1.0432685660524906E-6</v>
      </c>
      <c r="AC138" s="22">
        <f t="shared" si="111"/>
        <v>86.479331582724015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1.3999999999999773</v>
      </c>
      <c r="AJ138" s="13">
        <f>AI138*VLOOKUP('Données projet'!$B$10,Paramètres!$A$1:$I$89,3,0)*VLOOKUP('Données projet'!$B$10,Paramètres!$A$1:$I$89,5,0)</f>
        <v>0.83719999999998651</v>
      </c>
      <c r="AK138" s="13">
        <f t="shared" si="143"/>
        <v>0.39388003094446933</v>
      </c>
      <c r="AL138" s="20">
        <f t="shared" si="112"/>
        <v>2.144131053894927</v>
      </c>
      <c r="AM138" s="59">
        <f t="shared" si="113"/>
        <v>286.84388820378206</v>
      </c>
      <c r="AN138" s="59">
        <f ca="1">AVERAGE(OFFSET($AM$3,0,0,'Données projet'!$E$10+1,1))-AVERAGE(OFFSET($H$3,0,0,'Données projet'!$E$10+1,1))</f>
        <v>318.6615972007902</v>
      </c>
      <c r="AO138" s="59">
        <f t="shared" si="144"/>
        <v>326.82168950869504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31.322680189620737</v>
      </c>
      <c r="AV138" s="21">
        <f>EXP(-LN(2)/25)*AV137+(1-EXP(-LN(2)/25))/(LN(2)/25)*Calculateur!AQ138*Calculateur!AS138*VLOOKUP('Données projet'!$B$10,Paramètres!$A$1:$I$89,3,0)*0.475*44/12</f>
        <v>6.0285750713293416</v>
      </c>
      <c r="AW138" s="21">
        <f>EXP(-LN(2)/2)*AW137+(1-EXP(-LN(2)/2))/(LN(2)/2)*AQ138*AT138*VLOOKUP('Données projet'!$B$10,Paramètres!$A$1:$I$89,3,0)*0.475*44/12</f>
        <v>3.0750320984934374E-10</v>
      </c>
      <c r="AX138" s="21">
        <f t="shared" si="114"/>
        <v>37.351255261257577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-5.6843418860808015E-14</v>
      </c>
      <c r="BE138" s="13">
        <f>BD138*VLOOKUP('Données projet'!$B$11,Paramètres!$A$1:$I$89,3,0)*VLOOKUP('Données projet'!$B$11,Paramètres!$A$1:$I$89,5,0)</f>
        <v>-5.7639226724859328E-14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402.96916953216805</v>
      </c>
      <c r="BJ138" s="59">
        <f t="shared" si="146"/>
        <v>164.89273051331318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34.348993367471408</v>
      </c>
      <c r="BQ138" s="21">
        <f>EXP(-LN(2)/25)*BQ137+(1-EXP(-LN(2)/25))/(LN(2)/25)*Calculateur!BL138*Calculateur!BN138*VLOOKUP('Données projet'!$B$11,Paramètres!$A$1:$I$89,3,0)*0.475*44/12</f>
        <v>33.61905050242413</v>
      </c>
      <c r="BR138" s="21">
        <f>EXP(-LN(2)/2)*BR137+(1-EXP(-LN(2)/2))/(LN(2)/2)*BL138*BO138*VLOOKUP('Données projet'!$B$11,Paramètres!$A$1:$I$89,3,0)*0.475*44/12</f>
        <v>11.319702576580037</v>
      </c>
      <c r="BS138" s="22">
        <f t="shared" si="117"/>
        <v>79.28774644647558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-2.2737367544323206E-13</v>
      </c>
      <c r="BZ138" s="13">
        <f>BY138*VLOOKUP('Données projet'!$B$12,Paramètres!$A$1:$I$89,3,0)*VLOOKUP('Données projet'!$B$12,Paramètres!$A$1:$I$89,5,0)</f>
        <v>-1.3596945791505279E-13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373.61861223558259</v>
      </c>
      <c r="CE138" s="59">
        <f t="shared" si="148"/>
        <v>277.62293009761049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51.570679462930649</v>
      </c>
      <c r="CL138" s="21">
        <f>EXP(-LN(2)/25)*CL137+(1-EXP(-LN(2)/25))/(LN(2)/25)*Calculateur!CG138*Calculateur!CI138*VLOOKUP('Données projet'!$B$12,Paramètres!$A$1:$I$89,3,0)*0.475*44/12</f>
        <v>11.261523217387975</v>
      </c>
      <c r="CM138" s="21">
        <f>EXP(-LN(2)/2)*CM137+(1-EXP(-LN(2)/2))/(LN(2)/2)*CG138*CJ138*VLOOKUP('Données projet'!$B$12,Paramètres!$A$1:$I$89,3,0)*0.475*44/12</f>
        <v>3.7256045391769355E-7</v>
      </c>
      <c r="CN138" s="22">
        <f t="shared" si="120"/>
        <v>62.83220305287908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10.843999999999994</v>
      </c>
      <c r="N139" s="13">
        <f>IF('Données projet'!$A$36&gt;35,N138+M139-V138,IF(A139&lt;'Données projet'!$A$36,$K$205^A139,IF(A139='Données projet'!$A$36,'Données projet'!$B$36,N138+M139-V138)))</f>
        <v>595.67400000000021</v>
      </c>
      <c r="O139" s="13">
        <f>N139*VLOOKUP('Données projet'!$B$9,Paramètres!$A$1:$I$89,3,0)*VLOOKUP('Données projet'!$B$9,Paramètres!$A$1:$I$89,5,0)</f>
        <v>538.96583520000013</v>
      </c>
      <c r="P139" s="13">
        <f t="shared" si="141"/>
        <v>119.44268934083149</v>
      </c>
      <c r="Q139" s="20">
        <f t="shared" si="108"/>
        <v>1146.7281802419484</v>
      </c>
      <c r="R139" s="59">
        <f t="shared" si="109"/>
        <v>1431.5777106368337</v>
      </c>
      <c r="S139" s="59">
        <f ca="1">AVERAGE(OFFSET($R$3,0,0,'Données projet'!$E$9+1,1))-AVERAGE(OFFSET($H$3,0,0,'Données projet'!$E$9+1,1))</f>
        <v>737.40414421611001</v>
      </c>
      <c r="T139" s="59">
        <f t="shared" si="142"/>
        <v>245.32893490531674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59.513221888047021</v>
      </c>
      <c r="AA139" s="21">
        <f>EXP(-LN(2)/25)*AA138+(1-EXP(-LN(2)/25))/(LN(2)/25)*Calculateur!V139*Calculateur!X139*VLOOKUP('Données projet'!$B$9,Paramètres!$A$1:$I$89,3,0)*0.475*44/12</f>
        <v>25.070909235451101</v>
      </c>
      <c r="AB139" s="21">
        <f>EXP(-LN(2)/2)*AB138+(1-EXP(-LN(2)/2))/(LN(2)/2)*V139*Y139*VLOOKUP('Données projet'!$B$9,Paramètres!$A$1:$I$89,3,0)*0.475*44/12</f>
        <v>7.3770227765448166E-7</v>
      </c>
      <c r="AC139" s="22">
        <f t="shared" si="111"/>
        <v>84.584131861200405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1.3999999999999773</v>
      </c>
      <c r="AJ139" s="13">
        <f>AI139*VLOOKUP('Données projet'!$B$10,Paramètres!$A$1:$I$89,3,0)*VLOOKUP('Données projet'!$B$10,Paramètres!$A$1:$I$89,5,0)</f>
        <v>0.83719999999998651</v>
      </c>
      <c r="AK139" s="13">
        <f t="shared" si="143"/>
        <v>0.39388003094446933</v>
      </c>
      <c r="AL139" s="20">
        <f t="shared" si="112"/>
        <v>2.144131053894927</v>
      </c>
      <c r="AM139" s="59">
        <f t="shared" si="113"/>
        <v>286.99366144878013</v>
      </c>
      <c r="AN139" s="59">
        <f ca="1">AVERAGE(OFFSET($AM$3,0,0,'Données projet'!$E$10+1,1))-AVERAGE(OFFSET($H$3,0,0,'Données projet'!$E$10+1,1))</f>
        <v>318.6615972007902</v>
      </c>
      <c r="AO139" s="59">
        <f t="shared" si="144"/>
        <v>326.82168950869504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30.708461536050734</v>
      </c>
      <c r="AV139" s="21">
        <f>EXP(-LN(2)/25)*AV138+(1-EXP(-LN(2)/25))/(LN(2)/25)*Calculateur!AQ139*Calculateur!AS139*VLOOKUP('Données projet'!$B$10,Paramètres!$A$1:$I$89,3,0)*0.475*44/12</f>
        <v>5.8637233689748562</v>
      </c>
      <c r="AW139" s="21">
        <f>EXP(-LN(2)/2)*AW138+(1-EXP(-LN(2)/2))/(LN(2)/2)*AQ139*AT139*VLOOKUP('Données projet'!$B$10,Paramètres!$A$1:$I$89,3,0)*0.475*44/12</f>
        <v>2.1743760492110091E-10</v>
      </c>
      <c r="AX139" s="21">
        <f t="shared" si="114"/>
        <v>36.572184905243034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-5.6843418860808015E-14</v>
      </c>
      <c r="BE139" s="13">
        <f>BD139*VLOOKUP('Données projet'!$B$11,Paramètres!$A$1:$I$89,3,0)*VLOOKUP('Données projet'!$B$11,Paramètres!$A$1:$I$89,5,0)</f>
        <v>-5.7639226724859328E-14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402.96916953216805</v>
      </c>
      <c r="BJ139" s="59">
        <f t="shared" si="146"/>
        <v>164.89273051331318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33.675430558352524</v>
      </c>
      <c r="BQ139" s="21">
        <f>EXP(-LN(2)/25)*BQ138+(1-EXP(-LN(2)/25))/(LN(2)/25)*Calculateur!BL139*Calculateur!BN139*VLOOKUP('Données projet'!$B$11,Paramètres!$A$1:$I$89,3,0)*0.475*44/12</f>
        <v>32.699735798486316</v>
      </c>
      <c r="BR139" s="21">
        <f>EXP(-LN(2)/2)*BR138+(1-EXP(-LN(2)/2))/(LN(2)/2)*BL139*BO139*VLOOKUP('Données projet'!$B$11,Paramètres!$A$1:$I$89,3,0)*0.475*44/12</f>
        <v>8.0042384529145778</v>
      </c>
      <c r="BS139" s="22">
        <f t="shared" si="117"/>
        <v>74.37940480975341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-2.2737367544323206E-13</v>
      </c>
      <c r="BZ139" s="13">
        <f>BY139*VLOOKUP('Données projet'!$B$12,Paramètres!$A$1:$I$89,3,0)*VLOOKUP('Données projet'!$B$12,Paramètres!$A$1:$I$89,5,0)</f>
        <v>-1.3596945791505279E-13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373.61861223558259</v>
      </c>
      <c r="CE139" s="59">
        <f t="shared" si="148"/>
        <v>277.62293009761049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50.559409893671123</v>
      </c>
      <c r="CL139" s="21">
        <f>EXP(-LN(2)/25)*CL138+(1-EXP(-LN(2)/25))/(LN(2)/25)*Calculateur!CG139*Calculateur!CI139*VLOOKUP('Données projet'!$B$12,Paramètres!$A$1:$I$89,3,0)*0.475*44/12</f>
        <v>10.953576272790732</v>
      </c>
      <c r="CM139" s="21">
        <f>EXP(-LN(2)/2)*CM138+(1-EXP(-LN(2)/2))/(LN(2)/2)*CG139*CJ139*VLOOKUP('Données projet'!$B$12,Paramètres!$A$1:$I$89,3,0)*0.475*44/12</f>
        <v>2.6344002336713935E-7</v>
      </c>
      <c r="CN139" s="22">
        <f t="shared" si="120"/>
        <v>61.512986429901879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10.843999999999994</v>
      </c>
      <c r="N140" s="13">
        <f>IF('Données projet'!$A$36&gt;35,N139+M140-V139,IF(A140&lt;'Données projet'!$A$36,$K$205^A140,IF(A140='Données projet'!$A$36,'Données projet'!$B$36,N139+M140-V139)))</f>
        <v>606.51800000000026</v>
      </c>
      <c r="O140" s="13">
        <f>N140*VLOOKUP('Données projet'!$B$9,Paramètres!$A$1:$I$89,3,0)*VLOOKUP('Données projet'!$B$9,Paramètres!$A$1:$I$89,5,0)</f>
        <v>548.77748640000016</v>
      </c>
      <c r="P140" s="13">
        <f t="shared" si="141"/>
        <v>121.36197162144936</v>
      </c>
      <c r="Q140" s="20">
        <f t="shared" si="108"/>
        <v>1167.1595560540247</v>
      </c>
      <c r="R140" s="59">
        <f t="shared" si="109"/>
        <v>1452.1562614629502</v>
      </c>
      <c r="S140" s="59">
        <f ca="1">AVERAGE(OFFSET($R$3,0,0,'Données projet'!$E$9+1,1))-AVERAGE(OFFSET($H$3,0,0,'Données projet'!$E$9+1,1))</f>
        <v>737.40414421611001</v>
      </c>
      <c r="T140" s="59">
        <f t="shared" si="142"/>
        <v>245.32893490531674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58.346203906303494</v>
      </c>
      <c r="AA140" s="21">
        <f>EXP(-LN(2)/25)*AA139+(1-EXP(-LN(2)/25))/(LN(2)/25)*Calculateur!V140*Calculateur!X140*VLOOKUP('Données projet'!$B$9,Paramètres!$A$1:$I$89,3,0)*0.475*44/12</f>
        <v>24.385343903985873</v>
      </c>
      <c r="AB140" s="21">
        <f>EXP(-LN(2)/2)*AB139+(1-EXP(-LN(2)/2))/(LN(2)/2)*V140*Y140*VLOOKUP('Données projet'!$B$9,Paramètres!$A$1:$I$89,3,0)*0.475*44/12</f>
        <v>5.2163428302624528E-7</v>
      </c>
      <c r="AC140" s="22">
        <f t="shared" si="111"/>
        <v>82.731548331923648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1.3999999999999773</v>
      </c>
      <c r="AJ140" s="13">
        <f>AI140*VLOOKUP('Données projet'!$B$10,Paramètres!$A$1:$I$89,3,0)*VLOOKUP('Données projet'!$B$10,Paramètres!$A$1:$I$89,5,0)</f>
        <v>0.83719999999998651</v>
      </c>
      <c r="AK140" s="13">
        <f t="shared" si="143"/>
        <v>0.39388003094446933</v>
      </c>
      <c r="AL140" s="20">
        <f t="shared" si="112"/>
        <v>2.144131053894927</v>
      </c>
      <c r="AM140" s="59">
        <f t="shared" si="113"/>
        <v>287.14083646282029</v>
      </c>
      <c r="AN140" s="59">
        <f ca="1">AVERAGE(OFFSET($AM$3,0,0,'Données projet'!$E$10+1,1))-AVERAGE(OFFSET($H$3,0,0,'Données projet'!$E$10+1,1))</f>
        <v>318.6615972007902</v>
      </c>
      <c r="AO140" s="59">
        <f t="shared" si="144"/>
        <v>326.82168950869504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30.10628733564085</v>
      </c>
      <c r="AV140" s="21">
        <f>EXP(-LN(2)/25)*AV139+(1-EXP(-LN(2)/25))/(LN(2)/25)*Calculateur!AQ140*Calculateur!AS140*VLOOKUP('Données projet'!$B$10,Paramètres!$A$1:$I$89,3,0)*0.475*44/12</f>
        <v>5.7033795450904288</v>
      </c>
      <c r="AW140" s="21">
        <f>EXP(-LN(2)/2)*AW139+(1-EXP(-LN(2)/2))/(LN(2)/2)*AQ140*AT140*VLOOKUP('Données projet'!$B$10,Paramètres!$A$1:$I$89,3,0)*0.475*44/12</f>
        <v>1.5375160492467187E-10</v>
      </c>
      <c r="AX140" s="21">
        <f t="shared" si="114"/>
        <v>35.809666880885032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-5.6843418860808015E-14</v>
      </c>
      <c r="BE140" s="13">
        <f>BD140*VLOOKUP('Données projet'!$B$11,Paramètres!$A$1:$I$89,3,0)*VLOOKUP('Données projet'!$B$11,Paramètres!$A$1:$I$89,5,0)</f>
        <v>-5.7639226724859328E-14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402.96916953216805</v>
      </c>
      <c r="BJ140" s="59">
        <f t="shared" si="146"/>
        <v>164.89273051331318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33.01507590508772</v>
      </c>
      <c r="BQ140" s="21">
        <f>EXP(-LN(2)/25)*BQ139+(1-EXP(-LN(2)/25))/(LN(2)/25)*Calculateur!BL140*Calculateur!BN140*VLOOKUP('Données projet'!$B$11,Paramètres!$A$1:$I$89,3,0)*0.475*44/12</f>
        <v>31.805559803472338</v>
      </c>
      <c r="BR140" s="21">
        <f>EXP(-LN(2)/2)*BR139+(1-EXP(-LN(2)/2))/(LN(2)/2)*BL140*BO140*VLOOKUP('Données projet'!$B$11,Paramètres!$A$1:$I$89,3,0)*0.475*44/12</f>
        <v>5.6598512882900183</v>
      </c>
      <c r="BS140" s="22">
        <f t="shared" si="117"/>
        <v>70.480486996850075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-2.2737367544323206E-13</v>
      </c>
      <c r="BZ140" s="13">
        <f>BY140*VLOOKUP('Données projet'!$B$12,Paramètres!$A$1:$I$89,3,0)*VLOOKUP('Données projet'!$B$12,Paramètres!$A$1:$I$89,5,0)</f>
        <v>-1.3596945791505279E-13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373.61861223558259</v>
      </c>
      <c r="CE140" s="59">
        <f t="shared" si="148"/>
        <v>277.62293009761049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49.567970703851252</v>
      </c>
      <c r="CL140" s="21">
        <f>EXP(-LN(2)/25)*CL139+(1-EXP(-LN(2)/25))/(LN(2)/25)*Calculateur!CG140*Calculateur!CI140*VLOOKUP('Données projet'!$B$12,Paramètres!$A$1:$I$89,3,0)*0.475*44/12</f>
        <v>10.654050153587729</v>
      </c>
      <c r="CM140" s="21">
        <f>EXP(-LN(2)/2)*CM139+(1-EXP(-LN(2)/2))/(LN(2)/2)*CG140*CJ140*VLOOKUP('Données projet'!$B$12,Paramètres!$A$1:$I$89,3,0)*0.475*44/12</f>
        <v>1.8628022695884677E-7</v>
      </c>
      <c r="CN140" s="22">
        <f t="shared" si="120"/>
        <v>60.222021043719202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10.843999999999994</v>
      </c>
      <c r="N141" s="13">
        <f>IF('Données projet'!$A$36&gt;35,N140+M141-V140,IF(A141&lt;'Données projet'!$A$36,$K$205^A141,IF(A141='Données projet'!$A$36,'Données projet'!$B$36,N140+M141-V140)))</f>
        <v>617.36200000000031</v>
      </c>
      <c r="O141" s="13">
        <f>N141*VLOOKUP('Données projet'!$B$9,Paramètres!$A$1:$I$89,3,0)*VLOOKUP('Données projet'!$B$9,Paramètres!$A$1:$I$89,5,0)</f>
        <v>558.5891376000003</v>
      </c>
      <c r="P141" s="13">
        <f t="shared" si="141"/>
        <v>123.27726355861266</v>
      </c>
      <c r="Q141" s="20">
        <f t="shared" si="108"/>
        <v>1187.5839820179174</v>
      </c>
      <c r="R141" s="59">
        <f t="shared" si="109"/>
        <v>1472.7253092834233</v>
      </c>
      <c r="S141" s="59">
        <f ca="1">AVERAGE(OFFSET($R$3,0,0,'Données projet'!$E$9+1,1))-AVERAGE(OFFSET($H$3,0,0,'Données projet'!$E$9+1,1))</f>
        <v>737.40414421611001</v>
      </c>
      <c r="T141" s="59">
        <f t="shared" si="142"/>
        <v>245.32893490531674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57.202070435371276</v>
      </c>
      <c r="AA141" s="21">
        <f>EXP(-LN(2)/25)*AA140+(1-EXP(-LN(2)/25))/(LN(2)/25)*Calculateur!V141*Calculateur!X141*VLOOKUP('Données projet'!$B$9,Paramètres!$A$1:$I$89,3,0)*0.475*44/12</f>
        <v>23.718525392561876</v>
      </c>
      <c r="AB141" s="21">
        <f>EXP(-LN(2)/2)*AB140+(1-EXP(-LN(2)/2))/(LN(2)/2)*V141*Y141*VLOOKUP('Données projet'!$B$9,Paramètres!$A$1:$I$89,3,0)*0.475*44/12</f>
        <v>3.6885113882724083E-7</v>
      </c>
      <c r="AC141" s="22">
        <f t="shared" si="111"/>
        <v>80.920596196784288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1.3999999999999773</v>
      </c>
      <c r="AJ141" s="13">
        <f>AI141*VLOOKUP('Données projet'!$B$10,Paramètres!$A$1:$I$89,3,0)*VLOOKUP('Données projet'!$B$10,Paramètres!$A$1:$I$89,5,0)</f>
        <v>0.83719999999998651</v>
      </c>
      <c r="AK141" s="13">
        <f t="shared" si="143"/>
        <v>0.39388003094446933</v>
      </c>
      <c r="AL141" s="20">
        <f t="shared" si="112"/>
        <v>2.144131053894927</v>
      </c>
      <c r="AM141" s="59">
        <f t="shared" si="113"/>
        <v>287.28545831940085</v>
      </c>
      <c r="AN141" s="59">
        <f ca="1">AVERAGE(OFFSET($AM$3,0,0,'Données projet'!$E$10+1,1))-AVERAGE(OFFSET($H$3,0,0,'Données projet'!$E$10+1,1))</f>
        <v>318.6615972007902</v>
      </c>
      <c r="AO141" s="59">
        <f t="shared" si="144"/>
        <v>326.82168950869504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29.51592140401101</v>
      </c>
      <c r="AV141" s="21">
        <f>EXP(-LN(2)/25)*AV140+(1-EXP(-LN(2)/25))/(LN(2)/25)*Calculateur!AQ141*Calculateur!AS141*VLOOKUP('Données projet'!$B$10,Paramètres!$A$1:$I$89,3,0)*0.475*44/12</f>
        <v>5.5474203315022361</v>
      </c>
      <c r="AW141" s="21">
        <f>EXP(-LN(2)/2)*AW140+(1-EXP(-LN(2)/2))/(LN(2)/2)*AQ141*AT141*VLOOKUP('Données projet'!$B$10,Paramètres!$A$1:$I$89,3,0)*0.475*44/12</f>
        <v>1.0871880246055046E-10</v>
      </c>
      <c r="AX141" s="21">
        <f t="shared" si="114"/>
        <v>35.063341735621968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-5.6843418860808015E-14</v>
      </c>
      <c r="BE141" s="13">
        <f>BD141*VLOOKUP('Données projet'!$B$11,Paramètres!$A$1:$I$89,3,0)*VLOOKUP('Données projet'!$B$11,Paramètres!$A$1:$I$89,5,0)</f>
        <v>-5.7639226724859328E-14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402.96916953216805</v>
      </c>
      <c r="BJ141" s="59">
        <f t="shared" si="146"/>
        <v>164.89273051331318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32.367670403796865</v>
      </c>
      <c r="BQ141" s="21">
        <f>EXP(-LN(2)/25)*BQ140+(1-EXP(-LN(2)/25))/(LN(2)/25)*Calculateur!BL141*Calculateur!BN141*VLOOKUP('Données projet'!$B$11,Paramètres!$A$1:$I$89,3,0)*0.475*44/12</f>
        <v>30.93583509806469</v>
      </c>
      <c r="BR141" s="21">
        <f>EXP(-LN(2)/2)*BR140+(1-EXP(-LN(2)/2))/(LN(2)/2)*BL141*BO141*VLOOKUP('Données projet'!$B$11,Paramètres!$A$1:$I$89,3,0)*0.475*44/12</f>
        <v>4.0021192264572889</v>
      </c>
      <c r="BS141" s="22">
        <f t="shared" si="117"/>
        <v>67.305624728318833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-2.2737367544323206E-13</v>
      </c>
      <c r="BZ141" s="13">
        <f>BY141*VLOOKUP('Données projet'!$B$12,Paramètres!$A$1:$I$89,3,0)*VLOOKUP('Données projet'!$B$12,Paramètres!$A$1:$I$89,5,0)</f>
        <v>-1.3596945791505279E-13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373.61861223558259</v>
      </c>
      <c r="CE141" s="59">
        <f t="shared" si="148"/>
        <v>277.62293009761049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48.595973031825551</v>
      </c>
      <c r="CL141" s="21">
        <f>EXP(-LN(2)/25)*CL140+(1-EXP(-LN(2)/25))/(LN(2)/25)*Calculateur!CG141*Calculateur!CI141*VLOOKUP('Données projet'!$B$12,Paramètres!$A$1:$I$89,3,0)*0.475*44/12</f>
        <v>10.362714591865725</v>
      </c>
      <c r="CM141" s="21">
        <f>EXP(-LN(2)/2)*CM140+(1-EXP(-LN(2)/2))/(LN(2)/2)*CG141*CJ141*VLOOKUP('Données projet'!$B$12,Paramètres!$A$1:$I$89,3,0)*0.475*44/12</f>
        <v>1.3172001168356967E-7</v>
      </c>
      <c r="CN141" s="22">
        <f t="shared" si="120"/>
        <v>58.95868775541129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10.843999999999994</v>
      </c>
      <c r="N142" s="13">
        <f>IF('Données projet'!$A$36&gt;35,N141+M142-V141,IF(A142&lt;'Données projet'!$A$36,$K$205^A142,IF(A142='Données projet'!$A$36,'Données projet'!$B$36,N141+M142-V141)))</f>
        <v>628.20600000000036</v>
      </c>
      <c r="O142" s="13">
        <f>N142*VLOOKUP('Données projet'!$B$9,Paramètres!$A$1:$I$89,3,0)*VLOOKUP('Données projet'!$B$9,Paramètres!$A$1:$I$89,5,0)</f>
        <v>568.40078880000033</v>
      </c>
      <c r="P142" s="13">
        <f t="shared" si="141"/>
        <v>125.1886433296535</v>
      </c>
      <c r="Q142" s="20">
        <f t="shared" si="108"/>
        <v>1208.0015942924804</v>
      </c>
      <c r="R142" s="59">
        <f t="shared" si="109"/>
        <v>1493.2850345486813</v>
      </c>
      <c r="S142" s="59">
        <f ca="1">AVERAGE(OFFSET($R$3,0,0,'Données projet'!$E$9+1,1))-AVERAGE(OFFSET($H$3,0,0,'Données projet'!$E$9+1,1))</f>
        <v>737.40414421611001</v>
      </c>
      <c r="T142" s="59">
        <f t="shared" si="142"/>
        <v>245.32893490531674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56.080372723951527</v>
      </c>
      <c r="AA142" s="21">
        <f>EXP(-LN(2)/25)*AA141+(1-EXP(-LN(2)/25))/(LN(2)/25)*Calculateur!V142*Calculateur!X142*VLOOKUP('Données projet'!$B$9,Paramètres!$A$1:$I$89,3,0)*0.475*44/12</f>
        <v>23.069941068399231</v>
      </c>
      <c r="AB142" s="21">
        <f>EXP(-LN(2)/2)*AB141+(1-EXP(-LN(2)/2))/(LN(2)/2)*V142*Y142*VLOOKUP('Données projet'!$B$9,Paramètres!$A$1:$I$89,3,0)*0.475*44/12</f>
        <v>2.6081714151312264E-7</v>
      </c>
      <c r="AC142" s="22">
        <f t="shared" si="111"/>
        <v>79.150314053167904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1.3999999999999773</v>
      </c>
      <c r="AJ142" s="13">
        <f>AI142*VLOOKUP('Données projet'!$B$10,Paramètres!$A$1:$I$89,3,0)*VLOOKUP('Données projet'!$B$10,Paramètres!$A$1:$I$89,5,0)</f>
        <v>0.83719999999998651</v>
      </c>
      <c r="AK142" s="13">
        <f t="shared" si="143"/>
        <v>0.39388003094446933</v>
      </c>
      <c r="AL142" s="20">
        <f t="shared" si="112"/>
        <v>2.144131053894927</v>
      </c>
      <c r="AM142" s="59">
        <f t="shared" si="113"/>
        <v>287.4275713100958</v>
      </c>
      <c r="AN142" s="59">
        <f ca="1">AVERAGE(OFFSET($AM$3,0,0,'Données projet'!$E$10+1,1))-AVERAGE(OFFSET($H$3,0,0,'Données projet'!$E$10+1,1))</f>
        <v>318.6615972007902</v>
      </c>
      <c r="AO142" s="59">
        <f t="shared" si="144"/>
        <v>326.82168950869504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28.937132188212768</v>
      </c>
      <c r="AV142" s="21">
        <f>EXP(-LN(2)/25)*AV141+(1-EXP(-LN(2)/25))/(LN(2)/25)*Calculateur!AQ142*Calculateur!AS142*VLOOKUP('Données projet'!$B$10,Paramètres!$A$1:$I$89,3,0)*0.475*44/12</f>
        <v>5.3957258308111511</v>
      </c>
      <c r="AW142" s="21">
        <f>EXP(-LN(2)/2)*AW141+(1-EXP(-LN(2)/2))/(LN(2)/2)*AQ142*AT142*VLOOKUP('Données projet'!$B$10,Paramètres!$A$1:$I$89,3,0)*0.475*44/12</f>
        <v>7.6875802462335934E-11</v>
      </c>
      <c r="AX142" s="21">
        <f t="shared" si="114"/>
        <v>34.33285801910079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-5.6843418860808015E-14</v>
      </c>
      <c r="BE142" s="13">
        <f>BD142*VLOOKUP('Données projet'!$B$11,Paramètres!$A$1:$I$89,3,0)*VLOOKUP('Données projet'!$B$11,Paramètres!$A$1:$I$89,5,0)</f>
        <v>-5.7639226724859328E-14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402.96916953216805</v>
      </c>
      <c r="BJ142" s="59">
        <f t="shared" si="146"/>
        <v>164.89273051331318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31.732960129507962</v>
      </c>
      <c r="BQ142" s="21">
        <f>EXP(-LN(2)/25)*BQ141+(1-EXP(-LN(2)/25))/(LN(2)/25)*Calculateur!BL142*Calculateur!BN142*VLOOKUP('Données projet'!$B$11,Paramètres!$A$1:$I$89,3,0)*0.475*44/12</f>
        <v>30.089893060463247</v>
      </c>
      <c r="BR142" s="21">
        <f>EXP(-LN(2)/2)*BR141+(1-EXP(-LN(2)/2))/(LN(2)/2)*BL142*BO142*VLOOKUP('Données projet'!$B$11,Paramètres!$A$1:$I$89,3,0)*0.475*44/12</f>
        <v>2.8299256441450091</v>
      </c>
      <c r="BS142" s="22">
        <f t="shared" si="117"/>
        <v>64.652778834116219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-2.2737367544323206E-13</v>
      </c>
      <c r="BZ142" s="13">
        <f>BY142*VLOOKUP('Données projet'!$B$12,Paramètres!$A$1:$I$89,3,0)*VLOOKUP('Données projet'!$B$12,Paramètres!$A$1:$I$89,5,0)</f>
        <v>-1.3596945791505279E-13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373.61861223558259</v>
      </c>
      <c r="CE142" s="59">
        <f t="shared" si="148"/>
        <v>277.62293009761049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47.643035641288236</v>
      </c>
      <c r="CL142" s="21">
        <f>EXP(-LN(2)/25)*CL141+(1-EXP(-LN(2)/25))/(LN(2)/25)*Calculateur!CG142*Calculateur!CI142*VLOOKUP('Données projet'!$B$12,Paramètres!$A$1:$I$89,3,0)*0.475*44/12</f>
        <v>10.07934561639968</v>
      </c>
      <c r="CM142" s="21">
        <f>EXP(-LN(2)/2)*CM141+(1-EXP(-LN(2)/2))/(LN(2)/2)*CG142*CJ142*VLOOKUP('Données projet'!$B$12,Paramètres!$A$1:$I$89,3,0)*0.475*44/12</f>
        <v>9.3140113479423386E-8</v>
      </c>
      <c r="CN142" s="22">
        <f t="shared" si="120"/>
        <v>57.72238135082803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>
        <f>VLOOKUP(A143,'Données projet'!$A$35:$I$55,2,0)</f>
        <v>639.04999999999995</v>
      </c>
      <c r="L143" s="12">
        <f>VLOOKUP(A143,'Données projet'!$A$35:$I$55,9,0)</f>
        <v>10.843999999999994</v>
      </c>
      <c r="M143" s="12">
        <f t="array" ref="M143">INDEX(L:L,MIN(IF(ISNUMBER(L143:L339),ROW(L143:L339),"")))</f>
        <v>10.843999999999994</v>
      </c>
      <c r="N143" s="13">
        <f>IF('Données projet'!$A$36&gt;35,N142+M143-V142,IF(A143&lt;'Données projet'!$A$36,$K$205^A143,IF(A143='Données projet'!$A$36,'Données projet'!$B$36,N142+M143-V142)))</f>
        <v>639.05000000000041</v>
      </c>
      <c r="O143" s="13">
        <f>N143*VLOOKUP('Données projet'!$B$9,Paramètres!$A$1:$I$89,3,0)*VLOOKUP('Données projet'!$B$9,Paramètres!$A$1:$I$89,5,0)</f>
        <v>578.21244000000036</v>
      </c>
      <c r="P143" s="13">
        <f t="shared" si="141"/>
        <v>127.0961862582958</v>
      </c>
      <c r="Q143" s="20">
        <f t="shared" si="108"/>
        <v>1228.4125240665323</v>
      </c>
      <c r="R143" s="59">
        <f t="shared" si="109"/>
        <v>1513.8356119707566</v>
      </c>
      <c r="S143" s="59">
        <f ca="1">AVERAGE(OFFSET($R$3,0,0,'Données projet'!$E$9+1,1))-AVERAGE(OFFSET($H$3,0,0,'Données projet'!$E$9+1,1))</f>
        <v>737.40414421611001</v>
      </c>
      <c r="T143" s="59">
        <f t="shared" si="142"/>
        <v>245.32893490531674</v>
      </c>
      <c r="U143" s="15">
        <f>IF(ISNA(VLOOKUP(A143,'Données projet'!$A$35:$I$55,3,0)),0,VLOOKUP(A143,'Données projet'!$A$35:$I$55,3,0))</f>
        <v>13</v>
      </c>
      <c r="V143" s="15">
        <f>IF(ISNA(VLOOKUP(A143,'Données projet'!$A$35:$I$55,4,0)),0,VLOOKUP(A143,'Données projet'!$A$35:$I$55,4,0))</f>
        <v>74.669999999999959</v>
      </c>
      <c r="W143" s="16">
        <f>IF(ISNA(VLOOKUP(A143,'Données projet'!$A$35:$I$55,5,0)),0%,VLOOKUP(A143,'Données projet'!$A$35:$I$55,5,0)*VLOOKUP('Données projet'!$B$9,Paramètres!$A$1:$I$89,7,0))</f>
        <v>0.215</v>
      </c>
      <c r="X143" s="16">
        <f>IF(ISNA(VLOOKUP(A143,'Données projet'!$A$35:$I$55,6,0)),0%,VLOOKUP(A143,'Données projet'!$A$35:$I$55,6,0)*VLOOKUP('Données projet'!$B$9,Paramètres!$A$1:$I$89,7,0))</f>
        <v>8.6000000000000007E-2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71.038406820754915</v>
      </c>
      <c r="AA143" s="21">
        <f>EXP(-LN(2)/25)*AA142+(1-EXP(-LN(2)/25))/(LN(2)/25)*Calculateur!V143*Calculateur!X143*VLOOKUP('Données projet'!$B$9,Paramètres!$A$1:$I$89,3,0)*0.475*44/12</f>
        <v>28.836896546752417</v>
      </c>
      <c r="AB143" s="21">
        <f>EXP(-LN(2)/2)*AB142+(1-EXP(-LN(2)/2))/(LN(2)/2)*V143*Y143*VLOOKUP('Données projet'!$B$9,Paramètres!$A$1:$I$89,3,0)*0.475*44/12</f>
        <v>1.8442556941362041E-7</v>
      </c>
      <c r="AC143" s="22">
        <f t="shared" si="111"/>
        <v>99.875303551932902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1.3999999999999773</v>
      </c>
      <c r="AJ143" s="13">
        <f>AI143*VLOOKUP('Données projet'!$B$10,Paramètres!$A$1:$I$89,3,0)*VLOOKUP('Données projet'!$B$10,Paramètres!$A$1:$I$89,5,0)</f>
        <v>0.83719999999998651</v>
      </c>
      <c r="AK143" s="13">
        <f t="shared" si="143"/>
        <v>0.39388003094446933</v>
      </c>
      <c r="AL143" s="20">
        <f t="shared" si="112"/>
        <v>2.144131053894927</v>
      </c>
      <c r="AM143" s="59">
        <f t="shared" si="113"/>
        <v>287.56721895811927</v>
      </c>
      <c r="AN143" s="59">
        <f ca="1">AVERAGE(OFFSET($AM$3,0,0,'Données projet'!$E$10+1,1))-AVERAGE(OFFSET($H$3,0,0,'Données projet'!$E$10+1,1))</f>
        <v>318.6615972007902</v>
      </c>
      <c r="AO143" s="59">
        <f t="shared" si="144"/>
        <v>326.82168950869504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28.369692675909768</v>
      </c>
      <c r="AV143" s="21">
        <f>EXP(-LN(2)/25)*AV142+(1-EXP(-LN(2)/25))/(LN(2)/25)*Calculateur!AQ143*Calculateur!AS143*VLOOKUP('Données projet'!$B$10,Paramètres!$A$1:$I$89,3,0)*0.475*44/12</f>
        <v>5.2481794242187307</v>
      </c>
      <c r="AW143" s="21">
        <f>EXP(-LN(2)/2)*AW142+(1-EXP(-LN(2)/2))/(LN(2)/2)*AQ143*AT143*VLOOKUP('Données projet'!$B$10,Paramètres!$A$1:$I$89,3,0)*0.475*44/12</f>
        <v>5.4359401230275228E-11</v>
      </c>
      <c r="AX143" s="21">
        <f t="shared" si="114"/>
        <v>33.617872100182858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-5.6843418860808015E-14</v>
      </c>
      <c r="BE143" s="13">
        <f>BD143*VLOOKUP('Données projet'!$B$11,Paramètres!$A$1:$I$89,3,0)*VLOOKUP('Données projet'!$B$11,Paramètres!$A$1:$I$89,5,0)</f>
        <v>-5.7639226724859328E-14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402.96916953216805</v>
      </c>
      <c r="BJ143" s="59">
        <f t="shared" si="146"/>
        <v>164.89273051331318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31.110696136562822</v>
      </c>
      <c r="BQ143" s="21">
        <f>EXP(-LN(2)/25)*BQ142+(1-EXP(-LN(2)/25))/(LN(2)/25)*Calculateur!BL143*Calculateur!BN143*VLOOKUP('Données projet'!$B$11,Paramètres!$A$1:$I$89,3,0)*0.475*44/12</f>
        <v>29.267083352366175</v>
      </c>
      <c r="BR143" s="21">
        <f>EXP(-LN(2)/2)*BR142+(1-EXP(-LN(2)/2))/(LN(2)/2)*BL143*BO143*VLOOKUP('Données projet'!$B$11,Paramètres!$A$1:$I$89,3,0)*0.475*44/12</f>
        <v>2.0010596132286445</v>
      </c>
      <c r="BS143" s="22">
        <f t="shared" si="117"/>
        <v>62.378839102157642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-2.2737367544323206E-13</v>
      </c>
      <c r="BZ143" s="13">
        <f>BY143*VLOOKUP('Données projet'!$B$12,Paramètres!$A$1:$I$89,3,0)*VLOOKUP('Données projet'!$B$12,Paramètres!$A$1:$I$89,5,0)</f>
        <v>-1.3596945791505279E-13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373.61861223558259</v>
      </c>
      <c r="CE143" s="59">
        <f t="shared" si="148"/>
        <v>277.62293009761049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46.708784771744938</v>
      </c>
      <c r="CL143" s="21">
        <f>EXP(-LN(2)/25)*CL142+(1-EXP(-LN(2)/25))/(LN(2)/25)*Calculateur!CG143*Calculateur!CI143*VLOOKUP('Données projet'!$B$12,Paramètres!$A$1:$I$89,3,0)*0.475*44/12</f>
        <v>9.8037253804694817</v>
      </c>
      <c r="CM143" s="21">
        <f>EXP(-LN(2)/2)*CM142+(1-EXP(-LN(2)/2))/(LN(2)/2)*CG143*CJ143*VLOOKUP('Données projet'!$B$12,Paramètres!$A$1:$I$89,3,0)*0.475*44/12</f>
        <v>6.5860005841784837E-8</v>
      </c>
      <c r="CN143" s="22">
        <f t="shared" si="120"/>
        <v>56.512510218074425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10.875</v>
      </c>
      <c r="N144" s="13">
        <f>IF('Données projet'!$A$36&gt;35,N143+M144-V143,IF(A144&lt;'Données projet'!$A$36,$K$205^A144,IF(A144='Données projet'!$A$36,'Données projet'!$B$36,N143+M144-V143)))</f>
        <v>575.25500000000045</v>
      </c>
      <c r="O144" s="13">
        <f>N144*VLOOKUP('Données projet'!$B$9,Paramètres!$A$1:$I$89,3,0)*VLOOKUP('Données projet'!$B$9,Paramètres!$A$1:$I$89,5,0)</f>
        <v>520.49072400000034</v>
      </c>
      <c r="P144" s="13">
        <f t="shared" si="141"/>
        <v>115.81760674620399</v>
      </c>
      <c r="Q144" s="20">
        <f t="shared" si="108"/>
        <v>1108.2370093829725</v>
      </c>
      <c r="R144" s="59">
        <f t="shared" si="109"/>
        <v>1393.7973223607326</v>
      </c>
      <c r="S144" s="59">
        <f ca="1">AVERAGE(OFFSET($R$3,0,0,'Données projet'!$E$9+1,1))-AVERAGE(OFFSET($H$3,0,0,'Données projet'!$E$9+1,1))</f>
        <v>737.40414421611001</v>
      </c>
      <c r="T144" s="59">
        <f t="shared" si="142"/>
        <v>245.32893490531674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69.645386992149668</v>
      </c>
      <c r="AA144" s="21">
        <f>EXP(-LN(2)/25)*AA143+(1-EXP(-LN(2)/25))/(LN(2)/25)*Calculateur!V144*Calculateur!X144*VLOOKUP('Données projet'!$B$9,Paramètres!$A$1:$I$89,3,0)*0.475*44/12</f>
        <v>28.048350094214989</v>
      </c>
      <c r="AB144" s="21">
        <f>EXP(-LN(2)/2)*AB143+(1-EXP(-LN(2)/2))/(LN(2)/2)*V144*Y144*VLOOKUP('Données projet'!$B$9,Paramètres!$A$1:$I$89,3,0)*0.475*44/12</f>
        <v>1.3040857075656132E-7</v>
      </c>
      <c r="AC144" s="22">
        <f t="shared" si="111"/>
        <v>97.693737216773215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1.3999999999999773</v>
      </c>
      <c r="AJ144" s="13">
        <f>AI144*VLOOKUP('Données projet'!$B$10,Paramètres!$A$1:$I$89,3,0)*VLOOKUP('Données projet'!$B$10,Paramètres!$A$1:$I$89,5,0)</f>
        <v>0.83719999999998651</v>
      </c>
      <c r="AK144" s="13">
        <f t="shared" si="143"/>
        <v>0.39388003094446933</v>
      </c>
      <c r="AL144" s="20">
        <f t="shared" si="112"/>
        <v>2.144131053894927</v>
      </c>
      <c r="AM144" s="59">
        <f t="shared" si="113"/>
        <v>287.70444403165493</v>
      </c>
      <c r="AN144" s="59">
        <f ca="1">AVERAGE(OFFSET($AM$3,0,0,'Données projet'!$E$10+1,1))-AVERAGE(OFFSET($H$3,0,0,'Données projet'!$E$10+1,1))</f>
        <v>318.6615972007902</v>
      </c>
      <c r="AO144" s="59">
        <f t="shared" si="144"/>
        <v>326.82168950869504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27.813380306339102</v>
      </c>
      <c r="AV144" s="21">
        <f>EXP(-LN(2)/25)*AV143+(1-EXP(-LN(2)/25))/(LN(2)/25)*Calculateur!AQ144*Calculateur!AS144*VLOOKUP('Données projet'!$B$10,Paramètres!$A$1:$I$89,3,0)*0.475*44/12</f>
        <v>5.1046676818737087</v>
      </c>
      <c r="AW144" s="21">
        <f>EXP(-LN(2)/2)*AW143+(1-EXP(-LN(2)/2))/(LN(2)/2)*AQ144*AT144*VLOOKUP('Données projet'!$B$10,Paramètres!$A$1:$I$89,3,0)*0.475*44/12</f>
        <v>3.8437901231167967E-11</v>
      </c>
      <c r="AX144" s="21">
        <f t="shared" si="114"/>
        <v>32.918047988251253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-5.6843418860808015E-14</v>
      </c>
      <c r="BE144" s="13">
        <f>BD144*VLOOKUP('Données projet'!$B$11,Paramètres!$A$1:$I$89,3,0)*VLOOKUP('Données projet'!$B$11,Paramètres!$A$1:$I$89,5,0)</f>
        <v>-5.7639226724859328E-14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402.96916953216805</v>
      </c>
      <c r="BJ144" s="59">
        <f t="shared" si="146"/>
        <v>164.89273051331318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30.500634360975777</v>
      </c>
      <c r="BQ144" s="21">
        <f>EXP(-LN(2)/25)*BQ143+(1-EXP(-LN(2)/25))/(LN(2)/25)*Calculateur!BL144*Calculateur!BN144*VLOOKUP('Données projet'!$B$11,Paramètres!$A$1:$I$89,3,0)*0.475*44/12</f>
        <v>28.466773419006699</v>
      </c>
      <c r="BR144" s="21">
        <f>EXP(-LN(2)/2)*BR143+(1-EXP(-LN(2)/2))/(LN(2)/2)*BL144*BO144*VLOOKUP('Données projet'!$B$11,Paramètres!$A$1:$I$89,3,0)*0.475*44/12</f>
        <v>1.4149628220725046</v>
      </c>
      <c r="BS144" s="22">
        <f t="shared" si="117"/>
        <v>60.382370602054984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-2.2737367544323206E-13</v>
      </c>
      <c r="BZ144" s="13">
        <f>BY144*VLOOKUP('Données projet'!$B$12,Paramètres!$A$1:$I$89,3,0)*VLOOKUP('Données projet'!$B$12,Paramètres!$A$1:$I$89,5,0)</f>
        <v>-1.3596945791505279E-13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373.61861223558259</v>
      </c>
      <c r="CE144" s="59">
        <f t="shared" si="148"/>
        <v>277.62293009761049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45.792853991916623</v>
      </c>
      <c r="CL144" s="21">
        <f>EXP(-LN(2)/25)*CL143+(1-EXP(-LN(2)/25))/(LN(2)/25)*Calculateur!CG144*Calculateur!CI144*VLOOKUP('Données projet'!$B$12,Paramètres!$A$1:$I$89,3,0)*0.475*44/12</f>
        <v>9.535641994385033</v>
      </c>
      <c r="CM144" s="21">
        <f>EXP(-LN(2)/2)*CM143+(1-EXP(-LN(2)/2))/(LN(2)/2)*CG144*CJ144*VLOOKUP('Données projet'!$B$12,Paramètres!$A$1:$I$89,3,0)*0.475*44/12</f>
        <v>4.6570056739711693E-8</v>
      </c>
      <c r="CN144" s="22">
        <f t="shared" si="120"/>
        <v>55.328496032871712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10.875</v>
      </c>
      <c r="N145" s="13">
        <f>IF('Données projet'!$A$36&gt;35,N144+M145-V144,IF(A145&lt;'Données projet'!$A$36,$K$205^A145,IF(A145='Données projet'!$A$36,'Données projet'!$B$36,N144+M145-V144)))</f>
        <v>586.13000000000045</v>
      </c>
      <c r="O145" s="13">
        <f>N145*VLOOKUP('Données projet'!$B$9,Paramètres!$A$1:$I$89,3,0)*VLOOKUP('Données projet'!$B$9,Paramètres!$A$1:$I$89,5,0)</f>
        <v>530.33042400000033</v>
      </c>
      <c r="P145" s="13">
        <f t="shared" si="141"/>
        <v>117.75012850750038</v>
      </c>
      <c r="Q145" s="20">
        <f t="shared" si="108"/>
        <v>1128.7402956172302</v>
      </c>
      <c r="R145" s="59">
        <f t="shared" si="109"/>
        <v>1414.4354531202894</v>
      </c>
      <c r="S145" s="59">
        <f ca="1">AVERAGE(OFFSET($R$3,0,0,'Données projet'!$E$9+1,1))-AVERAGE(OFFSET($H$3,0,0,'Données projet'!$E$9+1,1))</f>
        <v>737.40414421611001</v>
      </c>
      <c r="T145" s="59">
        <f t="shared" si="142"/>
        <v>245.32893490531674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68.279683432725179</v>
      </c>
      <c r="AA145" s="21">
        <f>EXP(-LN(2)/25)*AA144+(1-EXP(-LN(2)/25))/(LN(2)/25)*Calculateur!V145*Calculateur!X145*VLOOKUP('Données projet'!$B$9,Paramètres!$A$1:$I$89,3,0)*0.475*44/12</f>
        <v>27.281366485890054</v>
      </c>
      <c r="AB145" s="21">
        <f>EXP(-LN(2)/2)*AB144+(1-EXP(-LN(2)/2))/(LN(2)/2)*V145*Y145*VLOOKUP('Données projet'!$B$9,Paramètres!$A$1:$I$89,3,0)*0.475*44/12</f>
        <v>9.2212784706810207E-8</v>
      </c>
      <c r="AC145" s="22">
        <f t="shared" si="111"/>
        <v>95.561050010828012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1.3999999999999773</v>
      </c>
      <c r="AJ145" s="13">
        <f>AI145*VLOOKUP('Données projet'!$B$10,Paramètres!$A$1:$I$89,3,0)*VLOOKUP('Données projet'!$B$10,Paramètres!$A$1:$I$89,5,0)</f>
        <v>0.83719999999998651</v>
      </c>
      <c r="AK145" s="13">
        <f t="shared" si="143"/>
        <v>0.39388003094446933</v>
      </c>
      <c r="AL145" s="20">
        <f t="shared" si="112"/>
        <v>2.144131053894927</v>
      </c>
      <c r="AM145" s="59">
        <f t="shared" si="113"/>
        <v>287.83928855695399</v>
      </c>
      <c r="AN145" s="59">
        <f ca="1">AVERAGE(OFFSET($AM$3,0,0,'Données projet'!$E$10+1,1))-AVERAGE(OFFSET($H$3,0,0,'Données projet'!$E$10+1,1))</f>
        <v>318.6615972007902</v>
      </c>
      <c r="AO145" s="59">
        <f t="shared" si="144"/>
        <v>326.82168950869504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27.267976883018676</v>
      </c>
      <c r="AV145" s="21">
        <f>EXP(-LN(2)/25)*AV144+(1-EXP(-LN(2)/25))/(LN(2)/25)*Calculateur!AQ145*Calculateur!AS145*VLOOKUP('Données projet'!$B$10,Paramètres!$A$1:$I$89,3,0)*0.475*44/12</f>
        <v>4.9650802756700658</v>
      </c>
      <c r="AW145" s="21">
        <f>EXP(-LN(2)/2)*AW144+(1-EXP(-LN(2)/2))/(LN(2)/2)*AQ145*AT145*VLOOKUP('Données projet'!$B$10,Paramètres!$A$1:$I$89,3,0)*0.475*44/12</f>
        <v>2.7179700615137614E-11</v>
      </c>
      <c r="AX145" s="21">
        <f t="shared" si="114"/>
        <v>32.233057158715923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-5.6843418860808015E-14</v>
      </c>
      <c r="BE145" s="13">
        <f>BD145*VLOOKUP('Données projet'!$B$11,Paramètres!$A$1:$I$89,3,0)*VLOOKUP('Données projet'!$B$11,Paramètres!$A$1:$I$89,5,0)</f>
        <v>-5.7639226724859328E-14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402.96916953216805</v>
      </c>
      <c r="BJ145" s="59">
        <f t="shared" si="146"/>
        <v>164.89273051331318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29.902535524707055</v>
      </c>
      <c r="BQ145" s="21">
        <f>EXP(-LN(2)/25)*BQ144+(1-EXP(-LN(2)/25))/(LN(2)/25)*Calculateur!BL145*Calculateur!BN145*VLOOKUP('Données projet'!$B$11,Paramètres!$A$1:$I$89,3,0)*0.475*44/12</f>
        <v>27.68834800286141</v>
      </c>
      <c r="BR145" s="21">
        <f>EXP(-LN(2)/2)*BR144+(1-EXP(-LN(2)/2))/(LN(2)/2)*BL145*BO145*VLOOKUP('Données projet'!$B$11,Paramètres!$A$1:$I$89,3,0)*0.475*44/12</f>
        <v>1.0005298066143222</v>
      </c>
      <c r="BS145" s="22">
        <f t="shared" si="117"/>
        <v>58.591413334182789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-2.2737367544323206E-13</v>
      </c>
      <c r="BZ145" s="13">
        <f>BY145*VLOOKUP('Données projet'!$B$12,Paramètres!$A$1:$I$89,3,0)*VLOOKUP('Données projet'!$B$12,Paramètres!$A$1:$I$89,5,0)</f>
        <v>-1.3596945791505279E-13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373.61861223558259</v>
      </c>
      <c r="CE145" s="59">
        <f t="shared" si="148"/>
        <v>277.62293009761049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44.894884056018128</v>
      </c>
      <c r="CL145" s="21">
        <f>EXP(-LN(2)/25)*CL144+(1-EXP(-LN(2)/25))/(LN(2)/25)*Calculateur!CG145*Calculateur!CI145*VLOOKUP('Données projet'!$B$12,Paramètres!$A$1:$I$89,3,0)*0.475*44/12</f>
        <v>9.2748893625909563</v>
      </c>
      <c r="CM145" s="21">
        <f>EXP(-LN(2)/2)*CM144+(1-EXP(-LN(2)/2))/(LN(2)/2)*CG145*CJ145*VLOOKUP('Données projet'!$B$12,Paramètres!$A$1:$I$89,3,0)*0.475*44/12</f>
        <v>3.2930002920892419E-8</v>
      </c>
      <c r="CN145" s="22">
        <f t="shared" si="120"/>
        <v>54.169773451539086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10.875</v>
      </c>
      <c r="N146" s="13">
        <f>IF('Données projet'!$A$36&gt;35,N145+M146-V145,IF(A146&lt;'Données projet'!$A$36,$K$205^A146,IF(A146='Données projet'!$A$36,'Données projet'!$B$36,N145+M146-V145)))</f>
        <v>597.00500000000045</v>
      </c>
      <c r="O146" s="13">
        <f>N146*VLOOKUP('Données projet'!$B$9,Paramètres!$A$1:$I$89,3,0)*VLOOKUP('Données projet'!$B$9,Paramètres!$A$1:$I$89,5,0)</f>
        <v>540.17012400000033</v>
      </c>
      <c r="P146" s="13">
        <f t="shared" si="141"/>
        <v>119.67848090157619</v>
      </c>
      <c r="Q146" s="20">
        <f t="shared" si="108"/>
        <v>1149.2363202035792</v>
      </c>
      <c r="R146" s="59">
        <f t="shared" si="109"/>
        <v>1435.0639829808906</v>
      </c>
      <c r="S146" s="59">
        <f ca="1">AVERAGE(OFFSET($R$3,0,0,'Données projet'!$E$9+1,1))-AVERAGE(OFFSET($H$3,0,0,'Données projet'!$E$9+1,1))</f>
        <v>737.40414421611001</v>
      </c>
      <c r="T146" s="59">
        <f t="shared" si="142"/>
        <v>245.32893490531674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66.940760487104086</v>
      </c>
      <c r="AA146" s="21">
        <f>EXP(-LN(2)/25)*AA145+(1-EXP(-LN(2)/25))/(LN(2)/25)*Calculateur!V146*Calculateur!X146*VLOOKUP('Données projet'!$B$9,Paramètres!$A$1:$I$89,3,0)*0.475*44/12</f>
        <v>26.535356084668678</v>
      </c>
      <c r="AB146" s="21">
        <f>EXP(-LN(2)/2)*AB145+(1-EXP(-LN(2)/2))/(LN(2)/2)*V146*Y146*VLOOKUP('Données projet'!$B$9,Paramètres!$A$1:$I$89,3,0)*0.475*44/12</f>
        <v>6.520428537828066E-8</v>
      </c>
      <c r="AC146" s="22">
        <f t="shared" si="111"/>
        <v>93.476116636977054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1.3999999999999773</v>
      </c>
      <c r="AJ146" s="13">
        <f>AI146*VLOOKUP('Données projet'!$B$10,Paramètres!$A$1:$I$89,3,0)*VLOOKUP('Données projet'!$B$10,Paramètres!$A$1:$I$89,5,0)</f>
        <v>0.83719999999998651</v>
      </c>
      <c r="AK146" s="13">
        <f t="shared" si="143"/>
        <v>0.39388003094446933</v>
      </c>
      <c r="AL146" s="20">
        <f t="shared" si="112"/>
        <v>2.144131053894927</v>
      </c>
      <c r="AM146" s="59">
        <f t="shared" si="113"/>
        <v>287.97179383120636</v>
      </c>
      <c r="AN146" s="59">
        <f ca="1">AVERAGE(OFFSET($AM$3,0,0,'Données projet'!$E$10+1,1))-AVERAGE(OFFSET($H$3,0,0,'Données projet'!$E$10+1,1))</f>
        <v>318.6615972007902</v>
      </c>
      <c r="AO146" s="59">
        <f t="shared" si="144"/>
        <v>326.82168950869504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26.733268488166321</v>
      </c>
      <c r="AV146" s="21">
        <f>EXP(-LN(2)/25)*AV145+(1-EXP(-LN(2)/25))/(LN(2)/25)*Calculateur!AQ146*Calculateur!AS146*VLOOKUP('Données projet'!$B$10,Paramètres!$A$1:$I$89,3,0)*0.475*44/12</f>
        <v>4.8293098944296444</v>
      </c>
      <c r="AW146" s="21">
        <f>EXP(-LN(2)/2)*AW145+(1-EXP(-LN(2)/2))/(LN(2)/2)*AQ146*AT146*VLOOKUP('Données projet'!$B$10,Paramètres!$A$1:$I$89,3,0)*0.475*44/12</f>
        <v>1.9218950615583984E-11</v>
      </c>
      <c r="AX146" s="21">
        <f t="shared" si="114"/>
        <v>31.562578382615186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-5.6843418860808015E-14</v>
      </c>
      <c r="BE146" s="13">
        <f>BD146*VLOOKUP('Données projet'!$B$11,Paramètres!$A$1:$I$89,3,0)*VLOOKUP('Données projet'!$B$11,Paramètres!$A$1:$I$89,5,0)</f>
        <v>-5.7639226724859328E-14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402.96916953216805</v>
      </c>
      <c r="BJ146" s="59">
        <f t="shared" si="146"/>
        <v>164.89273051331318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29.316165041813292</v>
      </c>
      <c r="BQ146" s="21">
        <f>EXP(-LN(2)/25)*BQ145+(1-EXP(-LN(2)/25))/(LN(2)/25)*Calculateur!BL146*Calculateur!BN146*VLOOKUP('Données projet'!$B$11,Paramètres!$A$1:$I$89,3,0)*0.475*44/12</f>
        <v>26.931208670656225</v>
      </c>
      <c r="BR146" s="21">
        <f>EXP(-LN(2)/2)*BR145+(1-EXP(-LN(2)/2))/(LN(2)/2)*BL146*BO146*VLOOKUP('Données projet'!$B$11,Paramètres!$A$1:$I$89,3,0)*0.475*44/12</f>
        <v>0.70748141103625228</v>
      </c>
      <c r="BS146" s="22">
        <f t="shared" si="117"/>
        <v>56.954855123505773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-2.2737367544323206E-13</v>
      </c>
      <c r="BZ146" s="13">
        <f>BY146*VLOOKUP('Données projet'!$B$12,Paramètres!$A$1:$I$89,3,0)*VLOOKUP('Données projet'!$B$12,Paramètres!$A$1:$I$89,5,0)</f>
        <v>-1.3596945791505279E-13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373.61861223558259</v>
      </c>
      <c r="CE146" s="59">
        <f t="shared" si="148"/>
        <v>277.62293009761049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44.014522762855023</v>
      </c>
      <c r="CL146" s="21">
        <f>EXP(-LN(2)/25)*CL145+(1-EXP(-LN(2)/25))/(LN(2)/25)*Calculateur!CG146*Calculateur!CI146*VLOOKUP('Données projet'!$B$12,Paramètres!$A$1:$I$89,3,0)*0.475*44/12</f>
        <v>9.0212670252256739</v>
      </c>
      <c r="CM146" s="21">
        <f>EXP(-LN(2)/2)*CM145+(1-EXP(-LN(2)/2))/(LN(2)/2)*CG146*CJ146*VLOOKUP('Données projet'!$B$12,Paramètres!$A$1:$I$89,3,0)*0.475*44/12</f>
        <v>2.3285028369855847E-8</v>
      </c>
      <c r="CN146" s="22">
        <f t="shared" si="120"/>
        <v>53.035789811365724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10.875</v>
      </c>
      <c r="N147" s="13">
        <f>IF('Données projet'!$A$36&gt;35,N146+M147-V146,IF(A147&lt;'Données projet'!$A$36,$K$205^A147,IF(A147='Données projet'!$A$36,'Données projet'!$B$36,N146+M147-V146)))</f>
        <v>607.88000000000045</v>
      </c>
      <c r="O147" s="13">
        <f>N147*VLOOKUP('Données projet'!$B$9,Paramètres!$A$1:$I$89,3,0)*VLOOKUP('Données projet'!$B$9,Paramètres!$A$1:$I$89,5,0)</f>
        <v>550.00982400000044</v>
      </c>
      <c r="P147" s="13">
        <f t="shared" si="141"/>
        <v>121.60274863739461</v>
      </c>
      <c r="Q147" s="20">
        <f t="shared" si="108"/>
        <v>1169.7252306767962</v>
      </c>
      <c r="R147" s="59">
        <f t="shared" si="109"/>
        <v>1455.6831000580892</v>
      </c>
      <c r="S147" s="59">
        <f ca="1">AVERAGE(OFFSET($R$3,0,0,'Données projet'!$E$9+1,1))-AVERAGE(OFFSET($H$3,0,0,'Données projet'!$E$9+1,1))</f>
        <v>737.40414421611001</v>
      </c>
      <c r="T147" s="59">
        <f t="shared" si="142"/>
        <v>245.32893490531674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65.628093003784258</v>
      </c>
      <c r="AA147" s="21">
        <f>EXP(-LN(2)/25)*AA146+(1-EXP(-LN(2)/25))/(LN(2)/25)*Calculateur!V147*Calculateur!X147*VLOOKUP('Données projet'!$B$9,Paramètres!$A$1:$I$89,3,0)*0.475*44/12</f>
        <v>25.809745377099684</v>
      </c>
      <c r="AB147" s="21">
        <f>EXP(-LN(2)/2)*AB146+(1-EXP(-LN(2)/2))/(LN(2)/2)*V147*Y147*VLOOKUP('Données projet'!$B$9,Paramètres!$A$1:$I$89,3,0)*0.475*44/12</f>
        <v>4.6106392353405103E-8</v>
      </c>
      <c r="AC147" s="22">
        <f t="shared" si="111"/>
        <v>91.437838426990339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1.3999999999999773</v>
      </c>
      <c r="AJ147" s="13">
        <f>AI147*VLOOKUP('Données projet'!$B$10,Paramètres!$A$1:$I$89,3,0)*VLOOKUP('Données projet'!$B$10,Paramètres!$A$1:$I$89,5,0)</f>
        <v>0.83719999999998651</v>
      </c>
      <c r="AK147" s="13">
        <f t="shared" si="143"/>
        <v>0.39388003094446933</v>
      </c>
      <c r="AL147" s="20">
        <f t="shared" si="112"/>
        <v>2.144131053894927</v>
      </c>
      <c r="AM147" s="59">
        <f t="shared" si="113"/>
        <v>288.10200043518779</v>
      </c>
      <c r="AN147" s="59">
        <f ca="1">AVERAGE(OFFSET($AM$3,0,0,'Données projet'!$E$10+1,1))-AVERAGE(OFFSET($H$3,0,0,'Données projet'!$E$10+1,1))</f>
        <v>318.6615972007902</v>
      </c>
      <c r="AO147" s="59">
        <f t="shared" si="144"/>
        <v>326.82168950869504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26.209045398797105</v>
      </c>
      <c r="AV147" s="21">
        <f>EXP(-LN(2)/25)*AV146+(1-EXP(-LN(2)/25))/(LN(2)/25)*Calculateur!AQ147*Calculateur!AS147*VLOOKUP('Données projet'!$B$10,Paramètres!$A$1:$I$89,3,0)*0.475*44/12</f>
        <v>4.6972521614040961</v>
      </c>
      <c r="AW147" s="21">
        <f>EXP(-LN(2)/2)*AW146+(1-EXP(-LN(2)/2))/(LN(2)/2)*AQ147*AT147*VLOOKUP('Données projet'!$B$10,Paramètres!$A$1:$I$89,3,0)*0.475*44/12</f>
        <v>1.3589850307568807E-11</v>
      </c>
      <c r="AX147" s="21">
        <f t="shared" si="114"/>
        <v>30.906297560214792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-5.6843418860808015E-14</v>
      </c>
      <c r="BE147" s="13">
        <f>BD147*VLOOKUP('Données projet'!$B$11,Paramètres!$A$1:$I$89,3,0)*VLOOKUP('Données projet'!$B$11,Paramètres!$A$1:$I$89,5,0)</f>
        <v>-5.7639226724859328E-14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402.96916953216805</v>
      </c>
      <c r="BJ147" s="59">
        <f t="shared" si="146"/>
        <v>164.89273051331318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28.741292926438398</v>
      </c>
      <c r="BQ147" s="21">
        <f>EXP(-LN(2)/25)*BQ146+(1-EXP(-LN(2)/25))/(LN(2)/25)*Calculateur!BL147*Calculateur!BN147*VLOOKUP('Données projet'!$B$11,Paramètres!$A$1:$I$89,3,0)*0.475*44/12</f>
        <v>26.19477335330642</v>
      </c>
      <c r="BR147" s="21">
        <f>EXP(-LN(2)/2)*BR146+(1-EXP(-LN(2)/2))/(LN(2)/2)*BL147*BO147*VLOOKUP('Données projet'!$B$11,Paramètres!$A$1:$I$89,3,0)*0.475*44/12</f>
        <v>0.50026490330716111</v>
      </c>
      <c r="BS147" s="22">
        <f t="shared" si="117"/>
        <v>55.436331183051983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-2.2737367544323206E-13</v>
      </c>
      <c r="BZ147" s="13">
        <f>BY147*VLOOKUP('Données projet'!$B$12,Paramètres!$A$1:$I$89,3,0)*VLOOKUP('Données projet'!$B$12,Paramètres!$A$1:$I$89,5,0)</f>
        <v>-1.3596945791505279E-13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373.61861223558259</v>
      </c>
      <c r="CE147" s="59">
        <f t="shared" si="148"/>
        <v>277.62293009761049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43.151424817683477</v>
      </c>
      <c r="CL147" s="21">
        <f>EXP(-LN(2)/25)*CL146+(1-EXP(-LN(2)/25))/(LN(2)/25)*Calculateur!CG147*Calculateur!CI147*VLOOKUP('Données projet'!$B$12,Paramètres!$A$1:$I$89,3,0)*0.475*44/12</f>
        <v>8.7745800040130639</v>
      </c>
      <c r="CM147" s="21">
        <f>EXP(-LN(2)/2)*CM146+(1-EXP(-LN(2)/2))/(LN(2)/2)*CG147*CJ147*VLOOKUP('Données projet'!$B$12,Paramètres!$A$1:$I$89,3,0)*0.475*44/12</f>
        <v>1.6465001460446209E-8</v>
      </c>
      <c r="CN147" s="22">
        <f t="shared" si="120"/>
        <v>51.926004838161539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10.875</v>
      </c>
      <c r="N148" s="13">
        <f>IF('Données projet'!$A$36&gt;35,N147+M148-V147,IF(A148&lt;'Données projet'!$A$36,$K$205^A148,IF(A148='Données projet'!$A$36,'Données projet'!$B$36,N147+M148-V147)))</f>
        <v>618.75500000000045</v>
      </c>
      <c r="O148" s="13">
        <f>N148*VLOOKUP('Données projet'!$B$9,Paramètres!$A$1:$I$89,3,0)*VLOOKUP('Données projet'!$B$9,Paramètres!$A$1:$I$89,5,0)</f>
        <v>559.84952400000043</v>
      </c>
      <c r="P148" s="13">
        <f t="shared" si="141"/>
        <v>123.52301321945187</v>
      </c>
      <c r="Q148" s="20">
        <f t="shared" si="108"/>
        <v>1190.2071689905461</v>
      </c>
      <c r="R148" s="59">
        <f t="shared" si="109"/>
        <v>1476.2929861823395</v>
      </c>
      <c r="S148" s="59">
        <f ca="1">AVERAGE(OFFSET($R$3,0,0,'Données projet'!$E$9+1,1))-AVERAGE(OFFSET($H$3,0,0,'Données projet'!$E$9+1,1))</f>
        <v>737.40414421611001</v>
      </c>
      <c r="T148" s="59">
        <f t="shared" si="142"/>
        <v>245.32893490531674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64.341166129164222</v>
      </c>
      <c r="AA148" s="21">
        <f>EXP(-LN(2)/25)*AA147+(1-EXP(-LN(2)/25))/(LN(2)/25)*Calculateur!V148*Calculateur!X148*VLOOKUP('Données projet'!$B$9,Paramètres!$A$1:$I$89,3,0)*0.475*44/12</f>
        <v>25.103976532487373</v>
      </c>
      <c r="AB148" s="21">
        <f>EXP(-LN(2)/2)*AB147+(1-EXP(-LN(2)/2))/(LN(2)/2)*V148*Y148*VLOOKUP('Données projet'!$B$9,Paramètres!$A$1:$I$89,3,0)*0.475*44/12</f>
        <v>3.260214268914033E-8</v>
      </c>
      <c r="AC148" s="22">
        <f t="shared" si="111"/>
        <v>89.445142694253747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1.3999999999999773</v>
      </c>
      <c r="AJ148" s="13">
        <f>AI148*VLOOKUP('Données projet'!$B$10,Paramètres!$A$1:$I$89,3,0)*VLOOKUP('Données projet'!$B$10,Paramètres!$A$1:$I$89,5,0)</f>
        <v>0.83719999999998651</v>
      </c>
      <c r="AK148" s="13">
        <f t="shared" si="143"/>
        <v>0.39388003094446933</v>
      </c>
      <c r="AL148" s="20">
        <f t="shared" si="112"/>
        <v>2.144131053894927</v>
      </c>
      <c r="AM148" s="59">
        <f t="shared" si="113"/>
        <v>288.22994824568849</v>
      </c>
      <c r="AN148" s="59">
        <f ca="1">AVERAGE(OFFSET($AM$3,0,0,'Données projet'!$E$10+1,1))-AVERAGE(OFFSET($H$3,0,0,'Données projet'!$E$10+1,1))</f>
        <v>318.6615972007902</v>
      </c>
      <c r="AO148" s="59">
        <f t="shared" si="144"/>
        <v>326.82168950869504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25.695102004465905</v>
      </c>
      <c r="AV148" s="21">
        <f>EXP(-LN(2)/25)*AV147+(1-EXP(-LN(2)/25))/(LN(2)/25)*Calculateur!AQ148*Calculateur!AS148*VLOOKUP('Données projet'!$B$10,Paramètres!$A$1:$I$89,3,0)*0.475*44/12</f>
        <v>4.5688055540327452</v>
      </c>
      <c r="AW148" s="21">
        <f>EXP(-LN(2)/2)*AW147+(1-EXP(-LN(2)/2))/(LN(2)/2)*AQ148*AT148*VLOOKUP('Données projet'!$B$10,Paramètres!$A$1:$I$89,3,0)*0.475*44/12</f>
        <v>9.6094753077919918E-12</v>
      </c>
      <c r="AX148" s="21">
        <f t="shared" si="114"/>
        <v>30.263907558508262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-5.6843418860808015E-14</v>
      </c>
      <c r="BE148" s="13">
        <f>BD148*VLOOKUP('Données projet'!$B$11,Paramètres!$A$1:$I$89,3,0)*VLOOKUP('Données projet'!$B$11,Paramètres!$A$1:$I$89,5,0)</f>
        <v>-5.7639226724859328E-14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402.96916953216805</v>
      </c>
      <c r="BJ148" s="59">
        <f t="shared" si="146"/>
        <v>164.89273051331318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28.177693702608636</v>
      </c>
      <c r="BQ148" s="21">
        <f>EXP(-LN(2)/25)*BQ147+(1-EXP(-LN(2)/25))/(LN(2)/25)*Calculateur!BL148*Calculateur!BN148*VLOOKUP('Données projet'!$B$11,Paramètres!$A$1:$I$89,3,0)*0.475*44/12</f>
        <v>25.478475898436994</v>
      </c>
      <c r="BR148" s="21">
        <f>EXP(-LN(2)/2)*BR147+(1-EXP(-LN(2)/2))/(LN(2)/2)*BL148*BO148*VLOOKUP('Données projet'!$B$11,Paramètres!$A$1:$I$89,3,0)*0.475*44/12</f>
        <v>0.35374070551812614</v>
      </c>
      <c r="BS148" s="22">
        <f t="shared" si="117"/>
        <v>54.009910306563761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-2.2737367544323206E-13</v>
      </c>
      <c r="BZ148" s="13">
        <f>BY148*VLOOKUP('Données projet'!$B$12,Paramètres!$A$1:$I$89,3,0)*VLOOKUP('Données projet'!$B$12,Paramètres!$A$1:$I$89,5,0)</f>
        <v>-1.3596945791505279E-13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373.61861223558259</v>
      </c>
      <c r="CE148" s="59">
        <f t="shared" si="148"/>
        <v>277.62293009761049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42.305251696778981</v>
      </c>
      <c r="CL148" s="21">
        <f>EXP(-LN(2)/25)*CL147+(1-EXP(-LN(2)/25))/(LN(2)/25)*Calculateur!CG148*Calculateur!CI148*VLOOKUP('Données projet'!$B$12,Paramètres!$A$1:$I$89,3,0)*0.475*44/12</f>
        <v>8.5346386523682192</v>
      </c>
      <c r="CM148" s="21">
        <f>EXP(-LN(2)/2)*CM147+(1-EXP(-LN(2)/2))/(LN(2)/2)*CG148*CJ148*VLOOKUP('Données projet'!$B$12,Paramètres!$A$1:$I$89,3,0)*0.475*44/12</f>
        <v>1.1642514184927923E-8</v>
      </c>
      <c r="CN148" s="22">
        <f t="shared" si="120"/>
        <v>50.83989036078971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10.875</v>
      </c>
      <c r="N149" s="13">
        <f>IF('Données projet'!$A$36&gt;35,N148+M149-V148,IF(A149&lt;'Données projet'!$A$36,$K$205^A149,IF(A149='Données projet'!$A$36,'Données projet'!$B$36,N148+M149-V148)))</f>
        <v>629.63000000000045</v>
      </c>
      <c r="O149" s="13">
        <f>N149*VLOOKUP('Données projet'!$B$9,Paramètres!$A$1:$I$89,3,0)*VLOOKUP('Données projet'!$B$9,Paramètres!$A$1:$I$89,5,0)</f>
        <v>569.68922400000042</v>
      </c>
      <c r="P149" s="13">
        <f t="shared" si="141"/>
        <v>125.43935312315148</v>
      </c>
      <c r="Q149" s="20">
        <f t="shared" si="108"/>
        <v>1210.6822718228229</v>
      </c>
      <c r="R149" s="59">
        <f t="shared" si="109"/>
        <v>1496.8938172166536</v>
      </c>
      <c r="S149" s="59">
        <f ca="1">AVERAGE(OFFSET($R$3,0,0,'Données projet'!$E$9+1,1))-AVERAGE(OFFSET($H$3,0,0,'Données projet'!$E$9+1,1))</f>
        <v>737.40414421611001</v>
      </c>
      <c r="T149" s="59">
        <f t="shared" si="142"/>
        <v>245.32893490531674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63.079475105607607</v>
      </c>
      <c r="AA149" s="21">
        <f>EXP(-LN(2)/25)*AA148+(1-EXP(-LN(2)/25))/(LN(2)/25)*Calculateur!V149*Calculateur!X149*VLOOKUP('Données projet'!$B$9,Paramètres!$A$1:$I$89,3,0)*0.475*44/12</f>
        <v>24.417506974045757</v>
      </c>
      <c r="AB149" s="21">
        <f>EXP(-LN(2)/2)*AB148+(1-EXP(-LN(2)/2))/(LN(2)/2)*V149*Y149*VLOOKUP('Données projet'!$B$9,Paramètres!$A$1:$I$89,3,0)*0.475*44/12</f>
        <v>2.3053196176702552E-8</v>
      </c>
      <c r="AC149" s="22">
        <f t="shared" si="111"/>
        <v>87.496982102706554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1.3999999999999773</v>
      </c>
      <c r="AJ149" s="13">
        <f>AI149*VLOOKUP('Données projet'!$B$10,Paramètres!$A$1:$I$89,3,0)*VLOOKUP('Données projet'!$B$10,Paramètres!$A$1:$I$89,5,0)</f>
        <v>0.83719999999998651</v>
      </c>
      <c r="AK149" s="13">
        <f t="shared" si="143"/>
        <v>0.39388003094446933</v>
      </c>
      <c r="AL149" s="20">
        <f t="shared" si="112"/>
        <v>2.144131053894927</v>
      </c>
      <c r="AM149" s="59">
        <f t="shared" si="113"/>
        <v>288.35567644772556</v>
      </c>
      <c r="AN149" s="59">
        <f ca="1">AVERAGE(OFFSET($AM$3,0,0,'Données projet'!$E$10+1,1))-AVERAGE(OFFSET($H$3,0,0,'Données projet'!$E$10+1,1))</f>
        <v>318.6615972007902</v>
      </c>
      <c r="AO149" s="59">
        <f t="shared" si="144"/>
        <v>326.82168950869504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25.191236726623025</v>
      </c>
      <c r="AV149" s="21">
        <f>EXP(-LN(2)/25)*AV148+(1-EXP(-LN(2)/25))/(LN(2)/25)*Calculateur!AQ149*Calculateur!AS149*VLOOKUP('Données projet'!$B$10,Paramètres!$A$1:$I$89,3,0)*0.475*44/12</f>
        <v>4.443871325894678</v>
      </c>
      <c r="AW149" s="21">
        <f>EXP(-LN(2)/2)*AW148+(1-EXP(-LN(2)/2))/(LN(2)/2)*AQ149*AT149*VLOOKUP('Données projet'!$B$10,Paramètres!$A$1:$I$89,3,0)*0.475*44/12</f>
        <v>6.7949251537844034E-12</v>
      </c>
      <c r="AX149" s="21">
        <f t="shared" si="114"/>
        <v>29.635108052524497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-5.6843418860808015E-14</v>
      </c>
      <c r="BE149" s="13">
        <f>BD149*VLOOKUP('Données projet'!$B$11,Paramètres!$A$1:$I$89,3,0)*VLOOKUP('Données projet'!$B$11,Paramètres!$A$1:$I$89,5,0)</f>
        <v>-5.7639226724859328E-14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402.96916953216805</v>
      </c>
      <c r="BJ149" s="59">
        <f t="shared" si="146"/>
        <v>164.89273051331318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27.625146315796595</v>
      </c>
      <c r="BQ149" s="21">
        <f>EXP(-LN(2)/25)*BQ148+(1-EXP(-LN(2)/25))/(LN(2)/25)*Calculateur!BL149*Calculateur!BN149*VLOOKUP('Données projet'!$B$11,Paramètres!$A$1:$I$89,3,0)*0.475*44/12</f>
        <v>24.781765635139418</v>
      </c>
      <c r="BR149" s="21">
        <f>EXP(-LN(2)/2)*BR148+(1-EXP(-LN(2)/2))/(LN(2)/2)*BL149*BO149*VLOOKUP('Données projet'!$B$11,Paramètres!$A$1:$I$89,3,0)*0.475*44/12</f>
        <v>0.25013245165358056</v>
      </c>
      <c r="BS149" s="22">
        <f t="shared" si="117"/>
        <v>52.657044402589591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-2.2737367544323206E-13</v>
      </c>
      <c r="BZ149" s="13">
        <f>BY149*VLOOKUP('Données projet'!$B$12,Paramètres!$A$1:$I$89,3,0)*VLOOKUP('Données projet'!$B$12,Paramètres!$A$1:$I$89,5,0)</f>
        <v>-1.3596945791505279E-13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373.61861223558259</v>
      </c>
      <c r="CE149" s="59">
        <f t="shared" si="148"/>
        <v>277.62293009761049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41.475671514660782</v>
      </c>
      <c r="CL149" s="21">
        <f>EXP(-LN(2)/25)*CL148+(1-EXP(-LN(2)/25))/(LN(2)/25)*Calculateur!CG149*Calculateur!CI149*VLOOKUP('Données projet'!$B$12,Paramètres!$A$1:$I$89,3,0)*0.475*44/12</f>
        <v>8.3012585096020697</v>
      </c>
      <c r="CM149" s="21">
        <f>EXP(-LN(2)/2)*CM148+(1-EXP(-LN(2)/2))/(LN(2)/2)*CG149*CJ149*VLOOKUP('Données projet'!$B$12,Paramètres!$A$1:$I$89,3,0)*0.475*44/12</f>
        <v>8.2325007302231047E-9</v>
      </c>
      <c r="CN149" s="22">
        <f t="shared" si="120"/>
        <v>49.776930032495351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10.875</v>
      </c>
      <c r="N150" s="13">
        <f>IF('Données projet'!$A$36&gt;35,N149+M150-V149,IF(A150&lt;'Données projet'!$A$36,$K$205^A150,IF(A150='Données projet'!$A$36,'Données projet'!$B$36,N149+M150-V149)))</f>
        <v>640.50500000000045</v>
      </c>
      <c r="O150" s="13">
        <f>N150*VLOOKUP('Données projet'!$B$9,Paramètres!$A$1:$I$89,3,0)*VLOOKUP('Données projet'!$B$9,Paramètres!$A$1:$I$89,5,0)</f>
        <v>579.52892400000042</v>
      </c>
      <c r="P150" s="13">
        <f t="shared" si="141"/>
        <v>127.35184395771817</v>
      </c>
      <c r="Q150" s="20">
        <f t="shared" si="108"/>
        <v>1231.1506708596933</v>
      </c>
      <c r="R150" s="59">
        <f t="shared" si="109"/>
        <v>1517.4857633523416</v>
      </c>
      <c r="S150" s="59">
        <f ca="1">AVERAGE(OFFSET($R$3,0,0,'Données projet'!$E$9+1,1))-AVERAGE(OFFSET($H$3,0,0,'Données projet'!$E$9+1,1))</f>
        <v>737.40414421611001</v>
      </c>
      <c r="T150" s="59">
        <f t="shared" si="142"/>
        <v>245.32893490531674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61.842525073467399</v>
      </c>
      <c r="AA150" s="21">
        <f>EXP(-LN(2)/25)*AA149+(1-EXP(-LN(2)/25))/(LN(2)/25)*Calculateur!V150*Calculateur!X150*VLOOKUP('Données projet'!$B$9,Paramètres!$A$1:$I$89,3,0)*0.475*44/12</f>
        <v>23.749808961779593</v>
      </c>
      <c r="AB150" s="21">
        <f>EXP(-LN(2)/2)*AB149+(1-EXP(-LN(2)/2))/(LN(2)/2)*V150*Y150*VLOOKUP('Données projet'!$B$9,Paramètres!$A$1:$I$89,3,0)*0.475*44/12</f>
        <v>1.6301071344570165E-8</v>
      </c>
      <c r="AC150" s="22">
        <f t="shared" si="111"/>
        <v>85.592334051548065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1.3999999999999773</v>
      </c>
      <c r="AJ150" s="13">
        <f>AI150*VLOOKUP('Données projet'!$B$10,Paramètres!$A$1:$I$89,3,0)*VLOOKUP('Données projet'!$B$10,Paramètres!$A$1:$I$89,5,0)</f>
        <v>0.83719999999998651</v>
      </c>
      <c r="AK150" s="13">
        <f t="shared" si="143"/>
        <v>0.39388003094446933</v>
      </c>
      <c r="AL150" s="20">
        <f t="shared" si="112"/>
        <v>2.144131053894927</v>
      </c>
      <c r="AM150" s="59">
        <f t="shared" si="113"/>
        <v>288.47922354654332</v>
      </c>
      <c r="AN150" s="59">
        <f ca="1">AVERAGE(OFFSET($AM$3,0,0,'Données projet'!$E$10+1,1))-AVERAGE(OFFSET($H$3,0,0,'Données projet'!$E$10+1,1))</f>
        <v>318.6615972007902</v>
      </c>
      <c r="AO150" s="59">
        <f t="shared" si="144"/>
        <v>326.82168950869504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24.697251939551169</v>
      </c>
      <c r="AV150" s="21">
        <f>EXP(-LN(2)/25)*AV149+(1-EXP(-LN(2)/25))/(LN(2)/25)*Calculateur!AQ150*Calculateur!AS150*VLOOKUP('Données projet'!$B$10,Paramètres!$A$1:$I$89,3,0)*0.475*44/12</f>
        <v>4.3223534307950517</v>
      </c>
      <c r="AW150" s="21">
        <f>EXP(-LN(2)/2)*AW149+(1-EXP(-LN(2)/2))/(LN(2)/2)*AQ150*AT150*VLOOKUP('Données projet'!$B$10,Paramètres!$A$1:$I$89,3,0)*0.475*44/12</f>
        <v>4.8047376538959959E-12</v>
      </c>
      <c r="AX150" s="21">
        <f t="shared" si="114"/>
        <v>29.019605370351023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-5.6843418860808015E-14</v>
      </c>
      <c r="BE150" s="13">
        <f>BD150*VLOOKUP('Données projet'!$B$11,Paramètres!$A$1:$I$89,3,0)*VLOOKUP('Données projet'!$B$11,Paramètres!$A$1:$I$89,5,0)</f>
        <v>-5.7639226724859328E-14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402.96916953216805</v>
      </c>
      <c r="BJ150" s="59">
        <f t="shared" si="146"/>
        <v>164.89273051331318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27.08343404621931</v>
      </c>
      <c r="BQ150" s="21">
        <f>EXP(-LN(2)/25)*BQ149+(1-EXP(-LN(2)/25))/(LN(2)/25)*Calculateur!BL150*Calculateur!BN150*VLOOKUP('Données projet'!$B$11,Paramètres!$A$1:$I$89,3,0)*0.475*44/12</f>
        <v>24.104106950630115</v>
      </c>
      <c r="BR150" s="21">
        <f>EXP(-LN(2)/2)*BR149+(1-EXP(-LN(2)/2))/(LN(2)/2)*BL150*BO150*VLOOKUP('Données projet'!$B$11,Paramètres!$A$1:$I$89,3,0)*0.475*44/12</f>
        <v>0.17687035275906307</v>
      </c>
      <c r="BS150" s="22">
        <f t="shared" si="117"/>
        <v>51.364411349608481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-2.2737367544323206E-13</v>
      </c>
      <c r="BZ150" s="13">
        <f>BY150*VLOOKUP('Données projet'!$B$12,Paramètres!$A$1:$I$89,3,0)*VLOOKUP('Données projet'!$B$12,Paramètres!$A$1:$I$89,5,0)</f>
        <v>-1.3596945791505279E-13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373.61861223558259</v>
      </c>
      <c r="CE150" s="59">
        <f t="shared" si="148"/>
        <v>277.62293009761049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40.662358893919972</v>
      </c>
      <c r="CL150" s="21">
        <f>EXP(-LN(2)/25)*CL149+(1-EXP(-LN(2)/25))/(LN(2)/25)*Calculateur!CG150*Calculateur!CI150*VLOOKUP('Données projet'!$B$12,Paramètres!$A$1:$I$89,3,0)*0.475*44/12</f>
        <v>8.0742601591127894</v>
      </c>
      <c r="CM150" s="21">
        <f>EXP(-LN(2)/2)*CM149+(1-EXP(-LN(2)/2))/(LN(2)/2)*CG150*CJ150*VLOOKUP('Données projet'!$B$12,Paramètres!$A$1:$I$89,3,0)*0.475*44/12</f>
        <v>5.8212570924639616E-9</v>
      </c>
      <c r="CN150" s="22">
        <f t="shared" si="120"/>
        <v>48.736619058854018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10.875</v>
      </c>
      <c r="N151" s="13">
        <f>IF('Données projet'!$A$36&gt;35,N150+M151-V150,IF(A151&lt;'Données projet'!$A$36,$K$205^A151,IF(A151='Données projet'!$A$36,'Données projet'!$B$36,N150+M151-V150)))</f>
        <v>651.38000000000045</v>
      </c>
      <c r="O151" s="13">
        <f>N151*VLOOKUP('Données projet'!$B$9,Paramètres!$A$1:$I$89,3,0)*VLOOKUP('Données projet'!$B$9,Paramètres!$A$1:$I$89,5,0)</f>
        <v>589.36862400000041</v>
      </c>
      <c r="P151" s="13">
        <f t="shared" si="141"/>
        <v>129.26055861773426</v>
      </c>
      <c r="Q151" s="20">
        <f t="shared" si="108"/>
        <v>1251.6124930592212</v>
      </c>
      <c r="R151" s="59">
        <f t="shared" si="109"/>
        <v>1538.068989384733</v>
      </c>
      <c r="S151" s="59">
        <f ca="1">AVERAGE(OFFSET($R$3,0,0,'Données projet'!$E$9+1,1))-AVERAGE(OFFSET($H$3,0,0,'Données projet'!$E$9+1,1))</f>
        <v>737.40414421611001</v>
      </c>
      <c r="T151" s="59">
        <f t="shared" si="142"/>
        <v>245.32893490531674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60.629830876992436</v>
      </c>
      <c r="AA151" s="21">
        <f>EXP(-LN(2)/25)*AA150+(1-EXP(-LN(2)/25))/(LN(2)/25)*Calculateur!V151*Calculateur!X151*VLOOKUP('Données projet'!$B$9,Paramètres!$A$1:$I$89,3,0)*0.475*44/12</f>
        <v>23.100369186771559</v>
      </c>
      <c r="AB151" s="21">
        <f>EXP(-LN(2)/2)*AB150+(1-EXP(-LN(2)/2))/(LN(2)/2)*V151*Y151*VLOOKUP('Données projet'!$B$9,Paramètres!$A$1:$I$89,3,0)*0.475*44/12</f>
        <v>1.1526598088351276E-8</v>
      </c>
      <c r="AC151" s="22">
        <f t="shared" si="111"/>
        <v>83.730200075290583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1.3999999999999773</v>
      </c>
      <c r="AJ151" s="13">
        <f>AI151*VLOOKUP('Données projet'!$B$10,Paramètres!$A$1:$I$89,3,0)*VLOOKUP('Données projet'!$B$10,Paramètres!$A$1:$I$89,5,0)</f>
        <v>0.83719999999998651</v>
      </c>
      <c r="AK151" s="13">
        <f t="shared" si="143"/>
        <v>0.39388003094446933</v>
      </c>
      <c r="AL151" s="20">
        <f t="shared" si="112"/>
        <v>2.144131053894927</v>
      </c>
      <c r="AM151" s="59">
        <f t="shared" si="113"/>
        <v>288.6006273794066</v>
      </c>
      <c r="AN151" s="59">
        <f ca="1">AVERAGE(OFFSET($AM$3,0,0,'Données projet'!$E$10+1,1))-AVERAGE(OFFSET($H$3,0,0,'Données projet'!$E$10+1,1))</f>
        <v>318.6615972007902</v>
      </c>
      <c r="AO151" s="59">
        <f t="shared" si="144"/>
        <v>326.82168950869504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24.212953892852823</v>
      </c>
      <c r="AV151" s="21">
        <f>EXP(-LN(2)/25)*AV150+(1-EXP(-LN(2)/25))/(LN(2)/25)*Calculateur!AQ151*Calculateur!AS151*VLOOKUP('Données projet'!$B$10,Paramètres!$A$1:$I$89,3,0)*0.475*44/12</f>
        <v>4.2041584489272728</v>
      </c>
      <c r="AW151" s="21">
        <f>EXP(-LN(2)/2)*AW150+(1-EXP(-LN(2)/2))/(LN(2)/2)*AQ151*AT151*VLOOKUP('Données projet'!$B$10,Paramètres!$A$1:$I$89,3,0)*0.475*44/12</f>
        <v>3.3974625768922017E-12</v>
      </c>
      <c r="AX151" s="21">
        <f t="shared" si="114"/>
        <v>28.417112341783493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-5.6843418860808015E-14</v>
      </c>
      <c r="BE151" s="13">
        <f>BD151*VLOOKUP('Données projet'!$B$11,Paramètres!$A$1:$I$89,3,0)*VLOOKUP('Données projet'!$B$11,Paramètres!$A$1:$I$89,5,0)</f>
        <v>-5.7639226724859328E-14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402.96916953216805</v>
      </c>
      <c r="BJ151" s="59">
        <f t="shared" si="146"/>
        <v>164.89273051331318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26.552344423836576</v>
      </c>
      <c r="BQ151" s="21">
        <f>EXP(-LN(2)/25)*BQ150+(1-EXP(-LN(2)/25))/(LN(2)/25)*Calculateur!BL151*Calculateur!BN151*VLOOKUP('Données projet'!$B$11,Paramètres!$A$1:$I$89,3,0)*0.475*44/12</f>
        <v>23.444978878485241</v>
      </c>
      <c r="BR151" s="21">
        <f>EXP(-LN(2)/2)*BR150+(1-EXP(-LN(2)/2))/(LN(2)/2)*BL151*BO151*VLOOKUP('Données projet'!$B$11,Paramètres!$A$1:$I$89,3,0)*0.475*44/12</f>
        <v>0.12506622582679028</v>
      </c>
      <c r="BS151" s="22">
        <f t="shared" si="117"/>
        <v>50.122389528148609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-2.2737367544323206E-13</v>
      </c>
      <c r="BZ151" s="13">
        <f>BY151*VLOOKUP('Données projet'!$B$12,Paramètres!$A$1:$I$89,3,0)*VLOOKUP('Données projet'!$B$12,Paramètres!$A$1:$I$89,5,0)</f>
        <v>-1.3596945791505279E-13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373.61861223558259</v>
      </c>
      <c r="CE151" s="59">
        <f t="shared" si="148"/>
        <v>277.62293009761049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39.864994837600172</v>
      </c>
      <c r="CL151" s="21">
        <f>EXP(-LN(2)/25)*CL150+(1-EXP(-LN(2)/25))/(LN(2)/25)*Calculateur!CG151*Calculateur!CI151*VLOOKUP('Données projet'!$B$12,Paramètres!$A$1:$I$89,3,0)*0.475*44/12</f>
        <v>7.8534690904549622</v>
      </c>
      <c r="CM151" s="21">
        <f>EXP(-LN(2)/2)*CM150+(1-EXP(-LN(2)/2))/(LN(2)/2)*CG151*CJ151*VLOOKUP('Données projet'!$B$12,Paramètres!$A$1:$I$89,3,0)*0.475*44/12</f>
        <v>4.1162503651115523E-9</v>
      </c>
      <c r="CN151" s="22">
        <f t="shared" si="120"/>
        <v>47.718463932171389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10.875</v>
      </c>
      <c r="N152" s="13">
        <f>IF('Données projet'!$A$36&gt;35,N151+M152-V151,IF(A152&lt;'Données projet'!$A$36,$K$205^A152,IF(A152='Données projet'!$A$36,'Données projet'!$B$36,N151+M152-V151)))</f>
        <v>662.25500000000045</v>
      </c>
      <c r="O152" s="13">
        <f>N152*VLOOKUP('Données projet'!$B$9,Paramètres!$A$1:$I$89,3,0)*VLOOKUP('Données projet'!$B$9,Paramètres!$A$1:$I$89,5,0)</f>
        <v>599.2083240000004</v>
      </c>
      <c r="P152" s="13">
        <f t="shared" si="141"/>
        <v>131.16556742426994</v>
      </c>
      <c r="Q152" s="20">
        <f t="shared" si="108"/>
        <v>1272.0678608972707</v>
      </c>
      <c r="R152" s="59">
        <f t="shared" si="109"/>
        <v>1558.6436549705638</v>
      </c>
      <c r="S152" s="59">
        <f ca="1">AVERAGE(OFFSET($R$3,0,0,'Données projet'!$E$9+1,1))-AVERAGE(OFFSET($H$3,0,0,'Données projet'!$E$9+1,1))</f>
        <v>737.40414421611001</v>
      </c>
      <c r="T152" s="59">
        <f t="shared" si="142"/>
        <v>245.32893490531674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59.440916874039921</v>
      </c>
      <c r="AA152" s="21">
        <f>EXP(-LN(2)/25)*AA151+(1-EXP(-LN(2)/25))/(LN(2)/25)*Calculateur!V152*Calculateur!X152*VLOOKUP('Données projet'!$B$9,Paramètres!$A$1:$I$89,3,0)*0.475*44/12</f>
        <v>22.468688376563673</v>
      </c>
      <c r="AB152" s="21">
        <f>EXP(-LN(2)/2)*AB151+(1-EXP(-LN(2)/2))/(LN(2)/2)*V152*Y152*VLOOKUP('Données projet'!$B$9,Paramètres!$A$1:$I$89,3,0)*0.475*44/12</f>
        <v>8.1505356722850825E-9</v>
      </c>
      <c r="AC152" s="22">
        <f t="shared" si="111"/>
        <v>81.909605258754127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1.3999999999999773</v>
      </c>
      <c r="AJ152" s="13">
        <f>AI152*VLOOKUP('Données projet'!$B$10,Paramètres!$A$1:$I$89,3,0)*VLOOKUP('Données projet'!$B$10,Paramètres!$A$1:$I$89,5,0)</f>
        <v>0.83719999999998651</v>
      </c>
      <c r="AK152" s="13">
        <f t="shared" si="143"/>
        <v>0.39388003094446933</v>
      </c>
      <c r="AL152" s="20">
        <f t="shared" si="112"/>
        <v>2.144131053894927</v>
      </c>
      <c r="AM152" s="59">
        <f t="shared" si="113"/>
        <v>288.71992512718799</v>
      </c>
      <c r="AN152" s="59">
        <f ca="1">AVERAGE(OFFSET($AM$3,0,0,'Données projet'!$E$10+1,1))-AVERAGE(OFFSET($H$3,0,0,'Données projet'!$E$10+1,1))</f>
        <v>318.6615972007902</v>
      </c>
      <c r="AO152" s="59">
        <f t="shared" si="144"/>
        <v>326.82168950869504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23.738152635457592</v>
      </c>
      <c r="AV152" s="21">
        <f>EXP(-LN(2)/25)*AV151+(1-EXP(-LN(2)/25))/(LN(2)/25)*Calculateur!AQ152*Calculateur!AS152*VLOOKUP('Données projet'!$B$10,Paramètres!$A$1:$I$89,3,0)*0.475*44/12</f>
        <v>4.0891955150542723</v>
      </c>
      <c r="AW152" s="21">
        <f>EXP(-LN(2)/2)*AW151+(1-EXP(-LN(2)/2))/(LN(2)/2)*AQ152*AT152*VLOOKUP('Données projet'!$B$10,Paramètres!$A$1:$I$89,3,0)*0.475*44/12</f>
        <v>2.4023688269479979E-12</v>
      </c>
      <c r="AX152" s="21">
        <f t="shared" si="114"/>
        <v>27.827348150514265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-5.6843418860808015E-14</v>
      </c>
      <c r="BE152" s="13">
        <f>BD152*VLOOKUP('Données projet'!$B$11,Paramètres!$A$1:$I$89,3,0)*VLOOKUP('Données projet'!$B$11,Paramètres!$A$1:$I$89,5,0)</f>
        <v>-5.7639226724859328E-14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402.96916953216805</v>
      </c>
      <c r="BJ152" s="59">
        <f t="shared" si="146"/>
        <v>164.89273051331318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26.031669145016082</v>
      </c>
      <c r="BQ152" s="21">
        <f>EXP(-LN(2)/25)*BQ151+(1-EXP(-LN(2)/25))/(LN(2)/25)*Calculateur!BL152*Calculateur!BN152*VLOOKUP('Données projet'!$B$11,Paramètres!$A$1:$I$89,3,0)*0.475*44/12</f>
        <v>22.803874698135207</v>
      </c>
      <c r="BR152" s="21">
        <f>EXP(-LN(2)/2)*BR151+(1-EXP(-LN(2)/2))/(LN(2)/2)*BL152*BO152*VLOOKUP('Données projet'!$B$11,Paramètres!$A$1:$I$89,3,0)*0.475*44/12</f>
        <v>8.8435176379531535E-2</v>
      </c>
      <c r="BS152" s="22">
        <f t="shared" si="117"/>
        <v>48.923979019530819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-2.2737367544323206E-13</v>
      </c>
      <c r="BZ152" s="13">
        <f>BY152*VLOOKUP('Données projet'!$B$12,Paramètres!$A$1:$I$89,3,0)*VLOOKUP('Données projet'!$B$12,Paramètres!$A$1:$I$89,5,0)</f>
        <v>-1.3596945791505279E-13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373.61861223558259</v>
      </c>
      <c r="CE152" s="59">
        <f t="shared" si="148"/>
        <v>277.62293009761049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39.083266604080755</v>
      </c>
      <c r="CL152" s="21">
        <f>EXP(-LN(2)/25)*CL151+(1-EXP(-LN(2)/25))/(LN(2)/25)*Calculateur!CG152*Calculateur!CI152*VLOOKUP('Données projet'!$B$12,Paramètres!$A$1:$I$89,3,0)*0.475*44/12</f>
        <v>7.6387155651804814</v>
      </c>
      <c r="CM152" s="21">
        <f>EXP(-LN(2)/2)*CM151+(1-EXP(-LN(2)/2))/(LN(2)/2)*CG152*CJ152*VLOOKUP('Données projet'!$B$12,Paramètres!$A$1:$I$89,3,0)*0.475*44/12</f>
        <v>2.9106285462319808E-9</v>
      </c>
      <c r="CN152" s="22">
        <f t="shared" si="120"/>
        <v>46.72198217217187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>
        <f>VLOOKUP(A153,'Données projet'!$A$35:$I$55,2,0)</f>
        <v>673.13</v>
      </c>
      <c r="L153" s="12">
        <f>VLOOKUP(A153,'Données projet'!$A$35:$I$55,9,0)</f>
        <v>10.875</v>
      </c>
      <c r="M153" s="12">
        <f t="array" ref="M153">INDEX(L:L,MIN(IF(ISNUMBER(L153:L349),ROW(L153:L349),"")))</f>
        <v>10.875</v>
      </c>
      <c r="N153" s="13">
        <f>IF('Données projet'!$A$36&gt;35,N152+M153-V152,IF(A153&lt;'Données projet'!$A$36,$K$205^A153,IF(A153='Données projet'!$A$36,'Données projet'!$B$36,N152+M153-V152)))</f>
        <v>673.13000000000045</v>
      </c>
      <c r="O153" s="13">
        <f>N153*VLOOKUP('Données projet'!$B$9,Paramètres!$A$1:$I$89,3,0)*VLOOKUP('Données projet'!$B$9,Paramètres!$A$1:$I$89,5,0)</f>
        <v>609.0480240000004</v>
      </c>
      <c r="P153" s="13">
        <f t="shared" si="141"/>
        <v>133.06693825648006</v>
      </c>
      <c r="Q153" s="20">
        <f t="shared" si="108"/>
        <v>1292.5168925967034</v>
      </c>
      <c r="R153" s="59">
        <f t="shared" si="109"/>
        <v>1579.2099148685638</v>
      </c>
      <c r="S153" s="59">
        <f ca="1">AVERAGE(OFFSET($R$3,0,0,'Données projet'!$E$9+1,1))-AVERAGE(OFFSET($H$3,0,0,'Données projet'!$E$9+1,1))</f>
        <v>737.40414421611001</v>
      </c>
      <c r="T153" s="59">
        <f t="shared" si="142"/>
        <v>245.32893490531674</v>
      </c>
      <c r="U153" s="15">
        <f>IF(ISNA(VLOOKUP(A153,'Données projet'!$A$35:$I$55,3,0)),0,VLOOKUP(A153,'Données projet'!$A$35:$I$55,3,0))</f>
        <v>14</v>
      </c>
      <c r="V153" s="15">
        <f>IF(ISNA(VLOOKUP(A153,'Données projet'!$A$35:$I$55,4,0)),0,VLOOKUP(A153,'Données projet'!$A$35:$I$55,4,0))</f>
        <v>259.52</v>
      </c>
      <c r="W153" s="16">
        <f>IF(ISNA(VLOOKUP(A153,'Données projet'!$A$35:$I$55,5,0)),0%,VLOOKUP(A153,'Données projet'!$A$35:$I$55,5,0)*VLOOKUP('Données projet'!$B$9,Paramètres!$A$1:$I$89,7,0))</f>
        <v>0.19350000000000001</v>
      </c>
      <c r="X153" s="16">
        <f>IF(ISNA(VLOOKUP(A153,'Données projet'!$A$35:$I$55,6,0)),0%,VLOOKUP(A153,'Données projet'!$A$35:$I$55,6,0)*VLOOKUP('Données projet'!$B$9,Paramètres!$A$1:$I$89,7,0))</f>
        <v>2.1500000000000002E-2</v>
      </c>
      <c r="Y153" s="16">
        <f>IF(ISNA(VLOOKUP(A153,'Données projet'!$A$35:$I$55,7,0)),0%,VLOOKUP(A153,'Données projet'!$A$35:$I$55,7,0))</f>
        <v>0.05</v>
      </c>
      <c r="Z153" s="21">
        <f>EXP(-LN(2)/35)*Z152+(1-EXP(-LN(2)/35))/(LN(2)/35)*V153*W153*VLOOKUP('Données projet'!$B$9,Paramètres!$A$1:$I$89,3,0)*0.475*44/12</f>
        <v>108.50396657021207</v>
      </c>
      <c r="AA153" s="21">
        <f>EXP(-LN(2)/25)*AA152+(1-EXP(-LN(2)/25))/(LN(2)/25)*Calculateur!V153*Calculateur!X153*VLOOKUP('Données projet'!$B$9,Paramètres!$A$1:$I$89,3,0)*0.475*44/12</f>
        <v>27.413267632188749</v>
      </c>
      <c r="AB153" s="21">
        <f>EXP(-LN(2)/2)*AB152+(1-EXP(-LN(2)/2))/(LN(2)/2)*V153*Y153*VLOOKUP('Données projet'!$B$9,Paramètres!$A$1:$I$89,3,0)*0.475*44/12</f>
        <v>11.077652110461678</v>
      </c>
      <c r="AC153" s="22">
        <f t="shared" si="111"/>
        <v>146.99488631286252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1.3999999999999773</v>
      </c>
      <c r="AJ153" s="13">
        <f>AI153*VLOOKUP('Données projet'!$B$10,Paramètres!$A$1:$I$89,3,0)*VLOOKUP('Données projet'!$B$10,Paramètres!$A$1:$I$89,5,0)</f>
        <v>0.83719999999998651</v>
      </c>
      <c r="AK153" s="13">
        <f t="shared" si="143"/>
        <v>0.39388003094446933</v>
      </c>
      <c r="AL153" s="20">
        <f t="shared" si="112"/>
        <v>2.144131053894927</v>
      </c>
      <c r="AM153" s="59">
        <f t="shared" si="113"/>
        <v>288.83715332575525</v>
      </c>
      <c r="AN153" s="59">
        <f ca="1">AVERAGE(OFFSET($AM$3,0,0,'Données projet'!$E$10+1,1))-AVERAGE(OFFSET($H$3,0,0,'Données projet'!$E$10+1,1))</f>
        <v>318.6615972007902</v>
      </c>
      <c r="AO153" s="59">
        <f t="shared" si="144"/>
        <v>326.82168950869504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23.272661941119708</v>
      </c>
      <c r="AV153" s="21">
        <f>EXP(-LN(2)/25)*AV152+(1-EXP(-LN(2)/25))/(LN(2)/25)*Calculateur!AQ153*Calculateur!AS153*VLOOKUP('Données projet'!$B$10,Paramètres!$A$1:$I$89,3,0)*0.475*44/12</f>
        <v>3.977376248653667</v>
      </c>
      <c r="AW153" s="21">
        <f>EXP(-LN(2)/2)*AW152+(1-EXP(-LN(2)/2))/(LN(2)/2)*AQ153*AT153*VLOOKUP('Données projet'!$B$10,Paramètres!$A$1:$I$89,3,0)*0.475*44/12</f>
        <v>1.6987312884461009E-12</v>
      </c>
      <c r="AX153" s="21">
        <f t="shared" si="114"/>
        <v>27.250038189775072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-5.6843418860808015E-14</v>
      </c>
      <c r="BE153" s="13">
        <f>BD153*VLOOKUP('Données projet'!$B$11,Paramètres!$A$1:$I$89,3,0)*VLOOKUP('Données projet'!$B$11,Paramètres!$A$1:$I$89,5,0)</f>
        <v>-5.7639226724859328E-14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402.96916953216805</v>
      </c>
      <c r="BJ153" s="59">
        <f t="shared" si="146"/>
        <v>164.89273051331318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25.521203990832696</v>
      </c>
      <c r="BQ153" s="21">
        <f>EXP(-LN(2)/25)*BQ152+(1-EXP(-LN(2)/25))/(LN(2)/25)*Calculateur!BL153*Calculateur!BN153*VLOOKUP('Données projet'!$B$11,Paramètres!$A$1:$I$89,3,0)*0.475*44/12</f>
        <v>22.18030154531105</v>
      </c>
      <c r="BR153" s="21">
        <f>EXP(-LN(2)/2)*BR152+(1-EXP(-LN(2)/2))/(LN(2)/2)*BL153*BO153*VLOOKUP('Données projet'!$B$11,Paramètres!$A$1:$I$89,3,0)*0.475*44/12</f>
        <v>6.2533112913395139E-2</v>
      </c>
      <c r="BS153" s="22">
        <f t="shared" si="117"/>
        <v>47.764038649057134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-2.2737367544323206E-13</v>
      </c>
      <c r="BZ153" s="13">
        <f>BY153*VLOOKUP('Données projet'!$B$12,Paramètres!$A$1:$I$89,3,0)*VLOOKUP('Données projet'!$B$12,Paramètres!$A$1:$I$89,5,0)</f>
        <v>-1.3596945791505279E-13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373.61861223558259</v>
      </c>
      <c r="CE153" s="59">
        <f t="shared" si="148"/>
        <v>277.62293009761049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38.316867584413508</v>
      </c>
      <c r="CL153" s="21">
        <f>EXP(-LN(2)/25)*CL152+(1-EXP(-LN(2)/25))/(LN(2)/25)*Calculateur!CG153*Calculateur!CI153*VLOOKUP('Données projet'!$B$12,Paramètres!$A$1:$I$89,3,0)*0.475*44/12</f>
        <v>7.4298344863480281</v>
      </c>
      <c r="CM153" s="21">
        <f>EXP(-LN(2)/2)*CM152+(1-EXP(-LN(2)/2))/(LN(2)/2)*CG153*CJ153*VLOOKUP('Données projet'!$B$12,Paramètres!$A$1:$I$89,3,0)*0.475*44/12</f>
        <v>2.0581251825557762E-9</v>
      </c>
      <c r="CN153" s="22">
        <f t="shared" si="120"/>
        <v>45.746702072819659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7.1200000000000045</v>
      </c>
      <c r="N154" s="13">
        <f>IF('Données projet'!$A$36&gt;35,N153+M154-V153,IF(A154&lt;'Données projet'!$A$36,$K$205^A154,IF(A154='Données projet'!$A$36,'Données projet'!$B$36,N153+M154-V153)))</f>
        <v>420.73000000000047</v>
      </c>
      <c r="O154" s="13">
        <f>N154*VLOOKUP('Données projet'!$B$9,Paramètres!$A$1:$I$89,3,0)*VLOOKUP('Données projet'!$B$9,Paramètres!$A$1:$I$89,5,0)</f>
        <v>380.67650400000042</v>
      </c>
      <c r="P154" s="13">
        <f t="shared" si="141"/>
        <v>87.847905288115243</v>
      </c>
      <c r="Q154" s="20">
        <f t="shared" ref="Q154:Q203" si="162">(O154+P154)*0.475*44/12</f>
        <v>816.01334617680141</v>
      </c>
      <c r="R154" s="59">
        <f t="shared" si="109"/>
        <v>1102.8215630000668</v>
      </c>
      <c r="S154" s="59">
        <f ca="1">AVERAGE(OFFSET($R$3,0,0,'Données projet'!$E$9+1,1))-AVERAGE(OFFSET($H$3,0,0,'Données projet'!$E$9+1,1))</f>
        <v>737.40414421611001</v>
      </c>
      <c r="T154" s="59">
        <f t="shared" si="142"/>
        <v>245.32893490531674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106.376269966655</v>
      </c>
      <c r="AA154" s="21">
        <f>EXP(-LN(2)/25)*AA153+(1-EXP(-LN(2)/25))/(LN(2)/25)*Calculateur!V154*Calculateur!X154*VLOOKUP('Données projet'!$B$9,Paramètres!$A$1:$I$89,3,0)*0.475*44/12</f>
        <v>26.663650387185456</v>
      </c>
      <c r="AB154" s="21">
        <f>EXP(-LN(2)/2)*AB153+(1-EXP(-LN(2)/2))/(LN(2)/2)*V154*Y154*VLOOKUP('Données projet'!$B$9,Paramètres!$A$1:$I$89,3,0)*0.475*44/12</f>
        <v>7.8330829269329225</v>
      </c>
      <c r="AC154" s="22">
        <f t="shared" ref="AC154:AC203" si="163">SUM(Z154:AB154)</f>
        <v>140.87300328077336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1.3999999999999773</v>
      </c>
      <c r="AJ154" s="13">
        <f>AI154*VLOOKUP('Données projet'!$B$10,Paramètres!$A$1:$I$89,3,0)*VLOOKUP('Données projet'!$B$10,Paramètres!$A$1:$I$89,5,0)</f>
        <v>0.83719999999998651</v>
      </c>
      <c r="AK154" s="13">
        <f t="shared" ref="AK154:AK203" si="164">EXP(-1.0587+0.8836*LN(AJ154)+0.284)</f>
        <v>0.39388003094446933</v>
      </c>
      <c r="AL154" s="20">
        <f t="shared" ref="AL154:AL203" si="165">(AJ154+AK154)*0.475*44/12</f>
        <v>2.144131053894927</v>
      </c>
      <c r="AM154" s="59">
        <f t="shared" si="113"/>
        <v>288.95234787716026</v>
      </c>
      <c r="AN154" s="59">
        <f ca="1">AVERAGE(OFFSET($AM$3,0,0,'Données projet'!$E$10+1,1))-AVERAGE(OFFSET($H$3,0,0,'Données projet'!$E$10+1,1))</f>
        <v>318.6615972007902</v>
      </c>
      <c r="AO154" s="59">
        <f t="shared" si="144"/>
        <v>326.82168950869504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22.816299235376501</v>
      </c>
      <c r="AV154" s="21">
        <f>EXP(-LN(2)/25)*AV153+(1-EXP(-LN(2)/25))/(LN(2)/25)*Calculateur!AQ154*Calculateur!AS154*VLOOKUP('Données projet'!$B$10,Paramètres!$A$1:$I$89,3,0)*0.475*44/12</f>
        <v>3.8686146859731059</v>
      </c>
      <c r="AW154" s="21">
        <f>EXP(-LN(2)/2)*AW153+(1-EXP(-LN(2)/2))/(LN(2)/2)*AQ154*AT154*VLOOKUP('Données projet'!$B$10,Paramètres!$A$1:$I$89,3,0)*0.475*44/12</f>
        <v>1.201184413473999E-12</v>
      </c>
      <c r="AX154" s="21">
        <f t="shared" ref="AX154:AX203" si="166">SUM(AU154:AW154)</f>
        <v>26.684913921350809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-5.6843418860808015E-14</v>
      </c>
      <c r="BE154" s="13">
        <f>BD154*VLOOKUP('Données projet'!$B$11,Paramètres!$A$1:$I$89,3,0)*VLOOKUP('Données projet'!$B$11,Paramètres!$A$1:$I$89,5,0)</f>
        <v>-5.7639226724859328E-14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402.96916953216805</v>
      </c>
      <c r="BJ154" s="59">
        <f t="shared" si="146"/>
        <v>164.89273051331318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25.020748746969847</v>
      </c>
      <c r="BQ154" s="21">
        <f>EXP(-LN(2)/25)*BQ153+(1-EXP(-LN(2)/25))/(LN(2)/25)*Calculateur!BL154*Calculateur!BN154*VLOOKUP('Données projet'!$B$11,Paramètres!$A$1:$I$89,3,0)*0.475*44/12</f>
        <v>21.573780033143155</v>
      </c>
      <c r="BR154" s="21">
        <f>EXP(-LN(2)/2)*BR153+(1-EXP(-LN(2)/2))/(LN(2)/2)*BL154*BO154*VLOOKUP('Données projet'!$B$11,Paramètres!$A$1:$I$89,3,0)*0.475*44/12</f>
        <v>4.4217588189765768E-2</v>
      </c>
      <c r="BS154" s="22">
        <f t="shared" ref="BS154:BS203" si="169">SUM(BP154:BR154)</f>
        <v>46.638746368302769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-2.2737367544323206E-13</v>
      </c>
      <c r="BZ154" s="13">
        <f>BY154*VLOOKUP('Données projet'!$B$12,Paramètres!$A$1:$I$89,3,0)*VLOOKUP('Données projet'!$B$12,Paramètres!$A$1:$I$89,5,0)</f>
        <v>-1.3596945791505279E-13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373.61861223558259</v>
      </c>
      <c r="CE154" s="59">
        <f t="shared" si="148"/>
        <v>277.62293009761049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37.565497182064696</v>
      </c>
      <c r="CL154" s="21">
        <f>EXP(-LN(2)/25)*CL153+(1-EXP(-LN(2)/25))/(LN(2)/25)*Calculateur!CG154*Calculateur!CI154*VLOOKUP('Données projet'!$B$12,Paramètres!$A$1:$I$89,3,0)*0.475*44/12</f>
        <v>7.2266652716008268</v>
      </c>
      <c r="CM154" s="21">
        <f>EXP(-LN(2)/2)*CM153+(1-EXP(-LN(2)/2))/(LN(2)/2)*CG154*CJ154*VLOOKUP('Données projet'!$B$12,Paramètres!$A$1:$I$89,3,0)*0.475*44/12</f>
        <v>1.4553142731159904E-9</v>
      </c>
      <c r="CN154" s="22">
        <f t="shared" ref="CN154:CN203" si="172">SUM(CK154:CM154)</f>
        <v>44.792162455120838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7.1200000000000045</v>
      </c>
      <c r="N155" s="13">
        <f>IF('Données projet'!$A$36&gt;35,N154+M155-V154,IF(A155&lt;'Données projet'!$A$36,$K$205^A155,IF(A155='Données projet'!$A$36,'Données projet'!$B$36,N154+M155-V154)))</f>
        <v>427.85000000000048</v>
      </c>
      <c r="O155" s="13">
        <f>N155*VLOOKUP('Données projet'!$B$9,Paramètres!$A$1:$I$89,3,0)*VLOOKUP('Données projet'!$B$9,Paramètres!$A$1:$I$89,5,0)</f>
        <v>387.11868000000038</v>
      </c>
      <c r="P155" s="13">
        <f t="shared" si="141"/>
        <v>89.160221060882904</v>
      </c>
      <c r="Q155" s="20">
        <f t="shared" si="162"/>
        <v>829.51908601437174</v>
      </c>
      <c r="R155" s="59">
        <f t="shared" si="109"/>
        <v>1116.4404990211117</v>
      </c>
      <c r="S155" s="59">
        <f ca="1">AVERAGE(OFFSET($R$3,0,0,'Données projet'!$E$9+1,1))-AVERAGE(OFFSET($H$3,0,0,'Données projet'!$E$9+1,1))</f>
        <v>737.40414421611001</v>
      </c>
      <c r="T155" s="59">
        <f t="shared" si="142"/>
        <v>245.32893490531674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104.2902961957269</v>
      </c>
      <c r="AA155" s="21">
        <f>EXP(-LN(2)/25)*AA154+(1-EXP(-LN(2)/25))/(LN(2)/25)*Calculateur!V155*Calculateur!X155*VLOOKUP('Données projet'!$B$9,Paramètres!$A$1:$I$89,3,0)*0.475*44/12</f>
        <v>25.934531465167435</v>
      </c>
      <c r="AB155" s="21">
        <f>EXP(-LN(2)/2)*AB154+(1-EXP(-LN(2)/2))/(LN(2)/2)*V155*Y155*VLOOKUP('Données projet'!$B$9,Paramètres!$A$1:$I$89,3,0)*0.475*44/12</f>
        <v>5.5388260552308397</v>
      </c>
      <c r="AC155" s="22">
        <f t="shared" si="163"/>
        <v>135.76365371612516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1.3999999999999773</v>
      </c>
      <c r="AJ155" s="13">
        <f>AI155*VLOOKUP('Données projet'!$B$10,Paramètres!$A$1:$I$89,3,0)*VLOOKUP('Données projet'!$B$10,Paramètres!$A$1:$I$89,5,0)</f>
        <v>0.83719999999998651</v>
      </c>
      <c r="AK155" s="13">
        <f t="shared" si="164"/>
        <v>0.39388003094446933</v>
      </c>
      <c r="AL155" s="20">
        <f t="shared" si="165"/>
        <v>2.144131053894927</v>
      </c>
      <c r="AM155" s="59">
        <f t="shared" si="113"/>
        <v>289.06554406063481</v>
      </c>
      <c r="AN155" s="59">
        <f ca="1">AVERAGE(OFFSET($AM$3,0,0,'Données projet'!$E$10+1,1))-AVERAGE(OFFSET($H$3,0,0,'Données projet'!$E$10+1,1))</f>
        <v>318.6615972007902</v>
      </c>
      <c r="AO155" s="59">
        <f t="shared" si="144"/>
        <v>326.82168950869504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22.368885523939156</v>
      </c>
      <c r="AV155" s="21">
        <f>EXP(-LN(2)/25)*AV154+(1-EXP(-LN(2)/25))/(LN(2)/25)*Calculateur!AQ155*Calculateur!AS155*VLOOKUP('Données projet'!$B$10,Paramètres!$A$1:$I$89,3,0)*0.475*44/12</f>
        <v>3.762827213943567</v>
      </c>
      <c r="AW155" s="21">
        <f>EXP(-LN(2)/2)*AW154+(1-EXP(-LN(2)/2))/(LN(2)/2)*AQ155*AT155*VLOOKUP('Données projet'!$B$10,Paramètres!$A$1:$I$89,3,0)*0.475*44/12</f>
        <v>8.4936564422305043E-13</v>
      </c>
      <c r="AX155" s="21">
        <f t="shared" si="166"/>
        <v>26.131712737883571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-5.6843418860808015E-14</v>
      </c>
      <c r="BE155" s="13">
        <f>BD155*VLOOKUP('Données projet'!$B$11,Paramètres!$A$1:$I$89,3,0)*VLOOKUP('Données projet'!$B$11,Paramètres!$A$1:$I$89,5,0)</f>
        <v>-5.7639226724859328E-14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402.96916953216805</v>
      </c>
      <c r="BJ155" s="59">
        <f t="shared" si="146"/>
        <v>164.89273051331318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24.530107125191591</v>
      </c>
      <c r="BQ155" s="21">
        <f>EXP(-LN(2)/25)*BQ154+(1-EXP(-LN(2)/25))/(LN(2)/25)*Calculateur!BL155*Calculateur!BN155*VLOOKUP('Données projet'!$B$11,Paramètres!$A$1:$I$89,3,0)*0.475*44/12</f>
        <v>20.98384388362107</v>
      </c>
      <c r="BR155" s="21">
        <f>EXP(-LN(2)/2)*BR154+(1-EXP(-LN(2)/2))/(LN(2)/2)*BL155*BO155*VLOOKUP('Données projet'!$B$11,Paramètres!$A$1:$I$89,3,0)*0.475*44/12</f>
        <v>3.126655645669757E-2</v>
      </c>
      <c r="BS155" s="22">
        <f t="shared" si="169"/>
        <v>45.545217565269361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-2.2737367544323206E-13</v>
      </c>
      <c r="BZ155" s="13">
        <f>BY155*VLOOKUP('Données projet'!$B$12,Paramètres!$A$1:$I$89,3,0)*VLOOKUP('Données projet'!$B$12,Paramètres!$A$1:$I$89,5,0)</f>
        <v>-1.3596945791505279E-13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373.61861223558259</v>
      </c>
      <c r="CE155" s="59">
        <f t="shared" si="148"/>
        <v>277.62293009761049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36.828860695015251</v>
      </c>
      <c r="CL155" s="21">
        <f>EXP(-LN(2)/25)*CL154+(1-EXP(-LN(2)/25))/(LN(2)/25)*Calculateur!CG155*Calculateur!CI155*VLOOKUP('Données projet'!$B$12,Paramètres!$A$1:$I$89,3,0)*0.475*44/12</f>
        <v>7.0290517297150927</v>
      </c>
      <c r="CM155" s="21">
        <f>EXP(-LN(2)/2)*CM154+(1-EXP(-LN(2)/2))/(LN(2)/2)*CG155*CJ155*VLOOKUP('Données projet'!$B$12,Paramètres!$A$1:$I$89,3,0)*0.475*44/12</f>
        <v>1.0290625912778881E-9</v>
      </c>
      <c r="CN155" s="22">
        <f t="shared" si="172"/>
        <v>43.857912425759409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>
        <f>VLOOKUP(A156,'Données projet'!$A$35:$I$55,2,0)</f>
        <v>434.97</v>
      </c>
      <c r="L156" s="12">
        <f>VLOOKUP(A156,'Données projet'!$A$35:$I$55,9,0)</f>
        <v>7.1200000000000045</v>
      </c>
      <c r="M156" s="12">
        <f t="array" ref="M156">INDEX(L:L,MIN(IF(ISNUMBER(L156:L352),ROW(L156:L352),"")))</f>
        <v>7.1200000000000045</v>
      </c>
      <c r="N156" s="13">
        <f>IF('Données projet'!$A$36&gt;35,N155+M156-V155,IF(A156&lt;'Données projet'!$A$36,$K$205^A156,IF(A156='Données projet'!$A$36,'Données projet'!$B$36,N155+M156-V155)))</f>
        <v>434.97000000000048</v>
      </c>
      <c r="O156" s="13">
        <f>N156*VLOOKUP('Données projet'!$B$9,Paramètres!$A$1:$I$89,3,0)*VLOOKUP('Données projet'!$B$9,Paramètres!$A$1:$I$89,5,0)</f>
        <v>393.5608560000004</v>
      </c>
      <c r="P156" s="13">
        <f t="shared" si="141"/>
        <v>90.469997145330012</v>
      </c>
      <c r="Q156" s="20">
        <f t="shared" si="162"/>
        <v>843.0204025614504</v>
      </c>
      <c r="R156" s="59">
        <f t="shared" si="109"/>
        <v>1130.0530480509503</v>
      </c>
      <c r="S156" s="59">
        <f ca="1">AVERAGE(OFFSET($R$3,0,0,'Données projet'!$E$9+1,1))-AVERAGE(OFFSET($H$3,0,0,'Données projet'!$E$9+1,1))</f>
        <v>737.40414421611001</v>
      </c>
      <c r="T156" s="59">
        <f t="shared" si="142"/>
        <v>245.32893490531674</v>
      </c>
      <c r="U156" s="15">
        <f>IF(ISNA(VLOOKUP(A156,'Données projet'!$A$35:$I$55,3,0)),0,VLOOKUP(A156,'Données projet'!$A$35:$I$55,3,0))</f>
        <v>15</v>
      </c>
      <c r="V156" s="15">
        <f>IF(ISNA(VLOOKUP(A156,'Données projet'!$A$35:$I$55,4,0)),0,VLOOKUP(A156,'Données projet'!$A$35:$I$55,4,0))</f>
        <v>156.29000000000002</v>
      </c>
      <c r="W156" s="16">
        <f>IF(ISNA(VLOOKUP(A156,'Données projet'!$A$35:$I$55,5,0)),0%,VLOOKUP(A156,'Données projet'!$A$35:$I$55,5,0)*VLOOKUP('Données projet'!$B$9,Paramètres!$A$1:$I$89,7,0))</f>
        <v>0.19350000000000001</v>
      </c>
      <c r="X156" s="16">
        <f>IF(ISNA(VLOOKUP(A156,'Données projet'!$A$35:$I$55,6,0)),0%,VLOOKUP(A156,'Données projet'!$A$35:$I$55,6,0)*VLOOKUP('Données projet'!$B$9,Paramètres!$A$1:$I$89,7,0))</f>
        <v>2.1500000000000002E-2</v>
      </c>
      <c r="Y156" s="16">
        <f>IF(ISNA(VLOOKUP(A156,'Données projet'!$A$35:$I$55,7,0)),0%,VLOOKUP(A156,'Données projet'!$A$35:$I$55,7,0))</f>
        <v>0.05</v>
      </c>
      <c r="Z156" s="21">
        <f>EXP(-LN(2)/35)*Z155+(1-EXP(-LN(2)/35))/(LN(2)/35)*V156*W156*VLOOKUP('Données projet'!$B$9,Paramètres!$A$1:$I$89,3,0)*0.475*44/12</f>
        <v>132.49428566962979</v>
      </c>
      <c r="AA156" s="21">
        <f>EXP(-LN(2)/25)*AA155+(1-EXP(-LN(2)/25))/(LN(2)/25)*Calculateur!V156*Calculateur!X156*VLOOKUP('Données projet'!$B$9,Paramètres!$A$1:$I$89,3,0)*0.475*44/12</f>
        <v>28.573123283093647</v>
      </c>
      <c r="AB156" s="21">
        <f>EXP(-LN(2)/2)*AB155+(1-EXP(-LN(2)/2))/(LN(2)/2)*V156*Y156*VLOOKUP('Données projet'!$B$9,Paramètres!$A$1:$I$89,3,0)*0.475*44/12</f>
        <v>10.58780474738797</v>
      </c>
      <c r="AC156" s="22">
        <f t="shared" si="163"/>
        <v>171.6552137001114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1.3999999999999773</v>
      </c>
      <c r="AJ156" s="13">
        <f>AI156*VLOOKUP('Données projet'!$B$10,Paramètres!$A$1:$I$89,3,0)*VLOOKUP('Données projet'!$B$10,Paramètres!$A$1:$I$89,5,0)</f>
        <v>0.83719999999998651</v>
      </c>
      <c r="AK156" s="13">
        <f t="shared" si="164"/>
        <v>0.39388003094446933</v>
      </c>
      <c r="AL156" s="20">
        <f t="shared" si="165"/>
        <v>2.144131053894927</v>
      </c>
      <c r="AM156" s="59">
        <f t="shared" si="113"/>
        <v>289.17677654339491</v>
      </c>
      <c r="AN156" s="59">
        <f ca="1">AVERAGE(OFFSET($AM$3,0,0,'Données projet'!$E$10+1,1))-AVERAGE(OFFSET($H$3,0,0,'Données projet'!$E$10+1,1))</f>
        <v>318.6615972007902</v>
      </c>
      <c r="AO156" s="59">
        <f t="shared" si="144"/>
        <v>326.82168950869504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21.930245322487679</v>
      </c>
      <c r="AV156" s="21">
        <f>EXP(-LN(2)/25)*AV155+(1-EXP(-LN(2)/25))/(LN(2)/25)*Calculateur!AQ156*Calculateur!AS156*VLOOKUP('Données projet'!$B$10,Paramètres!$A$1:$I$89,3,0)*0.475*44/12</f>
        <v>3.6599325058997971</v>
      </c>
      <c r="AW156" s="21">
        <f>EXP(-LN(2)/2)*AW155+(1-EXP(-LN(2)/2))/(LN(2)/2)*AQ156*AT156*VLOOKUP('Données projet'!$B$10,Paramètres!$A$1:$I$89,3,0)*0.475*44/12</f>
        <v>6.0059220673699949E-13</v>
      </c>
      <c r="AX156" s="21">
        <f t="shared" si="166"/>
        <v>25.590177828388075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-5.6843418860808015E-14</v>
      </c>
      <c r="BE156" s="13">
        <f>BD156*VLOOKUP('Données projet'!$B$11,Paramètres!$A$1:$I$89,3,0)*VLOOKUP('Données projet'!$B$11,Paramètres!$A$1:$I$89,5,0)</f>
        <v>-5.7639226724859328E-14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402.96916953216805</v>
      </c>
      <c r="BJ156" s="59">
        <f t="shared" si="146"/>
        <v>164.89273051331318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24.049086686354567</v>
      </c>
      <c r="BQ156" s="21">
        <f>EXP(-LN(2)/25)*BQ155+(1-EXP(-LN(2)/25))/(LN(2)/25)*Calculateur!BL156*Calculateur!BN156*VLOOKUP('Données projet'!$B$11,Paramètres!$A$1:$I$89,3,0)*0.475*44/12</f>
        <v>20.410039569131062</v>
      </c>
      <c r="BR156" s="21">
        <f>EXP(-LN(2)/2)*BR155+(1-EXP(-LN(2)/2))/(LN(2)/2)*BL156*BO156*VLOOKUP('Données projet'!$B$11,Paramètres!$A$1:$I$89,3,0)*0.475*44/12</f>
        <v>2.2108794094882884E-2</v>
      </c>
      <c r="BS156" s="22">
        <f t="shared" si="169"/>
        <v>44.481235049580512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-2.2737367544323206E-13</v>
      </c>
      <c r="BZ156" s="13">
        <f>BY156*VLOOKUP('Données projet'!$B$12,Paramètres!$A$1:$I$89,3,0)*VLOOKUP('Données projet'!$B$12,Paramètres!$A$1:$I$89,5,0)</f>
        <v>-1.3596945791505279E-13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373.61861223558259</v>
      </c>
      <c r="CE156" s="59">
        <f t="shared" si="148"/>
        <v>277.62293009761049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36.106669200172952</v>
      </c>
      <c r="CL156" s="21">
        <f>EXP(-LN(2)/25)*CL155+(1-EXP(-LN(2)/25))/(LN(2)/25)*Calculateur!CG156*Calculateur!CI156*VLOOKUP('Données projet'!$B$12,Paramètres!$A$1:$I$89,3,0)*0.475*44/12</f>
        <v>6.836841940524268</v>
      </c>
      <c r="CM156" s="21">
        <f>EXP(-LN(2)/2)*CM155+(1-EXP(-LN(2)/2))/(LN(2)/2)*CG156*CJ156*VLOOKUP('Données projet'!$B$12,Paramètres!$A$1:$I$89,3,0)*0.475*44/12</f>
        <v>7.2765713655799521E-10</v>
      </c>
      <c r="CN156" s="22">
        <f t="shared" si="172"/>
        <v>42.943511141424878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4.083333333333333</v>
      </c>
      <c r="N157" s="13">
        <f>IF('Données projet'!$A$36&gt;35,N156+M157-V156,IF(A157&lt;'Données projet'!$A$36,$K$205^A157,IF(A157='Données projet'!$A$36,'Données projet'!$B$36,N156+M157-V156)))</f>
        <v>282.76333333333378</v>
      </c>
      <c r="O157" s="13">
        <f>N157*VLOOKUP('Données projet'!$B$9,Paramètres!$A$1:$I$89,3,0)*VLOOKUP('Données projet'!$B$9,Paramètres!$A$1:$I$89,5,0)</f>
        <v>255.84426400000038</v>
      </c>
      <c r="P157" s="13">
        <f t="shared" si="141"/>
        <v>61.835713990730305</v>
      </c>
      <c r="Q157" s="20">
        <f t="shared" si="162"/>
        <v>553.29262833385587</v>
      </c>
      <c r="R157" s="59">
        <f t="shared" si="109"/>
        <v>840.43457667121857</v>
      </c>
      <c r="S157" s="59">
        <f ca="1">AVERAGE(OFFSET($R$3,0,0,'Données projet'!$E$9+1,1))-AVERAGE(OFFSET($H$3,0,0,'Données projet'!$E$9+1,1))</f>
        <v>737.40414421611001</v>
      </c>
      <c r="T157" s="59">
        <f t="shared" si="142"/>
        <v>245.32893490531674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129.89615354118294</v>
      </c>
      <c r="AA157" s="21">
        <f>EXP(-LN(2)/25)*AA156+(1-EXP(-LN(2)/25))/(LN(2)/25)*Calculateur!V157*Calculateur!X157*VLOOKUP('Données projet'!$B$9,Paramètres!$A$1:$I$89,3,0)*0.475*44/12</f>
        <v>27.791789724322204</v>
      </c>
      <c r="AB157" s="21">
        <f>EXP(-LN(2)/2)*AB156+(1-EXP(-LN(2)/2))/(LN(2)/2)*V157*Y157*VLOOKUP('Données projet'!$B$9,Paramètres!$A$1:$I$89,3,0)*0.475*44/12</f>
        <v>7.4867085347571551</v>
      </c>
      <c r="AC157" s="22">
        <f t="shared" si="163"/>
        <v>165.1746518002623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1.3999999999999773</v>
      </c>
      <c r="AJ157" s="13">
        <f>AI157*VLOOKUP('Données projet'!$B$10,Paramètres!$A$1:$I$89,3,0)*VLOOKUP('Données projet'!$B$10,Paramètres!$A$1:$I$89,5,0)</f>
        <v>0.83719999999998651</v>
      </c>
      <c r="AK157" s="13">
        <f t="shared" si="164"/>
        <v>0.39388003094446933</v>
      </c>
      <c r="AL157" s="20">
        <f t="shared" si="165"/>
        <v>2.144131053894927</v>
      </c>
      <c r="AM157" s="59">
        <f t="shared" si="113"/>
        <v>289.28607939125766</v>
      </c>
      <c r="AN157" s="59">
        <f ca="1">AVERAGE(OFFSET($AM$3,0,0,'Données projet'!$E$10+1,1))-AVERAGE(OFFSET($H$3,0,0,'Données projet'!$E$10+1,1))</f>
        <v>318.6615972007902</v>
      </c>
      <c r="AO157" s="59">
        <f t="shared" si="144"/>
        <v>326.82168950869504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21.500206587842559</v>
      </c>
      <c r="AV157" s="21">
        <f>EXP(-LN(2)/25)*AV156+(1-EXP(-LN(2)/25))/(LN(2)/25)*Calculateur!AQ157*Calculateur!AS157*VLOOKUP('Données projet'!$B$10,Paramètres!$A$1:$I$89,3,0)*0.475*44/12</f>
        <v>3.5598514590584815</v>
      </c>
      <c r="AW157" s="21">
        <f>EXP(-LN(2)/2)*AW156+(1-EXP(-LN(2)/2))/(LN(2)/2)*AQ157*AT157*VLOOKUP('Données projet'!$B$10,Paramètres!$A$1:$I$89,3,0)*0.475*44/12</f>
        <v>4.2468282211152521E-13</v>
      </c>
      <c r="AX157" s="21">
        <f t="shared" si="166"/>
        <v>25.060058046901467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-5.6843418860808015E-14</v>
      </c>
      <c r="BE157" s="13">
        <f>BD157*VLOOKUP('Données projet'!$B$11,Paramètres!$A$1:$I$89,3,0)*VLOOKUP('Données projet'!$B$11,Paramètres!$A$1:$I$89,5,0)</f>
        <v>-5.7639226724859328E-14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402.96916953216805</v>
      </c>
      <c r="BJ157" s="59">
        <f t="shared" si="146"/>
        <v>164.89273051331318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23.57749876492964</v>
      </c>
      <c r="BQ157" s="21">
        <f>EXP(-LN(2)/25)*BQ156+(1-EXP(-LN(2)/25))/(LN(2)/25)*Calculateur!BL157*Calculateur!BN157*VLOOKUP('Données projet'!$B$11,Paramètres!$A$1:$I$89,3,0)*0.475*44/12</f>
        <v>19.851925963795839</v>
      </c>
      <c r="BR157" s="21">
        <f>EXP(-LN(2)/2)*BR156+(1-EXP(-LN(2)/2))/(LN(2)/2)*BL157*BO157*VLOOKUP('Données projet'!$B$11,Paramètres!$A$1:$I$89,3,0)*0.475*44/12</f>
        <v>1.5633278228348785E-2</v>
      </c>
      <c r="BS157" s="22">
        <f t="shared" si="169"/>
        <v>43.445058006953829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-2.2737367544323206E-13</v>
      </c>
      <c r="BZ157" s="13">
        <f>BY157*VLOOKUP('Données projet'!$B$12,Paramètres!$A$1:$I$89,3,0)*VLOOKUP('Données projet'!$B$12,Paramètres!$A$1:$I$89,5,0)</f>
        <v>-1.3596945791505279E-13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373.61861223558259</v>
      </c>
      <c r="CE157" s="59">
        <f t="shared" si="148"/>
        <v>277.62293009761049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35.398639440051191</v>
      </c>
      <c r="CL157" s="21">
        <f>EXP(-LN(2)/25)*CL156+(1-EXP(-LN(2)/25))/(LN(2)/25)*Calculateur!CG157*Calculateur!CI157*VLOOKUP('Données projet'!$B$12,Paramètres!$A$1:$I$89,3,0)*0.475*44/12</f>
        <v>6.6498881381267401</v>
      </c>
      <c r="CM157" s="21">
        <f>EXP(-LN(2)/2)*CM156+(1-EXP(-LN(2)/2))/(LN(2)/2)*CG157*CJ157*VLOOKUP('Données projet'!$B$12,Paramètres!$A$1:$I$89,3,0)*0.475*44/12</f>
        <v>5.1453129563894404E-10</v>
      </c>
      <c r="CN157" s="22">
        <f t="shared" si="172"/>
        <v>42.048527578692465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4.083333333333333</v>
      </c>
      <c r="N158" s="13">
        <f>IF('Données projet'!$A$36&gt;35,N157+M158-V157,IF(A158&lt;'Données projet'!$A$36,$K$205^A158,IF(A158='Données projet'!$A$36,'Données projet'!$B$36,N157+M158-V157)))</f>
        <v>286.84666666666709</v>
      </c>
      <c r="O158" s="13">
        <f>N158*VLOOKUP('Données projet'!$B$9,Paramètres!$A$1:$I$89,3,0)*VLOOKUP('Données projet'!$B$9,Paramètres!$A$1:$I$89,5,0)</f>
        <v>259.53886400000039</v>
      </c>
      <c r="P158" s="13">
        <f t="shared" si="141"/>
        <v>62.624072242773707</v>
      </c>
      <c r="Q158" s="20">
        <f t="shared" si="162"/>
        <v>561.10044728949822</v>
      </c>
      <c r="R158" s="59">
        <f t="shared" si="109"/>
        <v>848.34980231467785</v>
      </c>
      <c r="S158" s="59">
        <f ca="1">AVERAGE(OFFSET($R$3,0,0,'Données projet'!$E$9+1,1))-AVERAGE(OFFSET($H$3,0,0,'Données projet'!$E$9+1,1))</f>
        <v>737.40414421611001</v>
      </c>
      <c r="T158" s="59">
        <f t="shared" si="142"/>
        <v>245.32893490531674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127.34896919907081</v>
      </c>
      <c r="AA158" s="21">
        <f>EXP(-LN(2)/25)*AA157+(1-EXP(-LN(2)/25))/(LN(2)/25)*Calculateur!V158*Calculateur!X158*VLOOKUP('Données projet'!$B$9,Paramètres!$A$1:$I$89,3,0)*0.475*44/12</f>
        <v>27.031821772803909</v>
      </c>
      <c r="AB158" s="21">
        <f>EXP(-LN(2)/2)*AB157+(1-EXP(-LN(2)/2))/(LN(2)/2)*V158*Y158*VLOOKUP('Données projet'!$B$9,Paramètres!$A$1:$I$89,3,0)*0.475*44/12</f>
        <v>5.2939023736939861</v>
      </c>
      <c r="AC158" s="22">
        <f t="shared" si="163"/>
        <v>159.6746933455687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1.3999999999999773</v>
      </c>
      <c r="AJ158" s="13">
        <f>AI158*VLOOKUP('Données projet'!$B$10,Paramètres!$A$1:$I$89,3,0)*VLOOKUP('Données projet'!$B$10,Paramètres!$A$1:$I$89,5,0)</f>
        <v>0.83719999999998651</v>
      </c>
      <c r="AK158" s="13">
        <f t="shared" si="164"/>
        <v>0.39388003094446933</v>
      </c>
      <c r="AL158" s="20">
        <f t="shared" si="165"/>
        <v>2.144131053894927</v>
      </c>
      <c r="AM158" s="59">
        <f t="shared" si="113"/>
        <v>289.39348607907459</v>
      </c>
      <c r="AN158" s="59">
        <f ca="1">AVERAGE(OFFSET($AM$3,0,0,'Données projet'!$E$10+1,1))-AVERAGE(OFFSET($H$3,0,0,'Données projet'!$E$10+1,1))</f>
        <v>318.6615972007902</v>
      </c>
      <c r="AO158" s="59">
        <f t="shared" si="144"/>
        <v>326.82168950869504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21.078600650486102</v>
      </c>
      <c r="AV158" s="21">
        <f>EXP(-LN(2)/25)*AV157+(1-EXP(-LN(2)/25))/(LN(2)/25)*Calculateur!AQ158*Calculateur!AS158*VLOOKUP('Données projet'!$B$10,Paramètres!$A$1:$I$89,3,0)*0.475*44/12</f>
        <v>3.4625071337060751</v>
      </c>
      <c r="AW158" s="21">
        <f>EXP(-LN(2)/2)*AW157+(1-EXP(-LN(2)/2))/(LN(2)/2)*AQ158*AT158*VLOOKUP('Données projet'!$B$10,Paramètres!$A$1:$I$89,3,0)*0.475*44/12</f>
        <v>3.0029610336849974E-13</v>
      </c>
      <c r="AX158" s="21">
        <f t="shared" si="166"/>
        <v>24.54110778419248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-5.6843418860808015E-14</v>
      </c>
      <c r="BE158" s="13">
        <f>BD158*VLOOKUP('Données projet'!$B$11,Paramètres!$A$1:$I$89,3,0)*VLOOKUP('Données projet'!$B$11,Paramètres!$A$1:$I$89,5,0)</f>
        <v>-5.7639226724859328E-14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402.96916953216805</v>
      </c>
      <c r="BJ158" s="59">
        <f t="shared" si="146"/>
        <v>164.89273051331318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23.115158395003625</v>
      </c>
      <c r="BQ158" s="21">
        <f>EXP(-LN(2)/25)*BQ157+(1-EXP(-LN(2)/25))/(LN(2)/25)*Calculateur!BL158*Calculateur!BN158*VLOOKUP('Données projet'!$B$11,Paramètres!$A$1:$I$89,3,0)*0.475*44/12</f>
        <v>19.309074004348428</v>
      </c>
      <c r="BR158" s="21">
        <f>EXP(-LN(2)/2)*BR157+(1-EXP(-LN(2)/2))/(LN(2)/2)*BL158*BO158*VLOOKUP('Données projet'!$B$11,Paramètres!$A$1:$I$89,3,0)*0.475*44/12</f>
        <v>1.1054397047441442E-2</v>
      </c>
      <c r="BS158" s="22">
        <f t="shared" si="169"/>
        <v>42.435286796399488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-2.2737367544323206E-13</v>
      </c>
      <c r="BZ158" s="13">
        <f>BY158*VLOOKUP('Données projet'!$B$12,Paramètres!$A$1:$I$89,3,0)*VLOOKUP('Données projet'!$B$12,Paramètres!$A$1:$I$89,5,0)</f>
        <v>-1.3596945791505279E-13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373.61861223558259</v>
      </c>
      <c r="CE158" s="59">
        <f t="shared" si="148"/>
        <v>277.62293009761049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34.704493711669905</v>
      </c>
      <c r="CL158" s="21">
        <f>EXP(-LN(2)/25)*CL157+(1-EXP(-LN(2)/25))/(LN(2)/25)*Calculateur!CG158*Calculateur!CI158*VLOOKUP('Données projet'!$B$12,Paramètres!$A$1:$I$89,3,0)*0.475*44/12</f>
        <v>6.4680465972872456</v>
      </c>
      <c r="CM158" s="21">
        <f>EXP(-LN(2)/2)*CM157+(1-EXP(-LN(2)/2))/(LN(2)/2)*CG158*CJ158*VLOOKUP('Données projet'!$B$12,Paramètres!$A$1:$I$89,3,0)*0.475*44/12</f>
        <v>3.638285682789976E-10</v>
      </c>
      <c r="CN158" s="22">
        <f t="shared" si="172"/>
        <v>41.172540309320979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>
        <f>VLOOKUP(A159,'Données projet'!$A$35:$I$55,2,0)</f>
        <v>290.93</v>
      </c>
      <c r="L159" s="12">
        <f>VLOOKUP(A159,'Données projet'!$A$35:$I$55,9,0)</f>
        <v>4.083333333333333</v>
      </c>
      <c r="M159" s="12">
        <f t="array" ref="M159">INDEX(L:L,MIN(IF(ISNUMBER(L159:L355),ROW(L159:L355),"")))</f>
        <v>4.083333333333333</v>
      </c>
      <c r="N159" s="13">
        <f>IF('Données projet'!$A$36&gt;35,N158+M159-V158,IF(A159&lt;'Données projet'!$A$36,$K$205^A159,IF(A159='Données projet'!$A$36,'Données projet'!$B$36,N158+M159-V158)))</f>
        <v>290.9300000000004</v>
      </c>
      <c r="O159" s="13">
        <f>N159*VLOOKUP('Données projet'!$B$9,Paramètres!$A$1:$I$89,3,0)*VLOOKUP('Données projet'!$B$9,Paramètres!$A$1:$I$89,5,0)</f>
        <v>263.23346400000037</v>
      </c>
      <c r="P159" s="13">
        <f t="shared" si="141"/>
        <v>63.411125233778499</v>
      </c>
      <c r="Q159" s="20">
        <f t="shared" si="162"/>
        <v>568.90599291549813</v>
      </c>
      <c r="R159" s="59">
        <f t="shared" si="109"/>
        <v>856.26089136258645</v>
      </c>
      <c r="S159" s="59">
        <f ca="1">AVERAGE(OFFSET($R$3,0,0,'Données projet'!$E$9+1,1))-AVERAGE(OFFSET($H$3,0,0,'Données projet'!$E$9+1,1))</f>
        <v>737.40414421611001</v>
      </c>
      <c r="T159" s="59">
        <f t="shared" si="142"/>
        <v>245.32893490531674</v>
      </c>
      <c r="U159" s="15">
        <f>IF(ISNA(VLOOKUP(A159,'Données projet'!$A$35:$I$55,3,0)),0,VLOOKUP(A159,'Données projet'!$A$35:$I$55,3,0))</f>
        <v>16</v>
      </c>
      <c r="V159" s="15">
        <f>IF(ISNA(VLOOKUP(A159,'Données projet'!$A$35:$I$55,4,0)),0,VLOOKUP(A159,'Données projet'!$A$35:$I$55,4,0))</f>
        <v>96.65</v>
      </c>
      <c r="W159" s="16">
        <f>IF(ISNA(VLOOKUP(A159,'Données projet'!$A$35:$I$55,5,0)),0%,VLOOKUP(A159,'Données projet'!$A$35:$I$55,5,0)*VLOOKUP('Données projet'!$B$9,Paramètres!$A$1:$I$89,7,0))</f>
        <v>0.19350000000000001</v>
      </c>
      <c r="X159" s="16">
        <f>IF(ISNA(VLOOKUP(A159,'Données projet'!$A$35:$I$55,6,0)),0%,VLOOKUP(A159,'Données projet'!$A$35:$I$55,6,0)*VLOOKUP('Données projet'!$B$9,Paramètres!$A$1:$I$89,7,0))</f>
        <v>2.1500000000000002E-2</v>
      </c>
      <c r="Y159" s="16">
        <f>IF(ISNA(VLOOKUP(A159,'Données projet'!$A$35:$I$55,7,0)),0%,VLOOKUP(A159,'Données projet'!$A$35:$I$55,7,0))</f>
        <v>0.05</v>
      </c>
      <c r="Z159" s="21">
        <f>EXP(-LN(2)/35)*Z158+(1-EXP(-LN(2)/35))/(LN(2)/35)*V159*W159*VLOOKUP('Données projet'!$B$9,Paramètres!$A$1:$I$89,3,0)*0.475*44/12</f>
        <v>143.55780250462382</v>
      </c>
      <c r="AA159" s="21">
        <f>EXP(-LN(2)/25)*AA158+(1-EXP(-LN(2)/25))/(LN(2)/25)*Calculateur!V159*Calculateur!X159*VLOOKUP('Données projet'!$B$9,Paramètres!$A$1:$I$89,3,0)*0.475*44/12</f>
        <v>28.362903628823826</v>
      </c>
      <c r="AB159" s="21">
        <f>EXP(-LN(2)/2)*AB158+(1-EXP(-LN(2)/2))/(LN(2)/2)*V159*Y159*VLOOKUP('Données projet'!$B$9,Paramètres!$A$1:$I$89,3,0)*0.475*44/12</f>
        <v>7.8688747510372492</v>
      </c>
      <c r="AC159" s="22">
        <f t="shared" si="163"/>
        <v>179.78958088448491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1.3999999999999773</v>
      </c>
      <c r="AJ159" s="13">
        <f>AI159*VLOOKUP('Données projet'!$B$10,Paramètres!$A$1:$I$89,3,0)*VLOOKUP('Données projet'!$B$10,Paramètres!$A$1:$I$89,5,0)</f>
        <v>0.83719999999998651</v>
      </c>
      <c r="AK159" s="13">
        <f t="shared" si="164"/>
        <v>0.39388003094446933</v>
      </c>
      <c r="AL159" s="20">
        <f t="shared" si="165"/>
        <v>2.144131053894927</v>
      </c>
      <c r="AM159" s="59">
        <f t="shared" si="113"/>
        <v>289.49902950098323</v>
      </c>
      <c r="AN159" s="59">
        <f ca="1">AVERAGE(OFFSET($AM$3,0,0,'Données projet'!$E$10+1,1))-AVERAGE(OFFSET($H$3,0,0,'Données projet'!$E$10+1,1))</f>
        <v>318.6615972007902</v>
      </c>
      <c r="AO159" s="59">
        <f t="shared" si="144"/>
        <v>326.82168950869504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20.665262148406974</v>
      </c>
      <c r="AV159" s="21">
        <f>EXP(-LN(2)/25)*AV158+(1-EXP(-LN(2)/25))/(LN(2)/25)*Calculateur!AQ159*Calculateur!AS159*VLOOKUP('Données projet'!$B$10,Paramètres!$A$1:$I$89,3,0)*0.475*44/12</f>
        <v>3.367824694049546</v>
      </c>
      <c r="AW159" s="21">
        <f>EXP(-LN(2)/2)*AW158+(1-EXP(-LN(2)/2))/(LN(2)/2)*AQ159*AT159*VLOOKUP('Données projet'!$B$10,Paramètres!$A$1:$I$89,3,0)*0.475*44/12</f>
        <v>2.1234141105576261E-13</v>
      </c>
      <c r="AX159" s="21">
        <f t="shared" si="166"/>
        <v>24.033086842456733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-5.6843418860808015E-14</v>
      </c>
      <c r="BE159" s="13">
        <f>BD159*VLOOKUP('Données projet'!$B$11,Paramètres!$A$1:$I$89,3,0)*VLOOKUP('Données projet'!$B$11,Paramètres!$A$1:$I$89,5,0)</f>
        <v>-5.7639226724859328E-14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402.96916953216805</v>
      </c>
      <c r="BJ159" s="59">
        <f t="shared" si="146"/>
        <v>164.89273051331318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22.661884237732078</v>
      </c>
      <c r="BQ159" s="21">
        <f>EXP(-LN(2)/25)*BQ158+(1-EXP(-LN(2)/25))/(LN(2)/25)*Calculateur!BL159*Calculateur!BN159*VLOOKUP('Données projet'!$B$11,Paramètres!$A$1:$I$89,3,0)*0.475*44/12</f>
        <v>18.78106636027945</v>
      </c>
      <c r="BR159" s="21">
        <f>EXP(-LN(2)/2)*BR158+(1-EXP(-LN(2)/2))/(LN(2)/2)*BL159*BO159*VLOOKUP('Données projet'!$B$11,Paramètres!$A$1:$I$89,3,0)*0.475*44/12</f>
        <v>7.8166391141743924E-3</v>
      </c>
      <c r="BS159" s="22">
        <f t="shared" si="169"/>
        <v>41.450767237125703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-2.2737367544323206E-13</v>
      </c>
      <c r="BZ159" s="13">
        <f>BY159*VLOOKUP('Données projet'!$B$12,Paramètres!$A$1:$I$89,3,0)*VLOOKUP('Données projet'!$B$12,Paramètres!$A$1:$I$89,5,0)</f>
        <v>-1.3596945791505279E-13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373.61861223558259</v>
      </c>
      <c r="CE159" s="59">
        <f t="shared" si="148"/>
        <v>277.62293009761049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34.02395975763509</v>
      </c>
      <c r="CL159" s="21">
        <f>EXP(-LN(2)/25)*CL158+(1-EXP(-LN(2)/25))/(LN(2)/25)*Calculateur!CG159*Calculateur!CI159*VLOOKUP('Données projet'!$B$12,Paramètres!$A$1:$I$89,3,0)*0.475*44/12</f>
        <v>6.2911775229446381</v>
      </c>
      <c r="CM159" s="21">
        <f>EXP(-LN(2)/2)*CM158+(1-EXP(-LN(2)/2))/(LN(2)/2)*CG159*CJ159*VLOOKUP('Données projet'!$B$12,Paramètres!$A$1:$I$89,3,0)*0.475*44/12</f>
        <v>2.5726564781947202E-10</v>
      </c>
      <c r="CN159" s="22">
        <f t="shared" si="172"/>
        <v>40.315137280836993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2.3999999999999964</v>
      </c>
      <c r="N160" s="13">
        <f>IF('Données projet'!$A$36&gt;35,N159+M160-V159,IF(A160&lt;'Données projet'!$A$36,$K$205^A160,IF(A160='Données projet'!$A$36,'Données projet'!$B$36,N159+M160-V159)))</f>
        <v>196.68000000000038</v>
      </c>
      <c r="O160" s="13">
        <f>N160*VLOOKUP('Données projet'!$B$9,Paramètres!$A$1:$I$89,3,0)*VLOOKUP('Données projet'!$B$9,Paramètres!$A$1:$I$89,5,0)</f>
        <v>177.95606400000034</v>
      </c>
      <c r="P160" s="13">
        <f t="shared" si="141"/>
        <v>44.867146262287271</v>
      </c>
      <c r="Q160" s="20">
        <f t="shared" si="162"/>
        <v>388.08375787348422</v>
      </c>
      <c r="R160" s="59">
        <f t="shared" si="109"/>
        <v>675.54236880007079</v>
      </c>
      <c r="S160" s="59">
        <f ca="1">AVERAGE(OFFSET($R$3,0,0,'Données projet'!$E$9+1,1))-AVERAGE(OFFSET($H$3,0,0,'Données projet'!$E$9+1,1))</f>
        <v>737.40414421611001</v>
      </c>
      <c r="T160" s="59">
        <f t="shared" si="142"/>
        <v>245.32893490531674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140.74272155912169</v>
      </c>
      <c r="AA160" s="21">
        <f>EXP(-LN(2)/25)*AA159+(1-EXP(-LN(2)/25))/(LN(2)/25)*Calculateur!V160*Calculateur!X160*VLOOKUP('Données projet'!$B$9,Paramètres!$A$1:$I$89,3,0)*0.475*44/12</f>
        <v>27.587318537553362</v>
      </c>
      <c r="AB160" s="21">
        <f>EXP(-LN(2)/2)*AB159+(1-EXP(-LN(2)/2))/(LN(2)/2)*V160*Y160*VLOOKUP('Données projet'!$B$9,Paramètres!$A$1:$I$89,3,0)*0.475*44/12</f>
        <v>5.564134696766045</v>
      </c>
      <c r="AC160" s="22">
        <f t="shared" si="163"/>
        <v>173.8941747934411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1.3999999999999773</v>
      </c>
      <c r="AJ160" s="13">
        <f>AI160*VLOOKUP('Données projet'!$B$10,Paramètres!$A$1:$I$89,3,0)*VLOOKUP('Données projet'!$B$10,Paramètres!$A$1:$I$89,5,0)</f>
        <v>0.83719999999998651</v>
      </c>
      <c r="AK160" s="13">
        <f t="shared" si="164"/>
        <v>0.39388003094446933</v>
      </c>
      <c r="AL160" s="20">
        <f t="shared" si="165"/>
        <v>2.144131053894927</v>
      </c>
      <c r="AM160" s="59">
        <f t="shared" si="113"/>
        <v>289.60274198048148</v>
      </c>
      <c r="AN160" s="59">
        <f ca="1">AVERAGE(OFFSET($AM$3,0,0,'Données projet'!$E$10+1,1))-AVERAGE(OFFSET($H$3,0,0,'Données projet'!$E$10+1,1))</f>
        <v>318.6615972007902</v>
      </c>
      <c r="AO160" s="59">
        <f t="shared" si="144"/>
        <v>326.82168950869504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20.260028962242025</v>
      </c>
      <c r="AV160" s="21">
        <f>EXP(-LN(2)/25)*AV159+(1-EXP(-LN(2)/25))/(LN(2)/25)*Calculateur!AQ160*Calculateur!AS160*VLOOKUP('Données projet'!$B$10,Paramètres!$A$1:$I$89,3,0)*0.475*44/12</f>
        <v>3.2757313506845578</v>
      </c>
      <c r="AW160" s="21">
        <f>EXP(-LN(2)/2)*AW159+(1-EXP(-LN(2)/2))/(LN(2)/2)*AQ160*AT160*VLOOKUP('Données projet'!$B$10,Paramètres!$A$1:$I$89,3,0)*0.475*44/12</f>
        <v>1.5014805168424987E-13</v>
      </c>
      <c r="AX160" s="21">
        <f t="shared" si="166"/>
        <v>23.535760312926733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-5.6843418860808015E-14</v>
      </c>
      <c r="BE160" s="13">
        <f>BD160*VLOOKUP('Données projet'!$B$11,Paramètres!$A$1:$I$89,3,0)*VLOOKUP('Données projet'!$B$11,Paramètres!$A$1:$I$89,5,0)</f>
        <v>-5.7639226724859328E-14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402.96916953216805</v>
      </c>
      <c r="BJ160" s="59">
        <f t="shared" si="146"/>
        <v>164.89273051331318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22.217498510214689</v>
      </c>
      <c r="BQ160" s="21">
        <f>EXP(-LN(2)/25)*BQ159+(1-EXP(-LN(2)/25))/(LN(2)/25)*Calculateur!BL160*Calculateur!BN160*VLOOKUP('Données projet'!$B$11,Paramètres!$A$1:$I$89,3,0)*0.475*44/12</f>
        <v>18.267497113004254</v>
      </c>
      <c r="BR160" s="21">
        <f>EXP(-LN(2)/2)*BR159+(1-EXP(-LN(2)/2))/(LN(2)/2)*BL160*BO160*VLOOKUP('Données projet'!$B$11,Paramètres!$A$1:$I$89,3,0)*0.475*44/12</f>
        <v>5.527198523720721E-3</v>
      </c>
      <c r="BS160" s="22">
        <f t="shared" si="169"/>
        <v>40.490522821742665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-2.2737367544323206E-13</v>
      </c>
      <c r="BZ160" s="13">
        <f>BY160*VLOOKUP('Données projet'!$B$12,Paramètres!$A$1:$I$89,3,0)*VLOOKUP('Données projet'!$B$12,Paramètres!$A$1:$I$89,5,0)</f>
        <v>-1.3596945791505279E-13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373.61861223558259</v>
      </c>
      <c r="CE160" s="59">
        <f t="shared" si="148"/>
        <v>277.62293009761049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33.356770659354176</v>
      </c>
      <c r="CL160" s="21">
        <f>EXP(-LN(2)/25)*CL159+(1-EXP(-LN(2)/25))/(LN(2)/25)*Calculateur!CG160*Calculateur!CI160*VLOOKUP('Données projet'!$B$12,Paramètres!$A$1:$I$89,3,0)*0.475*44/12</f>
        <v>6.1191449427410696</v>
      </c>
      <c r="CM160" s="21">
        <f>EXP(-LN(2)/2)*CM159+(1-EXP(-LN(2)/2))/(LN(2)/2)*CG160*CJ160*VLOOKUP('Données projet'!$B$12,Paramètres!$A$1:$I$89,3,0)*0.475*44/12</f>
        <v>1.819142841394988E-10</v>
      </c>
      <c r="CN160" s="22">
        <f t="shared" si="172"/>
        <v>39.475915602277155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2.3999999999999964</v>
      </c>
      <c r="N161" s="13">
        <f>IF('Données projet'!$A$36&gt;35,N160+M161-V160,IF(A161&lt;'Données projet'!$A$36,$K$205^A161,IF(A161='Données projet'!$A$36,'Données projet'!$B$36,N160+M161-V160)))</f>
        <v>199.08000000000038</v>
      </c>
      <c r="O161" s="13">
        <f>N161*VLOOKUP('Données projet'!$B$9,Paramètres!$A$1:$I$89,3,0)*VLOOKUP('Données projet'!$B$9,Paramètres!$A$1:$I$89,5,0)</f>
        <v>180.12758400000035</v>
      </c>
      <c r="P161" s="13">
        <f t="shared" si="141"/>
        <v>45.350570085330872</v>
      </c>
      <c r="Q161" s="20">
        <f t="shared" si="162"/>
        <v>392.7077850319518</v>
      </c>
      <c r="R161" s="59">
        <f t="shared" si="109"/>
        <v>680.26830925838385</v>
      </c>
      <c r="S161" s="59">
        <f ca="1">AVERAGE(OFFSET($R$3,0,0,'Données projet'!$E$9+1,1))-AVERAGE(OFFSET($H$3,0,0,'Données projet'!$E$9+1,1))</f>
        <v>737.40414421611001</v>
      </c>
      <c r="T161" s="59">
        <f t="shared" si="142"/>
        <v>245.32893490531674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137.98284263393103</v>
      </c>
      <c r="AA161" s="21">
        <f>EXP(-LN(2)/25)*AA160+(1-EXP(-LN(2)/25))/(LN(2)/25)*Calculateur!V161*Calculateur!X161*VLOOKUP('Données projet'!$B$9,Paramètres!$A$1:$I$89,3,0)*0.475*44/12</f>
        <v>26.832941861389934</v>
      </c>
      <c r="AB161" s="21">
        <f>EXP(-LN(2)/2)*AB160+(1-EXP(-LN(2)/2))/(LN(2)/2)*V161*Y161*VLOOKUP('Données projet'!$B$9,Paramètres!$A$1:$I$89,3,0)*0.475*44/12</f>
        <v>3.934437375518625</v>
      </c>
      <c r="AC161" s="22">
        <f t="shared" si="163"/>
        <v>168.7502218708396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1.3999999999999773</v>
      </c>
      <c r="AJ161" s="13">
        <f>AI161*VLOOKUP('Données projet'!$B$10,Paramètres!$A$1:$I$89,3,0)*VLOOKUP('Données projet'!$B$10,Paramètres!$A$1:$I$89,5,0)</f>
        <v>0.83719999999998651</v>
      </c>
      <c r="AK161" s="13">
        <f t="shared" si="164"/>
        <v>0.39388003094446933</v>
      </c>
      <c r="AL161" s="20">
        <f t="shared" si="165"/>
        <v>2.144131053894927</v>
      </c>
      <c r="AM161" s="59">
        <f t="shared" si="113"/>
        <v>289.7046552803269</v>
      </c>
      <c r="AN161" s="59">
        <f ca="1">AVERAGE(OFFSET($AM$3,0,0,'Données projet'!$E$10+1,1))-AVERAGE(OFFSET($H$3,0,0,'Données projet'!$E$10+1,1))</f>
        <v>318.6615972007902</v>
      </c>
      <c r="AO161" s="59">
        <f t="shared" si="144"/>
        <v>326.82168950869504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19.862742151689933</v>
      </c>
      <c r="AV161" s="21">
        <f>EXP(-LN(2)/25)*AV160+(1-EXP(-LN(2)/25))/(LN(2)/25)*Calculateur!AQ161*Calculateur!AS161*VLOOKUP('Données projet'!$B$10,Paramètres!$A$1:$I$89,3,0)*0.475*44/12</f>
        <v>3.1861563046368637</v>
      </c>
      <c r="AW161" s="21">
        <f>EXP(-LN(2)/2)*AW160+(1-EXP(-LN(2)/2))/(LN(2)/2)*AQ161*AT161*VLOOKUP('Données projet'!$B$10,Paramètres!$A$1:$I$89,3,0)*0.475*44/12</f>
        <v>1.061707055278813E-13</v>
      </c>
      <c r="AX161" s="21">
        <f t="shared" si="166"/>
        <v>23.048898456326903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-5.6843418860808015E-14</v>
      </c>
      <c r="BE161" s="13">
        <f>BD161*VLOOKUP('Données projet'!$B$11,Paramètres!$A$1:$I$89,3,0)*VLOOKUP('Données projet'!$B$11,Paramètres!$A$1:$I$89,5,0)</f>
        <v>-5.7639226724859328E-14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402.96916953216805</v>
      </c>
      <c r="BJ161" s="59">
        <f t="shared" si="146"/>
        <v>164.89273051331318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21.781826915765386</v>
      </c>
      <c r="BQ161" s="21">
        <f>EXP(-LN(2)/25)*BQ160+(1-EXP(-LN(2)/25))/(LN(2)/25)*Calculateur!BL161*Calculateur!BN161*VLOOKUP('Données projet'!$B$11,Paramètres!$A$1:$I$89,3,0)*0.475*44/12</f>
        <v>17.76797144380323</v>
      </c>
      <c r="BR161" s="21">
        <f>EXP(-LN(2)/2)*BR160+(1-EXP(-LN(2)/2))/(LN(2)/2)*BL161*BO161*VLOOKUP('Données projet'!$B$11,Paramètres!$A$1:$I$89,3,0)*0.475*44/12</f>
        <v>3.9083195570871962E-3</v>
      </c>
      <c r="BS161" s="22">
        <f t="shared" si="169"/>
        <v>39.553706679125696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-2.2737367544323206E-13</v>
      </c>
      <c r="BZ161" s="13">
        <f>BY161*VLOOKUP('Données projet'!$B$12,Paramètres!$A$1:$I$89,3,0)*VLOOKUP('Données projet'!$B$12,Paramètres!$A$1:$I$89,5,0)</f>
        <v>-1.3596945791505279E-13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373.61861223558259</v>
      </c>
      <c r="CE161" s="59">
        <f t="shared" si="148"/>
        <v>277.62293009761049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32.702664732345376</v>
      </c>
      <c r="CL161" s="21">
        <f>EXP(-LN(2)/25)*CL160+(1-EXP(-LN(2)/25))/(LN(2)/25)*Calculateur!CG161*Calculateur!CI161*VLOOKUP('Données projet'!$B$12,Paramètres!$A$1:$I$89,3,0)*0.475*44/12</f>
        <v>5.9518166024899681</v>
      </c>
      <c r="CM161" s="21">
        <f>EXP(-LN(2)/2)*CM160+(1-EXP(-LN(2)/2))/(LN(2)/2)*CG161*CJ161*VLOOKUP('Données projet'!$B$12,Paramètres!$A$1:$I$89,3,0)*0.475*44/12</f>
        <v>1.2863282390973601E-10</v>
      </c>
      <c r="CN161" s="22">
        <f t="shared" si="172"/>
        <v>38.654481334963975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>
        <f>VLOOKUP(A162,'Données projet'!$A$35:$I$55,2,0)</f>
        <v>201.48</v>
      </c>
      <c r="L162" s="12">
        <f>VLOOKUP(A162,'Données projet'!$A$35:$I$55,9,0)</f>
        <v>2.3999999999999964</v>
      </c>
      <c r="M162" s="12">
        <f t="array" ref="M162">INDEX(L:L,MIN(IF(ISNUMBER(L162:L358),ROW(L162:L358),"")))</f>
        <v>2.3999999999999964</v>
      </c>
      <c r="N162" s="13">
        <f>IF('Données projet'!$A$36&gt;35,N161+M162-V161,IF(A162&lt;'Données projet'!$A$36,$K$205^A162,IF(A162='Données projet'!$A$36,'Données projet'!$B$36,N161+M162-V161)))</f>
        <v>201.48000000000039</v>
      </c>
      <c r="O162" s="13">
        <f>N162*VLOOKUP('Données projet'!$B$9,Paramètres!$A$1:$I$89,3,0)*VLOOKUP('Données projet'!$B$9,Paramètres!$A$1:$I$89,5,0)</f>
        <v>182.29910400000034</v>
      </c>
      <c r="P162" s="13">
        <f t="shared" si="141"/>
        <v>45.833315999864418</v>
      </c>
      <c r="Q162" s="20">
        <f t="shared" si="162"/>
        <v>397.33063149976448</v>
      </c>
      <c r="R162" s="59">
        <f t="shared" si="109"/>
        <v>684.99130105813344</v>
      </c>
      <c r="S162" s="59">
        <f ca="1">AVERAGE(OFFSET($R$3,0,0,'Données projet'!$E$9+1,1))-AVERAGE(OFFSET($H$3,0,0,'Données projet'!$E$9+1,1))</f>
        <v>737.40414421611001</v>
      </c>
      <c r="T162" s="59">
        <f t="shared" si="142"/>
        <v>245.32893490531674</v>
      </c>
      <c r="U162" s="15">
        <f>IF(ISNA(VLOOKUP(A162,'Données projet'!$A$35:$I$55,3,0)),0,VLOOKUP(A162,'Données projet'!$A$35:$I$55,3,0))</f>
        <v>17</v>
      </c>
      <c r="V162" s="15">
        <f>IF(ISNA(VLOOKUP(A162,'Données projet'!$A$35:$I$55,4,0)),0,VLOOKUP(A162,'Données projet'!$A$35:$I$55,4,0))</f>
        <v>201.48</v>
      </c>
      <c r="W162" s="16">
        <f>IF(ISNA(VLOOKUP(A162,'Données projet'!$A$35:$I$55,5,0)),0%,VLOOKUP(A162,'Données projet'!$A$35:$I$55,5,0)*VLOOKUP('Données projet'!$B$9,Paramètres!$A$1:$I$89,7,0))</f>
        <v>0.19350000000000001</v>
      </c>
      <c r="X162" s="16">
        <f>IF(ISNA(VLOOKUP(A162,'Données projet'!$A$35:$I$55,6,0)),0%,VLOOKUP(A162,'Données projet'!$A$35:$I$55,6,0)*VLOOKUP('Données projet'!$B$9,Paramètres!$A$1:$I$89,7,0))</f>
        <v>2.1500000000000002E-2</v>
      </c>
      <c r="Y162" s="16">
        <f>IF(ISNA(VLOOKUP(A162,'Données projet'!$A$35:$I$55,7,0)),0%,VLOOKUP(A162,'Données projet'!$A$35:$I$55,7,0))</f>
        <v>0.05</v>
      </c>
      <c r="Z162" s="21">
        <f>EXP(-LN(2)/35)*Z161+(1-EXP(-LN(2)/35))/(LN(2)/35)*V162*W162*VLOOKUP('Données projet'!$B$9,Paramètres!$A$1:$I$89,3,0)*0.475*44/12</f>
        <v>174.27241450061467</v>
      </c>
      <c r="AA162" s="21">
        <f>EXP(-LN(2)/25)*AA161+(1-EXP(-LN(2)/25))/(LN(2)/25)*Calculateur!V162*Calculateur!X162*VLOOKUP('Données projet'!$B$9,Paramètres!$A$1:$I$89,3,0)*0.475*44/12</f>
        <v>30.414948296440013</v>
      </c>
      <c r="AB162" s="21">
        <f>EXP(-LN(2)/2)*AB161+(1-EXP(-LN(2)/2))/(LN(2)/2)*V162*Y162*VLOOKUP('Données projet'!$B$9,Paramètres!$A$1:$I$89,3,0)*0.475*44/12</f>
        <v>11.38227290500536</v>
      </c>
      <c r="AC162" s="22">
        <f t="shared" si="163"/>
        <v>216.06963570206003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1.3999999999999773</v>
      </c>
      <c r="AJ162" s="13">
        <f>AI162*VLOOKUP('Données projet'!$B$10,Paramètres!$A$1:$I$89,3,0)*VLOOKUP('Données projet'!$B$10,Paramètres!$A$1:$I$89,5,0)</f>
        <v>0.83719999999998651</v>
      </c>
      <c r="AK162" s="13">
        <f t="shared" si="164"/>
        <v>0.39388003094446933</v>
      </c>
      <c r="AL162" s="20">
        <f t="shared" si="165"/>
        <v>2.144131053894927</v>
      </c>
      <c r="AM162" s="59">
        <f t="shared" si="113"/>
        <v>289.80480061226388</v>
      </c>
      <c r="AN162" s="59">
        <f ca="1">AVERAGE(OFFSET($AM$3,0,0,'Données projet'!$E$10+1,1))-AVERAGE(OFFSET($H$3,0,0,'Données projet'!$E$10+1,1))</f>
        <v>318.6615972007902</v>
      </c>
      <c r="AO162" s="59">
        <f t="shared" si="144"/>
        <v>326.82168950869504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19.47324589317174</v>
      </c>
      <c r="AV162" s="21">
        <f>EXP(-LN(2)/25)*AV161+(1-EXP(-LN(2)/25))/(LN(2)/25)*Calculateur!AQ162*Calculateur!AS162*VLOOKUP('Données projet'!$B$10,Paramètres!$A$1:$I$89,3,0)*0.475*44/12</f>
        <v>3.0990306929338907</v>
      </c>
      <c r="AW162" s="21">
        <f>EXP(-LN(2)/2)*AW161+(1-EXP(-LN(2)/2))/(LN(2)/2)*AQ162*AT162*VLOOKUP('Données projet'!$B$10,Paramètres!$A$1:$I$89,3,0)*0.475*44/12</f>
        <v>7.5074025842124936E-14</v>
      </c>
      <c r="AX162" s="21">
        <f t="shared" si="166"/>
        <v>22.572276586105705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-5.6843418860808015E-14</v>
      </c>
      <c r="BE162" s="13">
        <f>BD162*VLOOKUP('Données projet'!$B$11,Paramètres!$A$1:$I$89,3,0)*VLOOKUP('Données projet'!$B$11,Paramètres!$A$1:$I$89,5,0)</f>
        <v>-5.7639226724859328E-14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402.96916953216805</v>
      </c>
      <c r="BJ162" s="59">
        <f t="shared" si="146"/>
        <v>164.89273051331318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21.354698575549801</v>
      </c>
      <c r="BQ162" s="21">
        <f>EXP(-LN(2)/25)*BQ161+(1-EXP(-LN(2)/25))/(LN(2)/25)*Calculateur!BL162*Calculateur!BN162*VLOOKUP('Données projet'!$B$11,Paramètres!$A$1:$I$89,3,0)*0.475*44/12</f>
        <v>17.282105330295423</v>
      </c>
      <c r="BR162" s="21">
        <f>EXP(-LN(2)/2)*BR161+(1-EXP(-LN(2)/2))/(LN(2)/2)*BL162*BO162*VLOOKUP('Données projet'!$B$11,Paramètres!$A$1:$I$89,3,0)*0.475*44/12</f>
        <v>2.7635992618603605E-3</v>
      </c>
      <c r="BS162" s="22">
        <f t="shared" si="169"/>
        <v>38.639567505107088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-2.2737367544323206E-13</v>
      </c>
      <c r="BZ162" s="13">
        <f>BY162*VLOOKUP('Données projet'!$B$12,Paramètres!$A$1:$I$89,3,0)*VLOOKUP('Données projet'!$B$12,Paramètres!$A$1:$I$89,5,0)</f>
        <v>-1.3596945791505279E-13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373.61861223558259</v>
      </c>
      <c r="CE162" s="59">
        <f t="shared" si="148"/>
        <v>277.62293009761049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32.061385423600001</v>
      </c>
      <c r="CL162" s="21">
        <f>EXP(-LN(2)/25)*CL161+(1-EXP(-LN(2)/25))/(LN(2)/25)*Calculateur!CG162*Calculateur!CI162*VLOOKUP('Données projet'!$B$12,Paramètres!$A$1:$I$89,3,0)*0.475*44/12</f>
        <v>5.7890638645024479</v>
      </c>
      <c r="CM162" s="21">
        <f>EXP(-LN(2)/2)*CM161+(1-EXP(-LN(2)/2))/(LN(2)/2)*CG162*CJ162*VLOOKUP('Données projet'!$B$12,Paramètres!$A$1:$I$89,3,0)*0.475*44/12</f>
        <v>9.0957142069749401E-11</v>
      </c>
      <c r="CN162" s="22">
        <f t="shared" si="172"/>
        <v>37.850449288193403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3.979039320256561E-13</v>
      </c>
      <c r="O163" s="13">
        <f>N163*VLOOKUP('Données projet'!$B$9,Paramètres!$A$1:$I$89,3,0)*VLOOKUP('Données projet'!$B$9,Paramètres!$A$1:$I$89,5,0)</f>
        <v>3.6002347769681362E-13</v>
      </c>
      <c r="P163" s="13">
        <f t="shared" si="141"/>
        <v>4.6593569189922594E-12</v>
      </c>
      <c r="Q163" s="20">
        <f t="shared" si="162"/>
        <v>8.7420875242334695E-12</v>
      </c>
      <c r="R163" s="59">
        <f t="shared" si="109"/>
        <v>287.75907759269711</v>
      </c>
      <c r="S163" s="59">
        <f ca="1">AVERAGE(OFFSET($R$3,0,0,'Données projet'!$E$9+1,1))-AVERAGE(OFFSET($H$3,0,0,'Données projet'!$E$9+1,1))</f>
        <v>737.40414421611001</v>
      </c>
      <c r="T163" s="59">
        <f t="shared" si="142"/>
        <v>245.32893490531674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170.85503874793463</v>
      </c>
      <c r="AA163" s="21">
        <f>EXP(-LN(2)/25)*AA162+(1-EXP(-LN(2)/25))/(LN(2)/25)*Calculateur!V163*Calculateur!X163*VLOOKUP('Données projet'!$B$9,Paramètres!$A$1:$I$89,3,0)*0.475*44/12</f>
        <v>29.583249935821243</v>
      </c>
      <c r="AB163" s="21">
        <f>EXP(-LN(2)/2)*AB162+(1-EXP(-LN(2)/2))/(LN(2)/2)*V163*Y163*VLOOKUP('Données projet'!$B$9,Paramètres!$A$1:$I$89,3,0)*0.475*44/12</f>
        <v>8.0484823564451951</v>
      </c>
      <c r="AC163" s="22">
        <f t="shared" si="163"/>
        <v>208.48677104020106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1.3999999999999773</v>
      </c>
      <c r="AJ163" s="13">
        <f>AI163*VLOOKUP('Données projet'!$B$10,Paramètres!$A$1:$I$89,3,0)*VLOOKUP('Données projet'!$B$10,Paramètres!$A$1:$I$89,5,0)</f>
        <v>0.83719999999998651</v>
      </c>
      <c r="AK163" s="13">
        <f t="shared" si="164"/>
        <v>0.39388003094446933</v>
      </c>
      <c r="AL163" s="20">
        <f t="shared" si="165"/>
        <v>2.144131053894927</v>
      </c>
      <c r="AM163" s="59">
        <f t="shared" si="113"/>
        <v>289.90320864658327</v>
      </c>
      <c r="AN163" s="59">
        <f ca="1">AVERAGE(OFFSET($AM$3,0,0,'Données projet'!$E$10+1,1))-AVERAGE(OFFSET($H$3,0,0,'Données projet'!$E$10+1,1))</f>
        <v>318.6615972007902</v>
      </c>
      <c r="AO163" s="59">
        <f t="shared" si="144"/>
        <v>326.82168950869504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19.091387418713829</v>
      </c>
      <c r="AV163" s="21">
        <f>EXP(-LN(2)/25)*AV162+(1-EXP(-LN(2)/25))/(LN(2)/25)*Calculateur!AQ163*Calculateur!AS163*VLOOKUP('Données projet'!$B$10,Paramètres!$A$1:$I$89,3,0)*0.475*44/12</f>
        <v>3.0142875356646721</v>
      </c>
      <c r="AW163" s="21">
        <f>EXP(-LN(2)/2)*AW162+(1-EXP(-LN(2)/2))/(LN(2)/2)*AQ163*AT163*VLOOKUP('Données projet'!$B$10,Paramètres!$A$1:$I$89,3,0)*0.475*44/12</f>
        <v>5.3085352763940652E-14</v>
      </c>
      <c r="AX163" s="21">
        <f t="shared" si="166"/>
        <v>22.105674954378554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-5.6843418860808015E-14</v>
      </c>
      <c r="BE163" s="13">
        <f>BD163*VLOOKUP('Données projet'!$B$11,Paramètres!$A$1:$I$89,3,0)*VLOOKUP('Données projet'!$B$11,Paramètres!$A$1:$I$89,5,0)</f>
        <v>-5.7639226724859328E-14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402.96916953216805</v>
      </c>
      <c r="BJ163" s="59">
        <f t="shared" si="146"/>
        <v>164.89273051331318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20.935945961563281</v>
      </c>
      <c r="BQ163" s="21">
        <f>EXP(-LN(2)/25)*BQ162+(1-EXP(-LN(2)/25))/(LN(2)/25)*Calculateur!BL163*Calculateur!BN163*VLOOKUP('Données projet'!$B$11,Paramètres!$A$1:$I$89,3,0)*0.475*44/12</f>
        <v>16.809525251212072</v>
      </c>
      <c r="BR163" s="21">
        <f>EXP(-LN(2)/2)*BR162+(1-EXP(-LN(2)/2))/(LN(2)/2)*BL163*BO163*VLOOKUP('Données projet'!$B$11,Paramètres!$A$1:$I$89,3,0)*0.475*44/12</f>
        <v>1.9541597785435981E-3</v>
      </c>
      <c r="BS163" s="22">
        <f t="shared" si="169"/>
        <v>37.747425372553899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-2.2737367544323206E-13</v>
      </c>
      <c r="BZ163" s="13">
        <f>BY163*VLOOKUP('Données projet'!$B$12,Paramètres!$A$1:$I$89,3,0)*VLOOKUP('Données projet'!$B$12,Paramètres!$A$1:$I$89,5,0)</f>
        <v>-1.3596945791505279E-13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373.61861223558259</v>
      </c>
      <c r="CE163" s="59">
        <f t="shared" si="148"/>
        <v>277.62293009761049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31.432681210957366</v>
      </c>
      <c r="CL163" s="21">
        <f>EXP(-LN(2)/25)*CL162+(1-EXP(-LN(2)/25))/(LN(2)/25)*Calculateur!CG163*Calculateur!CI163*VLOOKUP('Données projet'!$B$12,Paramètres!$A$1:$I$89,3,0)*0.475*44/12</f>
        <v>5.6307616086939909</v>
      </c>
      <c r="CM163" s="21">
        <f>EXP(-LN(2)/2)*CM162+(1-EXP(-LN(2)/2))/(LN(2)/2)*CG163*CJ163*VLOOKUP('Données projet'!$B$12,Paramètres!$A$1:$I$89,3,0)*0.475*44/12</f>
        <v>6.4316411954868005E-11</v>
      </c>
      <c r="CN163" s="22">
        <f t="shared" si="172"/>
        <v>37.063442819715675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3.979039320256561E-13</v>
      </c>
      <c r="O164" s="13">
        <f>N164*VLOOKUP('Données projet'!$B$9,Paramètres!$A$1:$I$89,3,0)*VLOOKUP('Données projet'!$B$9,Paramètres!$A$1:$I$89,5,0)</f>
        <v>3.6002347769681362E-13</v>
      </c>
      <c r="P164" s="13">
        <f t="shared" si="141"/>
        <v>4.6593569189922594E-12</v>
      </c>
      <c r="Q164" s="20">
        <f t="shared" si="162"/>
        <v>8.7420875242334695E-12</v>
      </c>
      <c r="R164" s="59">
        <f t="shared" si="109"/>
        <v>287.85577846762845</v>
      </c>
      <c r="S164" s="59">
        <f ca="1">AVERAGE(OFFSET($R$3,0,0,'Données projet'!$E$9+1,1))-AVERAGE(OFFSET($H$3,0,0,'Données projet'!$E$9+1,1))</f>
        <v>737.40414421611001</v>
      </c>
      <c r="T164" s="59">
        <f t="shared" si="142"/>
        <v>245.32893490531674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167.50467564937125</v>
      </c>
      <c r="AA164" s="21">
        <f>EXP(-LN(2)/25)*AA163+(1-EXP(-LN(2)/25))/(LN(2)/25)*Calculateur!V164*Calculateur!X164*VLOOKUP('Données projet'!$B$9,Paramètres!$A$1:$I$89,3,0)*0.475*44/12</f>
        <v>28.774294410610711</v>
      </c>
      <c r="AB164" s="21">
        <f>EXP(-LN(2)/2)*AB163+(1-EXP(-LN(2)/2))/(LN(2)/2)*V164*Y164*VLOOKUP('Données projet'!$B$9,Paramètres!$A$1:$I$89,3,0)*0.475*44/12</f>
        <v>5.6911364525026817</v>
      </c>
      <c r="AC164" s="22">
        <f t="shared" si="163"/>
        <v>201.97010651248465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1.3999999999999773</v>
      </c>
      <c r="AJ164" s="13">
        <f>AI164*VLOOKUP('Données projet'!$B$10,Paramètres!$A$1:$I$89,3,0)*VLOOKUP('Données projet'!$B$10,Paramètres!$A$1:$I$89,5,0)</f>
        <v>0.83719999999998651</v>
      </c>
      <c r="AK164" s="13">
        <f t="shared" si="164"/>
        <v>0.39388003094446933</v>
      </c>
      <c r="AL164" s="20">
        <f t="shared" si="165"/>
        <v>2.144131053894927</v>
      </c>
      <c r="AM164" s="59">
        <f t="shared" si="113"/>
        <v>289.99990952151461</v>
      </c>
      <c r="AN164" s="59">
        <f ca="1">AVERAGE(OFFSET($AM$3,0,0,'Données projet'!$E$10+1,1))-AVERAGE(OFFSET($H$3,0,0,'Données projet'!$E$10+1,1))</f>
        <v>318.6615972007902</v>
      </c>
      <c r="AO164" s="59">
        <f t="shared" si="144"/>
        <v>326.82168950869504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18.717016956029369</v>
      </c>
      <c r="AV164" s="21">
        <f>EXP(-LN(2)/25)*AV163+(1-EXP(-LN(2)/25))/(LN(2)/25)*Calculateur!AQ164*Calculateur!AS164*VLOOKUP('Données projet'!$B$10,Paramètres!$A$1:$I$89,3,0)*0.475*44/12</f>
        <v>2.9318616844874295</v>
      </c>
      <c r="AW164" s="21">
        <f>EXP(-LN(2)/2)*AW163+(1-EXP(-LN(2)/2))/(LN(2)/2)*AQ164*AT164*VLOOKUP('Données projet'!$B$10,Paramètres!$A$1:$I$89,3,0)*0.475*44/12</f>
        <v>3.7537012921062468E-14</v>
      </c>
      <c r="AX164" s="21">
        <f t="shared" si="166"/>
        <v>21.648878640516838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-5.6843418860808015E-14</v>
      </c>
      <c r="BE164" s="13">
        <f>BD164*VLOOKUP('Données projet'!$B$11,Paramètres!$A$1:$I$89,3,0)*VLOOKUP('Données projet'!$B$11,Paramètres!$A$1:$I$89,5,0)</f>
        <v>-5.7639226724859328E-14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402.96916953216805</v>
      </c>
      <c r="BJ164" s="59">
        <f t="shared" si="146"/>
        <v>164.89273051331318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20.525404830923161</v>
      </c>
      <c r="BQ164" s="21">
        <f>EXP(-LN(2)/25)*BQ163+(1-EXP(-LN(2)/25))/(LN(2)/25)*Calculateur!BL164*Calculateur!BN164*VLOOKUP('Données projet'!$B$11,Paramètres!$A$1:$I$89,3,0)*0.475*44/12</f>
        <v>16.349867899243165</v>
      </c>
      <c r="BR164" s="21">
        <f>EXP(-LN(2)/2)*BR163+(1-EXP(-LN(2)/2))/(LN(2)/2)*BL164*BO164*VLOOKUP('Données projet'!$B$11,Paramètres!$A$1:$I$89,3,0)*0.475*44/12</f>
        <v>1.3817996309301802E-3</v>
      </c>
      <c r="BS164" s="22">
        <f t="shared" si="169"/>
        <v>36.876654529797257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-2.2737367544323206E-13</v>
      </c>
      <c r="BZ164" s="13">
        <f>BY164*VLOOKUP('Données projet'!$B$12,Paramètres!$A$1:$I$89,3,0)*VLOOKUP('Données projet'!$B$12,Paramètres!$A$1:$I$89,5,0)</f>
        <v>-1.3596945791505279E-13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373.61861223558259</v>
      </c>
      <c r="CE164" s="59">
        <f t="shared" si="148"/>
        <v>277.62293009761049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30.816305504452949</v>
      </c>
      <c r="CL164" s="21">
        <f>EXP(-LN(2)/25)*CL163+(1-EXP(-LN(2)/25))/(LN(2)/25)*Calculateur!CG164*Calculateur!CI164*VLOOKUP('Données projet'!$B$12,Paramètres!$A$1:$I$89,3,0)*0.475*44/12</f>
        <v>5.4767881363953697</v>
      </c>
      <c r="CM164" s="21">
        <f>EXP(-LN(2)/2)*CM163+(1-EXP(-LN(2)/2))/(LN(2)/2)*CG164*CJ164*VLOOKUP('Données projet'!$B$12,Paramètres!$A$1:$I$89,3,0)*0.475*44/12</f>
        <v>4.54785710348747E-11</v>
      </c>
      <c r="CN164" s="22">
        <f t="shared" si="172"/>
        <v>36.293093640893801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3.979039320256561E-13</v>
      </c>
      <c r="O165" s="13">
        <f>N165*VLOOKUP('Données projet'!$B$9,Paramètres!$A$1:$I$89,3,0)*VLOOKUP('Données projet'!$B$9,Paramètres!$A$1:$I$89,5,0)</f>
        <v>3.6002347769681362E-13</v>
      </c>
      <c r="P165" s="13">
        <f t="shared" si="141"/>
        <v>4.6593569189922594E-12</v>
      </c>
      <c r="Q165" s="20">
        <f t="shared" si="162"/>
        <v>8.7420875242334695E-12</v>
      </c>
      <c r="R165" s="59">
        <f t="shared" si="109"/>
        <v>287.95080179857047</v>
      </c>
      <c r="S165" s="59">
        <f ca="1">AVERAGE(OFFSET($R$3,0,0,'Données projet'!$E$9+1,1))-AVERAGE(OFFSET($H$3,0,0,'Données projet'!$E$9+1,1))</f>
        <v>737.40414421611001</v>
      </c>
      <c r="T165" s="59">
        <f t="shared" si="142"/>
        <v>245.32893490531674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164.22001112765099</v>
      </c>
      <c r="AA165" s="21">
        <f>EXP(-LN(2)/25)*AA164+(1-EXP(-LN(2)/25))/(LN(2)/25)*Calculateur!V165*Calculateur!X165*VLOOKUP('Données projet'!$B$9,Paramètres!$A$1:$I$89,3,0)*0.475*44/12</f>
        <v>27.987459816778184</v>
      </c>
      <c r="AB165" s="21">
        <f>EXP(-LN(2)/2)*AB164+(1-EXP(-LN(2)/2))/(LN(2)/2)*V165*Y165*VLOOKUP('Données projet'!$B$9,Paramètres!$A$1:$I$89,3,0)*0.475*44/12</f>
        <v>4.0242411782225984</v>
      </c>
      <c r="AC165" s="22">
        <f t="shared" si="163"/>
        <v>196.2317121226518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1.3999999999999773</v>
      </c>
      <c r="AJ165" s="13">
        <f>AI165*VLOOKUP('Données projet'!$B$10,Paramètres!$A$1:$I$89,3,0)*VLOOKUP('Données projet'!$B$10,Paramètres!$A$1:$I$89,5,0)</f>
        <v>0.83719999999998651</v>
      </c>
      <c r="AK165" s="13">
        <f t="shared" si="164"/>
        <v>0.39388003094446933</v>
      </c>
      <c r="AL165" s="20">
        <f t="shared" si="165"/>
        <v>2.144131053894927</v>
      </c>
      <c r="AM165" s="59">
        <f t="shared" si="113"/>
        <v>290.09493285245662</v>
      </c>
      <c r="AN165" s="59">
        <f ca="1">AVERAGE(OFFSET($AM$3,0,0,'Données projet'!$E$10+1,1))-AVERAGE(OFFSET($H$3,0,0,'Données projet'!$E$10+1,1))</f>
        <v>318.6615972007902</v>
      </c>
      <c r="AO165" s="59">
        <f t="shared" si="144"/>
        <v>326.82168950869504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18.349987669774716</v>
      </c>
      <c r="AV165" s="21">
        <f>EXP(-LN(2)/25)*AV164+(1-EXP(-LN(2)/25))/(LN(2)/25)*Calculateur!AQ165*Calculateur!AS165*VLOOKUP('Données projet'!$B$10,Paramètres!$A$1:$I$89,3,0)*0.475*44/12</f>
        <v>2.8516897725452157</v>
      </c>
      <c r="AW165" s="21">
        <f>EXP(-LN(2)/2)*AW164+(1-EXP(-LN(2)/2))/(LN(2)/2)*AQ165*AT165*VLOOKUP('Données projet'!$B$10,Paramètres!$A$1:$I$89,3,0)*0.475*44/12</f>
        <v>2.6542676381970326E-14</v>
      </c>
      <c r="AX165" s="21">
        <f t="shared" si="166"/>
        <v>21.201677442319959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-5.6843418860808015E-14</v>
      </c>
      <c r="BE165" s="13">
        <f>BD165*VLOOKUP('Données projet'!$B$11,Paramètres!$A$1:$I$89,3,0)*VLOOKUP('Données projet'!$B$11,Paramètres!$A$1:$I$89,5,0)</f>
        <v>-5.7639226724859328E-14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402.96916953216805</v>
      </c>
      <c r="BJ165" s="59">
        <f t="shared" si="146"/>
        <v>164.89273051331318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20.122914161449529</v>
      </c>
      <c r="BQ165" s="21">
        <f>EXP(-LN(2)/25)*BQ164+(1-EXP(-LN(2)/25))/(LN(2)/25)*Calculateur!BL165*Calculateur!BN165*VLOOKUP('Données projet'!$B$11,Paramètres!$A$1:$I$89,3,0)*0.475*44/12</f>
        <v>15.902779901736176</v>
      </c>
      <c r="BR165" s="21">
        <f>EXP(-LN(2)/2)*BR164+(1-EXP(-LN(2)/2))/(LN(2)/2)*BL165*BO165*VLOOKUP('Données projet'!$B$11,Paramètres!$A$1:$I$89,3,0)*0.475*44/12</f>
        <v>9.7707988927179905E-4</v>
      </c>
      <c r="BS165" s="22">
        <f t="shared" si="169"/>
        <v>36.026671143074978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-2.2737367544323206E-13</v>
      </c>
      <c r="BZ165" s="13">
        <f>BY165*VLOOKUP('Données projet'!$B$12,Paramètres!$A$1:$I$89,3,0)*VLOOKUP('Données projet'!$B$12,Paramètres!$A$1:$I$89,5,0)</f>
        <v>-1.3596945791505279E-13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373.61861223558259</v>
      </c>
      <c r="CE165" s="59">
        <f t="shared" si="148"/>
        <v>277.62293009761049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30.212016549601024</v>
      </c>
      <c r="CL165" s="21">
        <f>EXP(-LN(2)/25)*CL164+(1-EXP(-LN(2)/25))/(LN(2)/25)*Calculateur!CG165*Calculateur!CI165*VLOOKUP('Données projet'!$B$12,Paramètres!$A$1:$I$89,3,0)*0.475*44/12</f>
        <v>5.3270250767938672</v>
      </c>
      <c r="CM165" s="21">
        <f>EXP(-LN(2)/2)*CM164+(1-EXP(-LN(2)/2))/(LN(2)/2)*CG165*CJ165*VLOOKUP('Données projet'!$B$12,Paramètres!$A$1:$I$89,3,0)*0.475*44/12</f>
        <v>3.2158205977434003E-11</v>
      </c>
      <c r="CN165" s="22">
        <f t="shared" si="172"/>
        <v>35.53904162642705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3.979039320256561E-13</v>
      </c>
      <c r="O166" s="13">
        <f>N166*VLOOKUP('Données projet'!$B$9,Paramètres!$A$1:$I$89,3,0)*VLOOKUP('Données projet'!$B$9,Paramètres!$A$1:$I$89,5,0)</f>
        <v>3.6002347769681362E-13</v>
      </c>
      <c r="P166" s="13">
        <f t="shared" si="141"/>
        <v>4.6593569189922594E-12</v>
      </c>
      <c r="Q166" s="20">
        <f t="shared" si="162"/>
        <v>8.7420875242334695E-12</v>
      </c>
      <c r="R166" s="59">
        <f t="shared" si="109"/>
        <v>288.04417668716098</v>
      </c>
      <c r="S166" s="59">
        <f ca="1">AVERAGE(OFFSET($R$3,0,0,'Données projet'!$E$9+1,1))-AVERAGE(OFFSET($H$3,0,0,'Données projet'!$E$9+1,1))</f>
        <v>737.40414421611001</v>
      </c>
      <c r="T166" s="59">
        <f t="shared" si="142"/>
        <v>245.32893490531674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160.99975687375414</v>
      </c>
      <c r="AA166" s="21">
        <f>EXP(-LN(2)/25)*AA165+(1-EXP(-LN(2)/25))/(LN(2)/25)*Calculateur!V166*Calculateur!X166*VLOOKUP('Données projet'!$B$9,Paramètres!$A$1:$I$89,3,0)*0.475*44/12</f>
        <v>27.222141256291838</v>
      </c>
      <c r="AB166" s="21">
        <f>EXP(-LN(2)/2)*AB165+(1-EXP(-LN(2)/2))/(LN(2)/2)*V166*Y166*VLOOKUP('Données projet'!$B$9,Paramètres!$A$1:$I$89,3,0)*0.475*44/12</f>
        <v>2.8455682262513413</v>
      </c>
      <c r="AC166" s="22">
        <f t="shared" si="163"/>
        <v>191.06746635629733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1.3999999999999773</v>
      </c>
      <c r="AJ166" s="13">
        <f>AI166*VLOOKUP('Données projet'!$B$10,Paramètres!$A$1:$I$89,3,0)*VLOOKUP('Données projet'!$B$10,Paramètres!$A$1:$I$89,5,0)</f>
        <v>0.83719999999998651</v>
      </c>
      <c r="AK166" s="13">
        <f t="shared" si="164"/>
        <v>0.39388003094446933</v>
      </c>
      <c r="AL166" s="20">
        <f t="shared" si="165"/>
        <v>2.144131053894927</v>
      </c>
      <c r="AM166" s="59">
        <f t="shared" si="113"/>
        <v>290.18830774104714</v>
      </c>
      <c r="AN166" s="59">
        <f ca="1">AVERAGE(OFFSET($AM$3,0,0,'Données projet'!$E$10+1,1))-AVERAGE(OFFSET($H$3,0,0,'Données projet'!$E$10+1,1))</f>
        <v>318.6615972007902</v>
      </c>
      <c r="AO166" s="59">
        <f t="shared" si="144"/>
        <v>326.82168950869504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17.990155603957756</v>
      </c>
      <c r="AV166" s="21">
        <f>EXP(-LN(2)/25)*AV165+(1-EXP(-LN(2)/25))/(LN(2)/25)*Calculateur!AQ166*Calculateur!AS166*VLOOKUP('Données projet'!$B$10,Paramètres!$A$1:$I$89,3,0)*0.475*44/12</f>
        <v>2.7737101657511194</v>
      </c>
      <c r="AW166" s="21">
        <f>EXP(-LN(2)/2)*AW165+(1-EXP(-LN(2)/2))/(LN(2)/2)*AQ166*AT166*VLOOKUP('Données projet'!$B$10,Paramètres!$A$1:$I$89,3,0)*0.475*44/12</f>
        <v>1.8768506460531234E-14</v>
      </c>
      <c r="AX166" s="21">
        <f t="shared" si="166"/>
        <v>20.763865769708893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-5.6843418860808015E-14</v>
      </c>
      <c r="BE166" s="13">
        <f>BD166*VLOOKUP('Données projet'!$B$11,Paramètres!$A$1:$I$89,3,0)*VLOOKUP('Données projet'!$B$11,Paramètres!$A$1:$I$89,5,0)</f>
        <v>-5.7639226724859328E-14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402.96916953216805</v>
      </c>
      <c r="BJ166" s="59">
        <f t="shared" si="146"/>
        <v>164.89273051331318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19.72831608850921</v>
      </c>
      <c r="BQ166" s="21">
        <f>EXP(-LN(2)/25)*BQ165+(1-EXP(-LN(2)/25))/(LN(2)/25)*Calculateur!BL166*Calculateur!BN166*VLOOKUP('Données projet'!$B$11,Paramètres!$A$1:$I$89,3,0)*0.475*44/12</f>
        <v>15.467917549032352</v>
      </c>
      <c r="BR166" s="21">
        <f>EXP(-LN(2)/2)*BR165+(1-EXP(-LN(2)/2))/(LN(2)/2)*BL166*BO166*VLOOKUP('Données projet'!$B$11,Paramètres!$A$1:$I$89,3,0)*0.475*44/12</f>
        <v>6.9089981546509012E-4</v>
      </c>
      <c r="BS166" s="22">
        <f t="shared" si="169"/>
        <v>35.196924537357027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-2.2737367544323206E-13</v>
      </c>
      <c r="BZ166" s="13">
        <f>BY166*VLOOKUP('Données projet'!$B$12,Paramètres!$A$1:$I$89,3,0)*VLOOKUP('Données projet'!$B$12,Paramètres!$A$1:$I$89,5,0)</f>
        <v>-1.3596945791505279E-13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373.61861223558259</v>
      </c>
      <c r="CE166" s="59">
        <f t="shared" si="148"/>
        <v>277.62293009761049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29.619577332573879</v>
      </c>
      <c r="CL166" s="21">
        <f>EXP(-LN(2)/25)*CL165+(1-EXP(-LN(2)/25))/(LN(2)/25)*Calculateur!CG166*Calculateur!CI166*VLOOKUP('Données projet'!$B$12,Paramètres!$A$1:$I$89,3,0)*0.475*44/12</f>
        <v>5.1813572959328651</v>
      </c>
      <c r="CM166" s="21">
        <f>EXP(-LN(2)/2)*CM165+(1-EXP(-LN(2)/2))/(LN(2)/2)*CG166*CJ166*VLOOKUP('Données projet'!$B$12,Paramètres!$A$1:$I$89,3,0)*0.475*44/12</f>
        <v>2.273928551743735E-11</v>
      </c>
      <c r="CN166" s="22">
        <f t="shared" si="172"/>
        <v>34.800934628529482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3.979039320256561E-13</v>
      </c>
      <c r="O167" s="13">
        <f>N167*VLOOKUP('Données projet'!$B$9,Paramètres!$A$1:$I$89,3,0)*VLOOKUP('Données projet'!$B$9,Paramètres!$A$1:$I$89,5,0)</f>
        <v>3.6002347769681362E-13</v>
      </c>
      <c r="P167" s="13">
        <f t="shared" si="141"/>
        <v>4.6593569189922594E-12</v>
      </c>
      <c r="Q167" s="20">
        <f t="shared" si="162"/>
        <v>8.7420875242334695E-12</v>
      </c>
      <c r="R167" s="59">
        <f t="shared" si="109"/>
        <v>288.13593173018944</v>
      </c>
      <c r="S167" s="59">
        <f ca="1">AVERAGE(OFFSET($R$3,0,0,'Données projet'!$E$9+1,1))-AVERAGE(OFFSET($H$3,0,0,'Données projet'!$E$9+1,1))</f>
        <v>737.40414421611001</v>
      </c>
      <c r="T167" s="59">
        <f t="shared" si="142"/>
        <v>245.32893490531674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157.84264984161504</v>
      </c>
      <c r="AA167" s="21">
        <f>EXP(-LN(2)/25)*AA166+(1-EXP(-LN(2)/25))/(LN(2)/25)*Calculateur!V167*Calculateur!X167*VLOOKUP('Données projet'!$B$9,Paramètres!$A$1:$I$89,3,0)*0.475*44/12</f>
        <v>26.477750372088344</v>
      </c>
      <c r="AB167" s="21">
        <f>EXP(-LN(2)/2)*AB166+(1-EXP(-LN(2)/2))/(LN(2)/2)*V167*Y167*VLOOKUP('Données projet'!$B$9,Paramètres!$A$1:$I$89,3,0)*0.475*44/12</f>
        <v>2.0121205891112997</v>
      </c>
      <c r="AC167" s="22">
        <f t="shared" si="163"/>
        <v>186.33252080281468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1.3999999999999773</v>
      </c>
      <c r="AJ167" s="13">
        <f>AI167*VLOOKUP('Données projet'!$B$10,Paramètres!$A$1:$I$89,3,0)*VLOOKUP('Données projet'!$B$10,Paramètres!$A$1:$I$89,5,0)</f>
        <v>0.83719999999998651</v>
      </c>
      <c r="AK167" s="13">
        <f t="shared" si="164"/>
        <v>0.39388003094446933</v>
      </c>
      <c r="AL167" s="20">
        <f t="shared" si="165"/>
        <v>2.144131053894927</v>
      </c>
      <c r="AM167" s="59">
        <f t="shared" si="113"/>
        <v>290.2800627840756</v>
      </c>
      <c r="AN167" s="59">
        <f ca="1">AVERAGE(OFFSET($AM$3,0,0,'Données projet'!$E$10+1,1))-AVERAGE(OFFSET($H$3,0,0,'Données projet'!$E$10+1,1))</f>
        <v>318.6615972007902</v>
      </c>
      <c r="AO167" s="59">
        <f t="shared" si="144"/>
        <v>326.82168950869504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17.637379625475578</v>
      </c>
      <c r="AV167" s="21">
        <f>EXP(-LN(2)/25)*AV166+(1-EXP(-LN(2)/25))/(LN(2)/25)*Calculateur!AQ167*Calculateur!AS167*VLOOKUP('Données projet'!$B$10,Paramètres!$A$1:$I$89,3,0)*0.475*44/12</f>
        <v>2.6978629154055769</v>
      </c>
      <c r="AW167" s="21">
        <f>EXP(-LN(2)/2)*AW166+(1-EXP(-LN(2)/2))/(LN(2)/2)*AQ167*AT167*VLOOKUP('Données projet'!$B$10,Paramètres!$A$1:$I$89,3,0)*0.475*44/12</f>
        <v>1.3271338190985163E-14</v>
      </c>
      <c r="AX167" s="21">
        <f t="shared" si="166"/>
        <v>20.335242540881168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-5.6843418860808015E-14</v>
      </c>
      <c r="BE167" s="13">
        <f>BD167*VLOOKUP('Données projet'!$B$11,Paramètres!$A$1:$I$89,3,0)*VLOOKUP('Données projet'!$B$11,Paramètres!$A$1:$I$89,5,0)</f>
        <v>-5.7639226724859328E-14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402.96916953216805</v>
      </c>
      <c r="BJ167" s="59">
        <f t="shared" si="146"/>
        <v>164.89273051331318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19.341455843098188</v>
      </c>
      <c r="BQ167" s="21">
        <f>EXP(-LN(2)/25)*BQ166+(1-EXP(-LN(2)/25))/(LN(2)/25)*Calculateur!BL167*Calculateur!BN167*VLOOKUP('Données projet'!$B$11,Paramètres!$A$1:$I$89,3,0)*0.475*44/12</f>
        <v>15.044946530231631</v>
      </c>
      <c r="BR167" s="21">
        <f>EXP(-LN(2)/2)*BR166+(1-EXP(-LN(2)/2))/(LN(2)/2)*BL167*BO167*VLOOKUP('Données projet'!$B$11,Paramètres!$A$1:$I$89,3,0)*0.475*44/12</f>
        <v>4.8853994463589952E-4</v>
      </c>
      <c r="BS167" s="22">
        <f t="shared" si="169"/>
        <v>34.386890913274449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-2.2737367544323206E-13</v>
      </c>
      <c r="BZ167" s="13">
        <f>BY167*VLOOKUP('Données projet'!$B$12,Paramètres!$A$1:$I$89,3,0)*VLOOKUP('Données projet'!$B$12,Paramètres!$A$1:$I$89,5,0)</f>
        <v>-1.3596945791505279E-13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373.61861223558259</v>
      </c>
      <c r="CE167" s="59">
        <f t="shared" si="148"/>
        <v>277.62293009761049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29.038755487240394</v>
      </c>
      <c r="CL167" s="21">
        <f>EXP(-LN(2)/25)*CL166+(1-EXP(-LN(2)/25))/(LN(2)/25)*Calculateur!CG167*Calculateur!CI167*VLOOKUP('Données projet'!$B$12,Paramètres!$A$1:$I$89,3,0)*0.475*44/12</f>
        <v>5.0396728081998425</v>
      </c>
      <c r="CM167" s="21">
        <f>EXP(-LN(2)/2)*CM166+(1-EXP(-LN(2)/2))/(LN(2)/2)*CG167*CJ167*VLOOKUP('Données projet'!$B$12,Paramètres!$A$1:$I$89,3,0)*0.475*44/12</f>
        <v>1.6079102988717001E-11</v>
      </c>
      <c r="CN167" s="22">
        <f t="shared" si="172"/>
        <v>34.078428295456312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3.979039320256561E-13</v>
      </c>
      <c r="O168" s="13">
        <f>N168*VLOOKUP('Données projet'!$B$9,Paramètres!$A$1:$I$89,3,0)*VLOOKUP('Données projet'!$B$9,Paramètres!$A$1:$I$89,5,0)</f>
        <v>3.6002347769681362E-13</v>
      </c>
      <c r="P168" s="13">
        <f t="shared" si="141"/>
        <v>4.6593569189922594E-12</v>
      </c>
      <c r="Q168" s="20">
        <f t="shared" si="162"/>
        <v>8.7420875242334695E-12</v>
      </c>
      <c r="R168" s="59">
        <f t="shared" si="109"/>
        <v>288.22609502835491</v>
      </c>
      <c r="S168" s="59">
        <f ca="1">AVERAGE(OFFSET($R$3,0,0,'Données projet'!$E$9+1,1))-AVERAGE(OFFSET($H$3,0,0,'Données projet'!$E$9+1,1))</f>
        <v>737.40414421611001</v>
      </c>
      <c r="T168" s="59">
        <f t="shared" si="142"/>
        <v>245.32893490531674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154.74745175273105</v>
      </c>
      <c r="AA168" s="21">
        <f>EXP(-LN(2)/25)*AA167+(1-EXP(-LN(2)/25))/(LN(2)/25)*Calculateur!V168*Calculateur!X168*VLOOKUP('Données projet'!$B$9,Paramètres!$A$1:$I$89,3,0)*0.475*44/12</f>
        <v>25.753714895759213</v>
      </c>
      <c r="AB168" s="21">
        <f>EXP(-LN(2)/2)*AB167+(1-EXP(-LN(2)/2))/(LN(2)/2)*V168*Y168*VLOOKUP('Données projet'!$B$9,Paramètres!$A$1:$I$89,3,0)*0.475*44/12</f>
        <v>1.4227841131256709</v>
      </c>
      <c r="AC168" s="22">
        <f t="shared" si="163"/>
        <v>181.92395076161591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1.3999999999999773</v>
      </c>
      <c r="AJ168" s="13">
        <f>AI168*VLOOKUP('Données projet'!$B$10,Paramètres!$A$1:$I$89,3,0)*VLOOKUP('Données projet'!$B$10,Paramètres!$A$1:$I$89,5,0)</f>
        <v>0.83719999999998651</v>
      </c>
      <c r="AK168" s="13">
        <f t="shared" si="164"/>
        <v>0.39388003094446933</v>
      </c>
      <c r="AL168" s="20">
        <f t="shared" si="165"/>
        <v>2.144131053894927</v>
      </c>
      <c r="AM168" s="59">
        <f t="shared" si="113"/>
        <v>290.37022608224106</v>
      </c>
      <c r="AN168" s="59">
        <f ca="1">AVERAGE(OFFSET($AM$3,0,0,'Données projet'!$E$10+1,1))-AVERAGE(OFFSET($H$3,0,0,'Données projet'!$E$10+1,1))</f>
        <v>318.6615972007902</v>
      </c>
      <c r="AO168" s="59">
        <f t="shared" si="144"/>
        <v>326.82168950869504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17.291521368759334</v>
      </c>
      <c r="AV168" s="21">
        <f>EXP(-LN(2)/25)*AV167+(1-EXP(-LN(2)/25))/(LN(2)/25)*Calculateur!AQ168*Calculateur!AS168*VLOOKUP('Données projet'!$B$10,Paramètres!$A$1:$I$89,3,0)*0.475*44/12</f>
        <v>2.6240897121093667</v>
      </c>
      <c r="AW168" s="21">
        <f>EXP(-LN(2)/2)*AW167+(1-EXP(-LN(2)/2))/(LN(2)/2)*AQ168*AT168*VLOOKUP('Données projet'!$B$10,Paramètres!$A$1:$I$89,3,0)*0.475*44/12</f>
        <v>9.384253230265617E-15</v>
      </c>
      <c r="AX168" s="21">
        <f t="shared" si="166"/>
        <v>19.915611080868711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-5.6843418860808015E-14</v>
      </c>
      <c r="BE168" s="13">
        <f>BD168*VLOOKUP('Données projet'!$B$11,Paramètres!$A$1:$I$89,3,0)*VLOOKUP('Données projet'!$B$11,Paramètres!$A$1:$I$89,5,0)</f>
        <v>-5.7639226724859328E-14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402.96916953216805</v>
      </c>
      <c r="BJ168" s="59">
        <f t="shared" si="146"/>
        <v>164.89273051331318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18.962181691138227</v>
      </c>
      <c r="BQ168" s="21">
        <f>EXP(-LN(2)/25)*BQ167+(1-EXP(-LN(2)/25))/(LN(2)/25)*Calculateur!BL168*Calculateur!BN168*VLOOKUP('Données projet'!$B$11,Paramètres!$A$1:$I$89,3,0)*0.475*44/12</f>
        <v>14.633541676183095</v>
      </c>
      <c r="BR168" s="21">
        <f>EXP(-LN(2)/2)*BR167+(1-EXP(-LN(2)/2))/(LN(2)/2)*BL168*BO168*VLOOKUP('Données projet'!$B$11,Paramètres!$A$1:$I$89,3,0)*0.475*44/12</f>
        <v>3.4544990773254506E-4</v>
      </c>
      <c r="BS168" s="22">
        <f t="shared" si="169"/>
        <v>33.596068817229053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-2.2737367544323206E-13</v>
      </c>
      <c r="BZ168" s="13">
        <f>BY168*VLOOKUP('Données projet'!$B$12,Paramètres!$A$1:$I$89,3,0)*VLOOKUP('Données projet'!$B$12,Paramètres!$A$1:$I$89,5,0)</f>
        <v>-1.3596945791505279E-13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373.61861223558259</v>
      </c>
      <c r="CE168" s="59">
        <f t="shared" si="148"/>
        <v>277.62293009761049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28.469323204027553</v>
      </c>
      <c r="CL168" s="21">
        <f>EXP(-LN(2)/25)*CL167+(1-EXP(-LN(2)/25))/(LN(2)/25)*Calculateur!CG168*Calculateur!CI168*VLOOKUP('Données projet'!$B$12,Paramètres!$A$1:$I$89,3,0)*0.475*44/12</f>
        <v>4.9018626902347435</v>
      </c>
      <c r="CM168" s="21">
        <f>EXP(-LN(2)/2)*CM167+(1-EXP(-LN(2)/2))/(LN(2)/2)*CG168*CJ168*VLOOKUP('Données projet'!$B$12,Paramètres!$A$1:$I$89,3,0)*0.475*44/12</f>
        <v>1.1369642758718675E-11</v>
      </c>
      <c r="CN168" s="22">
        <f t="shared" si="172"/>
        <v>33.371185894273665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3.979039320256561E-13</v>
      </c>
      <c r="O169" s="13">
        <f>N169*VLOOKUP('Données projet'!$B$9,Paramètres!$A$1:$I$89,3,0)*VLOOKUP('Données projet'!$B$9,Paramètres!$A$1:$I$89,5,0)</f>
        <v>3.6002347769681362E-13</v>
      </c>
      <c r="P169" s="13">
        <f t="shared" si="141"/>
        <v>4.6593569189922594E-12</v>
      </c>
      <c r="Q169" s="20">
        <f t="shared" si="162"/>
        <v>8.7420875242334695E-12</v>
      </c>
      <c r="R169" s="59">
        <f t="shared" si="109"/>
        <v>288.31469419487217</v>
      </c>
      <c r="S169" s="59">
        <f ca="1">AVERAGE(OFFSET($R$3,0,0,'Données projet'!$E$9+1,1))-AVERAGE(OFFSET($H$3,0,0,'Données projet'!$E$9+1,1))</f>
        <v>737.40414421611001</v>
      </c>
      <c r="T169" s="59">
        <f t="shared" si="142"/>
        <v>245.32893490531674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151.71294861048565</v>
      </c>
      <c r="AA169" s="21">
        <f>EXP(-LN(2)/25)*AA168+(1-EXP(-LN(2)/25))/(LN(2)/25)*Calculateur!V169*Calculateur!X169*VLOOKUP('Données projet'!$B$9,Paramètres!$A$1:$I$89,3,0)*0.475*44/12</f>
        <v>25.04947820760567</v>
      </c>
      <c r="AB169" s="21">
        <f>EXP(-LN(2)/2)*AB168+(1-EXP(-LN(2)/2))/(LN(2)/2)*V169*Y169*VLOOKUP('Données projet'!$B$9,Paramètres!$A$1:$I$89,3,0)*0.475*44/12</f>
        <v>1.0060602945556498</v>
      </c>
      <c r="AC169" s="22">
        <f t="shared" si="163"/>
        <v>177.76848711264697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1.3999999999999773</v>
      </c>
      <c r="AJ169" s="13">
        <f>AI169*VLOOKUP('Données projet'!$B$10,Paramètres!$A$1:$I$89,3,0)*VLOOKUP('Données projet'!$B$10,Paramètres!$A$1:$I$89,5,0)</f>
        <v>0.83719999999998651</v>
      </c>
      <c r="AK169" s="13">
        <f t="shared" si="164"/>
        <v>0.39388003094446933</v>
      </c>
      <c r="AL169" s="20">
        <f t="shared" si="165"/>
        <v>2.144131053894927</v>
      </c>
      <c r="AM169" s="59">
        <f t="shared" si="113"/>
        <v>290.45882524875833</v>
      </c>
      <c r="AN169" s="59">
        <f ca="1">AVERAGE(OFFSET($AM$3,0,0,'Données projet'!$E$10+1,1))-AVERAGE(OFFSET($H$3,0,0,'Données projet'!$E$10+1,1))</f>
        <v>318.6615972007902</v>
      </c>
      <c r="AO169" s="59">
        <f t="shared" si="144"/>
        <v>326.82168950869504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16.95244518150459</v>
      </c>
      <c r="AV169" s="21">
        <f>EXP(-LN(2)/25)*AV168+(1-EXP(-LN(2)/25))/(LN(2)/25)*Calculateur!AQ169*Calculateur!AS169*VLOOKUP('Données projet'!$B$10,Paramètres!$A$1:$I$89,3,0)*0.475*44/12</f>
        <v>2.5523338409368557</v>
      </c>
      <c r="AW169" s="21">
        <f>EXP(-LN(2)/2)*AW168+(1-EXP(-LN(2)/2))/(LN(2)/2)*AQ169*AT169*VLOOKUP('Données projet'!$B$10,Paramètres!$A$1:$I$89,3,0)*0.475*44/12</f>
        <v>6.6356690954925815E-15</v>
      </c>
      <c r="AX169" s="21">
        <f t="shared" si="166"/>
        <v>19.504779022441454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-5.6843418860808015E-14</v>
      </c>
      <c r="BE169" s="13">
        <f>BD169*VLOOKUP('Données projet'!$B$11,Paramètres!$A$1:$I$89,3,0)*VLOOKUP('Données projet'!$B$11,Paramètres!$A$1:$I$89,5,0)</f>
        <v>-5.7639226724859328E-14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402.96916953216805</v>
      </c>
      <c r="BJ169" s="59">
        <f t="shared" si="146"/>
        <v>164.89273051331318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18.590344873963812</v>
      </c>
      <c r="BQ169" s="21">
        <f>EXP(-LN(2)/25)*BQ168+(1-EXP(-LN(2)/25))/(LN(2)/25)*Calculateur!BL169*Calculateur!BN169*VLOOKUP('Données projet'!$B$11,Paramètres!$A$1:$I$89,3,0)*0.475*44/12</f>
        <v>14.233386709503357</v>
      </c>
      <c r="BR169" s="21">
        <f>EXP(-LN(2)/2)*BR168+(1-EXP(-LN(2)/2))/(LN(2)/2)*BL169*BO169*VLOOKUP('Données projet'!$B$11,Paramètres!$A$1:$I$89,3,0)*0.475*44/12</f>
        <v>2.4426997231794976E-4</v>
      </c>
      <c r="BS169" s="22">
        <f t="shared" si="169"/>
        <v>32.823975853439485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-2.2737367544323206E-13</v>
      </c>
      <c r="BZ169" s="13">
        <f>BY169*VLOOKUP('Données projet'!$B$12,Paramètres!$A$1:$I$89,3,0)*VLOOKUP('Données projet'!$B$12,Paramètres!$A$1:$I$89,5,0)</f>
        <v>-1.3596945791505279E-13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373.61861223558259</v>
      </c>
      <c r="CE169" s="59">
        <f t="shared" si="148"/>
        <v>277.62293009761049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27.911057140569117</v>
      </c>
      <c r="CL169" s="21">
        <f>EXP(-LN(2)/25)*CL168+(1-EXP(-LN(2)/25))/(LN(2)/25)*Calculateur!CG169*Calculateur!CI169*VLOOKUP('Données projet'!$B$12,Paramètres!$A$1:$I$89,3,0)*0.475*44/12</f>
        <v>4.7678209971925192</v>
      </c>
      <c r="CM169" s="21">
        <f>EXP(-LN(2)/2)*CM168+(1-EXP(-LN(2)/2))/(LN(2)/2)*CG169*CJ169*VLOOKUP('Données projet'!$B$12,Paramètres!$A$1:$I$89,3,0)*0.475*44/12</f>
        <v>8.0395514943585007E-12</v>
      </c>
      <c r="CN169" s="22">
        <f t="shared" si="172"/>
        <v>32.678878137769672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3.979039320256561E-13</v>
      </c>
      <c r="O170" s="13">
        <f>N170*VLOOKUP('Données projet'!$B$9,Paramètres!$A$1:$I$89,3,0)*VLOOKUP('Données projet'!$B$9,Paramètres!$A$1:$I$89,5,0)</f>
        <v>3.6002347769681362E-13</v>
      </c>
      <c r="P170" s="13">
        <f t="shared" si="141"/>
        <v>4.6593569189922594E-12</v>
      </c>
      <c r="Q170" s="20">
        <f t="shared" si="162"/>
        <v>8.7420875242334695E-12</v>
      </c>
      <c r="R170" s="59">
        <f t="shared" si="109"/>
        <v>288.40175636392837</v>
      </c>
      <c r="S170" s="59">
        <f ca="1">AVERAGE(OFFSET($R$3,0,0,'Données projet'!$E$9+1,1))-AVERAGE(OFFSET($H$3,0,0,'Données projet'!$E$9+1,1))</f>
        <v>737.40414421611001</v>
      </c>
      <c r="T170" s="59">
        <f t="shared" si="142"/>
        <v>245.32893490531674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148.73795022399554</v>
      </c>
      <c r="AA170" s="21">
        <f>EXP(-LN(2)/25)*AA169+(1-EXP(-LN(2)/25))/(LN(2)/25)*Calculateur!V170*Calculateur!X170*VLOOKUP('Données projet'!$B$9,Paramètres!$A$1:$I$89,3,0)*0.475*44/12</f>
        <v>24.364498908723885</v>
      </c>
      <c r="AB170" s="21">
        <f>EXP(-LN(2)/2)*AB169+(1-EXP(-LN(2)/2))/(LN(2)/2)*V170*Y170*VLOOKUP('Données projet'!$B$9,Paramètres!$A$1:$I$89,3,0)*0.475*44/12</f>
        <v>0.71139205656283544</v>
      </c>
      <c r="AC170" s="22">
        <f t="shared" si="163"/>
        <v>173.81384118928224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1.3999999999999773</v>
      </c>
      <c r="AJ170" s="13">
        <f>AI170*VLOOKUP('Données projet'!$B$10,Paramètres!$A$1:$I$89,3,0)*VLOOKUP('Données projet'!$B$10,Paramètres!$A$1:$I$89,5,0)</f>
        <v>0.83719999999998651</v>
      </c>
      <c r="AK170" s="13">
        <f t="shared" si="164"/>
        <v>0.39388003094446933</v>
      </c>
      <c r="AL170" s="20">
        <f t="shared" si="165"/>
        <v>2.144131053894927</v>
      </c>
      <c r="AM170" s="59">
        <f t="shared" si="113"/>
        <v>290.54588741781453</v>
      </c>
      <c r="AN170" s="59">
        <f ca="1">AVERAGE(OFFSET($AM$3,0,0,'Données projet'!$E$10+1,1))-AVERAGE(OFFSET($H$3,0,0,'Données projet'!$E$10+1,1))</f>
        <v>318.6615972007902</v>
      </c>
      <c r="AO170" s="59">
        <f t="shared" si="144"/>
        <v>326.82168950869504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16.620018071465857</v>
      </c>
      <c r="AV170" s="21">
        <f>EXP(-LN(2)/25)*AV169+(1-EXP(-LN(2)/25))/(LN(2)/25)*Calculateur!AQ170*Calculateur!AS170*VLOOKUP('Données projet'!$B$10,Paramètres!$A$1:$I$89,3,0)*0.475*44/12</f>
        <v>2.4825401378350342</v>
      </c>
      <c r="AW170" s="21">
        <f>EXP(-LN(2)/2)*AW169+(1-EXP(-LN(2)/2))/(LN(2)/2)*AQ170*AT170*VLOOKUP('Données projet'!$B$10,Paramètres!$A$1:$I$89,3,0)*0.475*44/12</f>
        <v>4.6921266151328085E-15</v>
      </c>
      <c r="AX170" s="21">
        <f t="shared" si="166"/>
        <v>19.102558209300895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-5.6843418860808015E-14</v>
      </c>
      <c r="BE170" s="13">
        <f>BD170*VLOOKUP('Données projet'!$B$11,Paramètres!$A$1:$I$89,3,0)*VLOOKUP('Données projet'!$B$11,Paramètres!$A$1:$I$89,5,0)</f>
        <v>-5.7639226724859328E-14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402.96916953216805</v>
      </c>
      <c r="BJ170" s="59">
        <f t="shared" si="146"/>
        <v>164.89273051331318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18.225799549976124</v>
      </c>
      <c r="BQ170" s="21">
        <f>EXP(-LN(2)/25)*BQ169+(1-EXP(-LN(2)/25))/(LN(2)/25)*Calculateur!BL170*Calculateur!BN170*VLOOKUP('Données projet'!$B$11,Paramètres!$A$1:$I$89,3,0)*0.475*44/12</f>
        <v>13.844174001430712</v>
      </c>
      <c r="BR170" s="21">
        <f>EXP(-LN(2)/2)*BR169+(1-EXP(-LN(2)/2))/(LN(2)/2)*BL170*BO170*VLOOKUP('Données projet'!$B$11,Paramètres!$A$1:$I$89,3,0)*0.475*44/12</f>
        <v>1.7272495386627253E-4</v>
      </c>
      <c r="BS170" s="22">
        <f t="shared" si="169"/>
        <v>32.070146276360695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-2.2737367544323206E-13</v>
      </c>
      <c r="BZ170" s="13">
        <f>BY170*VLOOKUP('Données projet'!$B$12,Paramètres!$A$1:$I$89,3,0)*VLOOKUP('Données projet'!$B$12,Paramètres!$A$1:$I$89,5,0)</f>
        <v>-1.3596945791505279E-13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373.61861223558259</v>
      </c>
      <c r="CE170" s="59">
        <f t="shared" si="148"/>
        <v>277.62293009761049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27.363738334106426</v>
      </c>
      <c r="CL170" s="21">
        <f>EXP(-LN(2)/25)*CL169+(1-EXP(-LN(2)/25))/(LN(2)/25)*Calculateur!CG170*Calculateur!CI170*VLOOKUP('Données projet'!$B$12,Paramètres!$A$1:$I$89,3,0)*0.475*44/12</f>
        <v>4.6374446812954808</v>
      </c>
      <c r="CM170" s="21">
        <f>EXP(-LN(2)/2)*CM169+(1-EXP(-LN(2)/2))/(LN(2)/2)*CG170*CJ170*VLOOKUP('Données projet'!$B$12,Paramètres!$A$1:$I$89,3,0)*0.475*44/12</f>
        <v>5.6848213793593375E-12</v>
      </c>
      <c r="CN170" s="22">
        <f t="shared" si="172"/>
        <v>32.001183015407591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3.979039320256561E-13</v>
      </c>
      <c r="O171" s="13">
        <f>N171*VLOOKUP('Données projet'!$B$9,Paramètres!$A$1:$I$89,3,0)*VLOOKUP('Données projet'!$B$9,Paramètres!$A$1:$I$89,5,0)</f>
        <v>3.6002347769681362E-13</v>
      </c>
      <c r="P171" s="13">
        <f t="shared" si="141"/>
        <v>4.6593569189922594E-12</v>
      </c>
      <c r="Q171" s="20">
        <f t="shared" si="162"/>
        <v>8.7420875242334695E-12</v>
      </c>
      <c r="R171" s="59">
        <f t="shared" si="109"/>
        <v>288.48730819899328</v>
      </c>
      <c r="S171" s="59">
        <f ca="1">AVERAGE(OFFSET($R$3,0,0,'Données projet'!$E$9+1,1))-AVERAGE(OFFSET($H$3,0,0,'Données projet'!$E$9+1,1))</f>
        <v>737.40414421611001</v>
      </c>
      <c r="T171" s="59">
        <f t="shared" si="142"/>
        <v>245.32893490531674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145.82128974129466</v>
      </c>
      <c r="AA171" s="21">
        <f>EXP(-LN(2)/25)*AA170+(1-EXP(-LN(2)/25))/(LN(2)/25)*Calculateur!V171*Calculateur!X171*VLOOKUP('Données projet'!$B$9,Paramètres!$A$1:$I$89,3,0)*0.475*44/12</f>
        <v>23.698250404791519</v>
      </c>
      <c r="AB171" s="21">
        <f>EXP(-LN(2)/2)*AB170+(1-EXP(-LN(2)/2))/(LN(2)/2)*V171*Y171*VLOOKUP('Données projet'!$B$9,Paramètres!$A$1:$I$89,3,0)*0.475*44/12</f>
        <v>0.50303014727782491</v>
      </c>
      <c r="AC171" s="22">
        <f t="shared" si="163"/>
        <v>170.022570293364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1.3999999999999773</v>
      </c>
      <c r="AJ171" s="13">
        <f>AI171*VLOOKUP('Données projet'!$B$10,Paramètres!$A$1:$I$89,3,0)*VLOOKUP('Données projet'!$B$10,Paramètres!$A$1:$I$89,5,0)</f>
        <v>0.83719999999998651</v>
      </c>
      <c r="AK171" s="13">
        <f t="shared" si="164"/>
        <v>0.39388003094446933</v>
      </c>
      <c r="AL171" s="20">
        <f t="shared" si="165"/>
        <v>2.144131053894927</v>
      </c>
      <c r="AM171" s="59">
        <f t="shared" si="113"/>
        <v>290.63143925287943</v>
      </c>
      <c r="AN171" s="59">
        <f ca="1">AVERAGE(OFFSET($AM$3,0,0,'Données projet'!$E$10+1,1))-AVERAGE(OFFSET($H$3,0,0,'Données projet'!$E$10+1,1))</f>
        <v>318.6615972007902</v>
      </c>
      <c r="AO171" s="59">
        <f t="shared" si="144"/>
        <v>326.82168950869504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16.29410965429447</v>
      </c>
      <c r="AV171" s="21">
        <f>EXP(-LN(2)/25)*AV170+(1-EXP(-LN(2)/25))/(LN(2)/25)*Calculateur!AQ171*Calculateur!AS171*VLOOKUP('Données projet'!$B$10,Paramètres!$A$1:$I$89,3,0)*0.475*44/12</f>
        <v>2.4146549472148231</v>
      </c>
      <c r="AW171" s="21">
        <f>EXP(-LN(2)/2)*AW170+(1-EXP(-LN(2)/2))/(LN(2)/2)*AQ171*AT171*VLOOKUP('Données projet'!$B$10,Paramètres!$A$1:$I$89,3,0)*0.475*44/12</f>
        <v>3.3178345477462907E-15</v>
      </c>
      <c r="AX171" s="21">
        <f t="shared" si="166"/>
        <v>18.708764601509298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-5.6843418860808015E-14</v>
      </c>
      <c r="BE171" s="13">
        <f>BD171*VLOOKUP('Données projet'!$B$11,Paramètres!$A$1:$I$89,3,0)*VLOOKUP('Données projet'!$B$11,Paramètres!$A$1:$I$89,5,0)</f>
        <v>-5.7639226724859328E-14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402.96916953216805</v>
      </c>
      <c r="BJ171" s="59">
        <f t="shared" si="146"/>
        <v>164.89273051331318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17.868402737441141</v>
      </c>
      <c r="BQ171" s="21">
        <f>EXP(-LN(2)/25)*BQ170+(1-EXP(-LN(2)/25))/(LN(2)/25)*Calculateur!BL171*Calculateur!BN171*VLOOKUP('Données projet'!$B$11,Paramètres!$A$1:$I$89,3,0)*0.475*44/12</f>
        <v>13.46560433532812</v>
      </c>
      <c r="BR171" s="21">
        <f>EXP(-LN(2)/2)*BR170+(1-EXP(-LN(2)/2))/(LN(2)/2)*BL171*BO171*VLOOKUP('Données projet'!$B$11,Paramètres!$A$1:$I$89,3,0)*0.475*44/12</f>
        <v>1.2213498615897488E-4</v>
      </c>
      <c r="BS171" s="22">
        <f t="shared" si="169"/>
        <v>31.334129207755421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-2.2737367544323206E-13</v>
      </c>
      <c r="BZ171" s="13">
        <f>BY171*VLOOKUP('Données projet'!$B$12,Paramètres!$A$1:$I$89,3,0)*VLOOKUP('Données projet'!$B$12,Paramètres!$A$1:$I$89,5,0)</f>
        <v>-1.3596945791505279E-13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373.61861223558259</v>
      </c>
      <c r="CE171" s="59">
        <f t="shared" si="148"/>
        <v>277.62293009761049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26.82715211560696</v>
      </c>
      <c r="CL171" s="21">
        <f>EXP(-LN(2)/25)*CL170+(1-EXP(-LN(2)/25))/(LN(2)/25)*Calculateur!CG171*Calculateur!CI171*VLOOKUP('Données projet'!$B$12,Paramètres!$A$1:$I$89,3,0)*0.475*44/12</f>
        <v>4.5106335126128387</v>
      </c>
      <c r="CM171" s="21">
        <f>EXP(-LN(2)/2)*CM170+(1-EXP(-LN(2)/2))/(LN(2)/2)*CG171*CJ171*VLOOKUP('Données projet'!$B$12,Paramètres!$A$1:$I$89,3,0)*0.475*44/12</f>
        <v>4.0197757471792503E-12</v>
      </c>
      <c r="CN171" s="22">
        <f t="shared" si="172"/>
        <v>31.337785628223816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3.979039320256561E-13</v>
      </c>
      <c r="O172" s="13">
        <f>N172*VLOOKUP('Données projet'!$B$9,Paramètres!$A$1:$I$89,3,0)*VLOOKUP('Données projet'!$B$9,Paramètres!$A$1:$I$89,5,0)</f>
        <v>3.6002347769681362E-13</v>
      </c>
      <c r="P172" s="13">
        <f t="shared" si="141"/>
        <v>4.6593569189922594E-12</v>
      </c>
      <c r="Q172" s="20">
        <f t="shared" si="162"/>
        <v>8.7420875242334695E-12</v>
      </c>
      <c r="R172" s="59">
        <f t="shared" si="109"/>
        <v>288.57137590098517</v>
      </c>
      <c r="S172" s="59">
        <f ca="1">AVERAGE(OFFSET($R$3,0,0,'Données projet'!$E$9+1,1))-AVERAGE(OFFSET($H$3,0,0,'Données projet'!$E$9+1,1))</f>
        <v>737.40414421611001</v>
      </c>
      <c r="T172" s="59">
        <f t="shared" si="142"/>
        <v>245.32893490531674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142.96182319167229</v>
      </c>
      <c r="AA172" s="21">
        <f>EXP(-LN(2)/25)*AA171+(1-EXP(-LN(2)/25))/(LN(2)/25)*Calculateur!V172*Calculateur!X172*VLOOKUP('Données projet'!$B$9,Paramètres!$A$1:$I$89,3,0)*0.475*44/12</f>
        <v>23.050220501235671</v>
      </c>
      <c r="AB172" s="21">
        <f>EXP(-LN(2)/2)*AB171+(1-EXP(-LN(2)/2))/(LN(2)/2)*V172*Y172*VLOOKUP('Données projet'!$B$9,Paramètres!$A$1:$I$89,3,0)*0.475*44/12</f>
        <v>0.35569602828141772</v>
      </c>
      <c r="AC172" s="22">
        <f t="shared" si="163"/>
        <v>166.36773972118939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1.3999999999999773</v>
      </c>
      <c r="AJ172" s="13">
        <f>AI172*VLOOKUP('Données projet'!$B$10,Paramètres!$A$1:$I$89,3,0)*VLOOKUP('Données projet'!$B$10,Paramètres!$A$1:$I$89,5,0)</f>
        <v>0.83719999999998651</v>
      </c>
      <c r="AK172" s="13">
        <f t="shared" si="164"/>
        <v>0.39388003094446933</v>
      </c>
      <c r="AL172" s="20">
        <f t="shared" si="165"/>
        <v>2.144131053894927</v>
      </c>
      <c r="AM172" s="59">
        <f t="shared" si="113"/>
        <v>290.71550695487133</v>
      </c>
      <c r="AN172" s="59">
        <f ca="1">AVERAGE(OFFSET($AM$3,0,0,'Données projet'!$E$10+1,1))-AVERAGE(OFFSET($H$3,0,0,'Données projet'!$E$10+1,1))</f>
        <v>318.6615972007902</v>
      </c>
      <c r="AO172" s="59">
        <f t="shared" si="144"/>
        <v>326.82168950869504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15.974592102399306</v>
      </c>
      <c r="AV172" s="21">
        <f>EXP(-LN(2)/25)*AV171+(1-EXP(-LN(2)/25))/(LN(2)/25)*Calculateur!AQ172*Calculateur!AS172*VLOOKUP('Données projet'!$B$10,Paramètres!$A$1:$I$89,3,0)*0.475*44/12</f>
        <v>2.3486260807020489</v>
      </c>
      <c r="AW172" s="21">
        <f>EXP(-LN(2)/2)*AW171+(1-EXP(-LN(2)/2))/(LN(2)/2)*AQ172*AT172*VLOOKUP('Données projet'!$B$10,Paramètres!$A$1:$I$89,3,0)*0.475*44/12</f>
        <v>2.3460633075664042E-15</v>
      </c>
      <c r="AX172" s="21">
        <f t="shared" si="166"/>
        <v>18.323218183101357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-5.6843418860808015E-14</v>
      </c>
      <c r="BE172" s="13">
        <f>BD172*VLOOKUP('Données projet'!$B$11,Paramètres!$A$1:$I$89,3,0)*VLOOKUP('Données projet'!$B$11,Paramètres!$A$1:$I$89,5,0)</f>
        <v>-5.7639226724859328E-14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402.96916953216805</v>
      </c>
      <c r="BJ172" s="59">
        <f t="shared" si="146"/>
        <v>164.89273051331318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17.518014258409437</v>
      </c>
      <c r="BQ172" s="21">
        <f>EXP(-LN(2)/25)*BQ171+(1-EXP(-LN(2)/25))/(LN(2)/25)*Calculateur!BL172*Calculateur!BN172*VLOOKUP('Données projet'!$B$11,Paramètres!$A$1:$I$89,3,0)*0.475*44/12</f>
        <v>13.097386676653217</v>
      </c>
      <c r="BR172" s="21">
        <f>EXP(-LN(2)/2)*BR171+(1-EXP(-LN(2)/2))/(LN(2)/2)*BL172*BO172*VLOOKUP('Données projet'!$B$11,Paramètres!$A$1:$I$89,3,0)*0.475*44/12</f>
        <v>8.6362476933136265E-5</v>
      </c>
      <c r="BS172" s="22">
        <f t="shared" si="169"/>
        <v>30.615487297539584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-2.2737367544323206E-13</v>
      </c>
      <c r="BZ172" s="13">
        <f>BY172*VLOOKUP('Données projet'!$B$12,Paramètres!$A$1:$I$89,3,0)*VLOOKUP('Données projet'!$B$12,Paramètres!$A$1:$I$89,5,0)</f>
        <v>-1.3596945791505279E-13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373.61861223558259</v>
      </c>
      <c r="CE172" s="59">
        <f t="shared" si="148"/>
        <v>277.62293009761049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26.30108802556699</v>
      </c>
      <c r="CL172" s="21">
        <f>EXP(-LN(2)/25)*CL171+(1-EXP(-LN(2)/25))/(LN(2)/25)*Calculateur!CG172*Calculateur!CI172*VLOOKUP('Données projet'!$B$12,Paramètres!$A$1:$I$89,3,0)*0.475*44/12</f>
        <v>4.3872900020065337</v>
      </c>
      <c r="CM172" s="21">
        <f>EXP(-LN(2)/2)*CM171+(1-EXP(-LN(2)/2))/(LN(2)/2)*CG172*CJ172*VLOOKUP('Données projet'!$B$12,Paramètres!$A$1:$I$89,3,0)*0.475*44/12</f>
        <v>2.8424106896796688E-12</v>
      </c>
      <c r="CN172" s="22">
        <f t="shared" si="172"/>
        <v>30.688378027576366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3.979039320256561E-13</v>
      </c>
      <c r="O173" s="13">
        <f>N173*VLOOKUP('Données projet'!$B$9,Paramètres!$A$1:$I$89,3,0)*VLOOKUP('Données projet'!$B$9,Paramètres!$A$1:$I$89,5,0)</f>
        <v>3.6002347769681362E-13</v>
      </c>
      <c r="P173" s="13">
        <f t="shared" si="141"/>
        <v>4.6593569189922594E-12</v>
      </c>
      <c r="Q173" s="20">
        <f t="shared" si="162"/>
        <v>8.7420875242334695E-12</v>
      </c>
      <c r="R173" s="59">
        <f t="shared" si="109"/>
        <v>288.65398521629464</v>
      </c>
      <c r="S173" s="59">
        <f ca="1">AVERAGE(OFFSET($R$3,0,0,'Données projet'!$E$9+1,1))-AVERAGE(OFFSET($H$3,0,0,'Données projet'!$E$9+1,1))</f>
        <v>737.40414421611001</v>
      </c>
      <c r="T173" s="59">
        <f t="shared" si="142"/>
        <v>245.32893490531674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140.15842903698564</v>
      </c>
      <c r="AA173" s="21">
        <f>EXP(-LN(2)/25)*AA172+(1-EXP(-LN(2)/25))/(LN(2)/25)*Calculateur!V173*Calculateur!X173*VLOOKUP('Données projet'!$B$9,Paramètres!$A$1:$I$89,3,0)*0.475*44/12</f>
        <v>22.419911009470969</v>
      </c>
      <c r="AB173" s="21">
        <f>EXP(-LN(2)/2)*AB172+(1-EXP(-LN(2)/2))/(LN(2)/2)*V173*Y173*VLOOKUP('Données projet'!$B$9,Paramètres!$A$1:$I$89,3,0)*0.475*44/12</f>
        <v>0.25151507363891246</v>
      </c>
      <c r="AC173" s="22">
        <f t="shared" si="163"/>
        <v>162.82985512009552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1.3999999999999773</v>
      </c>
      <c r="AJ173" s="13">
        <f>AI173*VLOOKUP('Données projet'!$B$10,Paramètres!$A$1:$I$89,3,0)*VLOOKUP('Données projet'!$B$10,Paramètres!$A$1:$I$89,5,0)</f>
        <v>0.83719999999998651</v>
      </c>
      <c r="AK173" s="13">
        <f t="shared" si="164"/>
        <v>0.39388003094446933</v>
      </c>
      <c r="AL173" s="20">
        <f t="shared" si="165"/>
        <v>2.144131053894927</v>
      </c>
      <c r="AM173" s="59">
        <f t="shared" si="113"/>
        <v>290.7981162701808</v>
      </c>
      <c r="AN173" s="59">
        <f ca="1">AVERAGE(OFFSET($AM$3,0,0,'Données projet'!$E$10+1,1))-AVERAGE(OFFSET($H$3,0,0,'Données projet'!$E$10+1,1))</f>
        <v>318.6615972007902</v>
      </c>
      <c r="AO173" s="59">
        <f t="shared" si="144"/>
        <v>326.82168950869504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15.661340094810344</v>
      </c>
      <c r="AV173" s="21">
        <f>EXP(-LN(2)/25)*AV172+(1-EXP(-LN(2)/25))/(LN(2)/25)*Calculateur!AQ173*Calculateur!AS173*VLOOKUP('Données projet'!$B$10,Paramètres!$A$1:$I$89,3,0)*0.475*44/12</f>
        <v>2.2844027770163735</v>
      </c>
      <c r="AW173" s="21">
        <f>EXP(-LN(2)/2)*AW172+(1-EXP(-LN(2)/2))/(LN(2)/2)*AQ173*AT173*VLOOKUP('Données projet'!$B$10,Paramètres!$A$1:$I$89,3,0)*0.475*44/12</f>
        <v>1.6589172738731454E-15</v>
      </c>
      <c r="AX173" s="21">
        <f t="shared" si="166"/>
        <v>17.945742871826717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-5.6843418860808015E-14</v>
      </c>
      <c r="BE173" s="13">
        <f>BD173*VLOOKUP('Données projet'!$B$11,Paramètres!$A$1:$I$89,3,0)*VLOOKUP('Données projet'!$B$11,Paramètres!$A$1:$I$89,5,0)</f>
        <v>-5.7639226724859328E-14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402.96916953216805</v>
      </c>
      <c r="BJ173" s="59">
        <f t="shared" si="146"/>
        <v>164.89273051331318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17.174496683735676</v>
      </c>
      <c r="BQ173" s="21">
        <f>EXP(-LN(2)/25)*BQ172+(1-EXP(-LN(2)/25))/(LN(2)/25)*Calculateur!BL173*Calculateur!BN173*VLOOKUP('Données projet'!$B$11,Paramètres!$A$1:$I$89,3,0)*0.475*44/12</f>
        <v>12.739237949218504</v>
      </c>
      <c r="BR173" s="21">
        <f>EXP(-LN(2)/2)*BR172+(1-EXP(-LN(2)/2))/(LN(2)/2)*BL173*BO173*VLOOKUP('Données projet'!$B$11,Paramètres!$A$1:$I$89,3,0)*0.475*44/12</f>
        <v>6.1067493079487441E-5</v>
      </c>
      <c r="BS173" s="22">
        <f t="shared" si="169"/>
        <v>29.91379570044726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-2.2737367544323206E-13</v>
      </c>
      <c r="BZ173" s="13">
        <f>BY173*VLOOKUP('Données projet'!$B$12,Paramètres!$A$1:$I$89,3,0)*VLOOKUP('Données projet'!$B$12,Paramètres!$A$1:$I$89,5,0)</f>
        <v>-1.3596945791505279E-13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373.61861223558259</v>
      </c>
      <c r="CE173" s="59">
        <f t="shared" si="148"/>
        <v>277.62293009761049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25.785339731465292</v>
      </c>
      <c r="CL173" s="21">
        <f>EXP(-LN(2)/25)*CL172+(1-EXP(-LN(2)/25))/(LN(2)/25)*Calculateur!CG173*Calculateur!CI173*VLOOKUP('Données projet'!$B$12,Paramètres!$A$1:$I$89,3,0)*0.475*44/12</f>
        <v>4.2673193261841114</v>
      </c>
      <c r="CM173" s="21">
        <f>EXP(-LN(2)/2)*CM172+(1-EXP(-LN(2)/2))/(LN(2)/2)*CG173*CJ173*VLOOKUP('Données projet'!$B$12,Paramètres!$A$1:$I$89,3,0)*0.475*44/12</f>
        <v>2.0098878735896252E-12</v>
      </c>
      <c r="CN173" s="22">
        <f t="shared" si="172"/>
        <v>30.052659057651415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3.979039320256561E-13</v>
      </c>
      <c r="O174" s="13">
        <f>N174*VLOOKUP('Données projet'!$B$9,Paramètres!$A$1:$I$89,3,0)*VLOOKUP('Données projet'!$B$9,Paramètres!$A$1:$I$89,5,0)</f>
        <v>3.6002347769681362E-13</v>
      </c>
      <c r="P174" s="13">
        <f t="shared" si="141"/>
        <v>4.6593569189922594E-12</v>
      </c>
      <c r="Q174" s="20">
        <f t="shared" si="162"/>
        <v>8.7420875242334695E-12</v>
      </c>
      <c r="R174" s="59">
        <f t="shared" si="109"/>
        <v>288.73516144467027</v>
      </c>
      <c r="S174" s="59">
        <f ca="1">AVERAGE(OFFSET($R$3,0,0,'Données projet'!$E$9+1,1))-AVERAGE(OFFSET($H$3,0,0,'Données projet'!$E$9+1,1))</f>
        <v>737.40414421611001</v>
      </c>
      <c r="T174" s="59">
        <f t="shared" si="142"/>
        <v>245.32893490531674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137.4100077317708</v>
      </c>
      <c r="AA174" s="21">
        <f>EXP(-LN(2)/25)*AA173+(1-EXP(-LN(2)/25))/(LN(2)/25)*Calculateur!V174*Calculateur!X174*VLOOKUP('Données projet'!$B$9,Paramètres!$A$1:$I$89,3,0)*0.475*44/12</f>
        <v>21.806837363905107</v>
      </c>
      <c r="AB174" s="21">
        <f>EXP(-LN(2)/2)*AB173+(1-EXP(-LN(2)/2))/(LN(2)/2)*V174*Y174*VLOOKUP('Données projet'!$B$9,Paramètres!$A$1:$I$89,3,0)*0.475*44/12</f>
        <v>0.17784801414070886</v>
      </c>
      <c r="AC174" s="22">
        <f t="shared" si="163"/>
        <v>159.39469310981664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1.3999999999999773</v>
      </c>
      <c r="AJ174" s="13">
        <f>AI174*VLOOKUP('Données projet'!$B$10,Paramètres!$A$1:$I$89,3,0)*VLOOKUP('Données projet'!$B$10,Paramètres!$A$1:$I$89,5,0)</f>
        <v>0.83719999999998651</v>
      </c>
      <c r="AK174" s="13">
        <f t="shared" si="164"/>
        <v>0.39388003094446933</v>
      </c>
      <c r="AL174" s="20">
        <f t="shared" si="165"/>
        <v>2.144131053894927</v>
      </c>
      <c r="AM174" s="59">
        <f t="shared" si="113"/>
        <v>290.87929249855642</v>
      </c>
      <c r="AN174" s="59">
        <f ca="1">AVERAGE(OFFSET($AM$3,0,0,'Données projet'!$E$10+1,1))-AVERAGE(OFFSET($H$3,0,0,'Données projet'!$E$10+1,1))</f>
        <v>318.6615972007902</v>
      </c>
      <c r="AO174" s="59">
        <f t="shared" si="144"/>
        <v>326.82168950869504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15.354230768025342</v>
      </c>
      <c r="AV174" s="21">
        <f>EXP(-LN(2)/25)*AV173+(1-EXP(-LN(2)/25))/(LN(2)/25)*Calculateur!AQ174*Calculateur!AS174*VLOOKUP('Données projet'!$B$10,Paramètres!$A$1:$I$89,3,0)*0.475*44/12</f>
        <v>2.2219356629473399</v>
      </c>
      <c r="AW174" s="21">
        <f>EXP(-LN(2)/2)*AW173+(1-EXP(-LN(2)/2))/(LN(2)/2)*AQ174*AT174*VLOOKUP('Données projet'!$B$10,Paramètres!$A$1:$I$89,3,0)*0.475*44/12</f>
        <v>1.1730316537832021E-15</v>
      </c>
      <c r="AX174" s="21">
        <f t="shared" si="166"/>
        <v>17.576166430972684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-5.6843418860808015E-14</v>
      </c>
      <c r="BE174" s="13">
        <f>BD174*VLOOKUP('Données projet'!$B$11,Paramètres!$A$1:$I$89,3,0)*VLOOKUP('Données projet'!$B$11,Paramètres!$A$1:$I$89,5,0)</f>
        <v>-5.7639226724859328E-14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402.96916953216805</v>
      </c>
      <c r="BJ174" s="59">
        <f t="shared" si="146"/>
        <v>164.89273051331318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16.837715279176237</v>
      </c>
      <c r="BQ174" s="21">
        <f>EXP(-LN(2)/25)*BQ173+(1-EXP(-LN(2)/25))/(LN(2)/25)*Calculateur!BL174*Calculateur!BN174*VLOOKUP('Données projet'!$B$11,Paramètres!$A$1:$I$89,3,0)*0.475*44/12</f>
        <v>12.390882817569716</v>
      </c>
      <c r="BR174" s="21">
        <f>EXP(-LN(2)/2)*BR173+(1-EXP(-LN(2)/2))/(LN(2)/2)*BL174*BO174*VLOOKUP('Données projet'!$B$11,Paramètres!$A$1:$I$89,3,0)*0.475*44/12</f>
        <v>4.3181238466568133E-5</v>
      </c>
      <c r="BS174" s="22">
        <f t="shared" si="169"/>
        <v>29.228641277984423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-2.2737367544323206E-13</v>
      </c>
      <c r="BZ174" s="13">
        <f>BY174*VLOOKUP('Données projet'!$B$12,Paramètres!$A$1:$I$89,3,0)*VLOOKUP('Données projet'!$B$12,Paramètres!$A$1:$I$89,5,0)</f>
        <v>-1.3596945791505279E-13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373.61861223558259</v>
      </c>
      <c r="CE174" s="59">
        <f t="shared" si="148"/>
        <v>277.62293009761049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25.279704946835533</v>
      </c>
      <c r="CL174" s="21">
        <f>EXP(-LN(2)/25)*CL173+(1-EXP(-LN(2)/25))/(LN(2)/25)*Calculateur!CG174*Calculateur!CI174*VLOOKUP('Données projet'!$B$12,Paramètres!$A$1:$I$89,3,0)*0.475*44/12</f>
        <v>4.1506292548010366</v>
      </c>
      <c r="CM174" s="21">
        <f>EXP(-LN(2)/2)*CM173+(1-EXP(-LN(2)/2))/(LN(2)/2)*CG174*CJ174*VLOOKUP('Données projet'!$B$12,Paramètres!$A$1:$I$89,3,0)*0.475*44/12</f>
        <v>1.4212053448398344E-12</v>
      </c>
      <c r="CN174" s="22">
        <f t="shared" si="172"/>
        <v>29.43033420163799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3.979039320256561E-13</v>
      </c>
      <c r="O175" s="13">
        <f>N175*VLOOKUP('Données projet'!$B$9,Paramètres!$A$1:$I$89,3,0)*VLOOKUP('Données projet'!$B$9,Paramètres!$A$1:$I$89,5,0)</f>
        <v>3.6002347769681362E-13</v>
      </c>
      <c r="P175" s="13">
        <f t="shared" si="141"/>
        <v>4.6593569189922594E-12</v>
      </c>
      <c r="Q175" s="20">
        <f t="shared" si="162"/>
        <v>8.7420875242334695E-12</v>
      </c>
      <c r="R175" s="59">
        <f t="shared" si="109"/>
        <v>288.8149294469664</v>
      </c>
      <c r="S175" s="59">
        <f ca="1">AVERAGE(OFFSET($R$3,0,0,'Données projet'!$E$9+1,1))-AVERAGE(OFFSET($H$3,0,0,'Données projet'!$E$9+1,1))</f>
        <v>737.40414421611001</v>
      </c>
      <c r="T175" s="59">
        <f t="shared" si="142"/>
        <v>245.32893490531674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134.71548129197976</v>
      </c>
      <c r="AA175" s="21">
        <f>EXP(-LN(2)/25)*AA174+(1-EXP(-LN(2)/25))/(LN(2)/25)*Calculateur!V175*Calculateur!X175*VLOOKUP('Données projet'!$B$9,Paramètres!$A$1:$I$89,3,0)*0.475*44/12</f>
        <v>21.210528249417386</v>
      </c>
      <c r="AB175" s="21">
        <f>EXP(-LN(2)/2)*AB174+(1-EXP(-LN(2)/2))/(LN(2)/2)*V175*Y175*VLOOKUP('Données projet'!$B$9,Paramètres!$A$1:$I$89,3,0)*0.475*44/12</f>
        <v>0.12575753681945623</v>
      </c>
      <c r="AC175" s="22">
        <f t="shared" si="163"/>
        <v>156.05176707821661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1.3999999999999773</v>
      </c>
      <c r="AJ175" s="13">
        <f>AI175*VLOOKUP('Données projet'!$B$10,Paramètres!$A$1:$I$89,3,0)*VLOOKUP('Données projet'!$B$10,Paramètres!$A$1:$I$89,5,0)</f>
        <v>0.83719999999998651</v>
      </c>
      <c r="AK175" s="13">
        <f t="shared" si="164"/>
        <v>0.39388003094446933</v>
      </c>
      <c r="AL175" s="20">
        <f t="shared" si="165"/>
        <v>2.144131053894927</v>
      </c>
      <c r="AM175" s="59">
        <f t="shared" si="113"/>
        <v>290.95906050085256</v>
      </c>
      <c r="AN175" s="59">
        <f ca="1">AVERAGE(OFFSET($AM$3,0,0,'Données projet'!$E$10+1,1))-AVERAGE(OFFSET($H$3,0,0,'Données projet'!$E$10+1,1))</f>
        <v>318.6615972007902</v>
      </c>
      <c r="AO175" s="59">
        <f t="shared" si="144"/>
        <v>326.82168950869504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15.053143667820402</v>
      </c>
      <c r="AV175" s="21">
        <f>EXP(-LN(2)/25)*AV174+(1-EXP(-LN(2)/25))/(LN(2)/25)*Calculateur!AQ175*Calculateur!AS175*VLOOKUP('Données projet'!$B$10,Paramètres!$A$1:$I$89,3,0)*0.475*44/12</f>
        <v>2.1611767153975268</v>
      </c>
      <c r="AW175" s="21">
        <f>EXP(-LN(2)/2)*AW174+(1-EXP(-LN(2)/2))/(LN(2)/2)*AQ175*AT175*VLOOKUP('Données projet'!$B$10,Paramètres!$A$1:$I$89,3,0)*0.475*44/12</f>
        <v>8.2945863693657269E-16</v>
      </c>
      <c r="AX175" s="21">
        <f t="shared" si="166"/>
        <v>17.214320383217927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-5.6843418860808015E-14</v>
      </c>
      <c r="BE175" s="13">
        <f>BD175*VLOOKUP('Données projet'!$B$11,Paramètres!$A$1:$I$89,3,0)*VLOOKUP('Données projet'!$B$11,Paramètres!$A$1:$I$89,5,0)</f>
        <v>-5.7639226724859328E-14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402.96916953216805</v>
      </c>
      <c r="BJ175" s="59">
        <f t="shared" si="146"/>
        <v>164.89273051331318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16.507537952543835</v>
      </c>
      <c r="BQ175" s="21">
        <f>EXP(-LN(2)/25)*BQ174+(1-EXP(-LN(2)/25))/(LN(2)/25)*Calculateur!BL175*Calculateur!BN175*VLOOKUP('Données projet'!$B$11,Paramètres!$A$1:$I$89,3,0)*0.475*44/12</f>
        <v>12.052053475315065</v>
      </c>
      <c r="BR175" s="21">
        <f>EXP(-LN(2)/2)*BR174+(1-EXP(-LN(2)/2))/(LN(2)/2)*BL175*BO175*VLOOKUP('Données projet'!$B$11,Paramètres!$A$1:$I$89,3,0)*0.475*44/12</f>
        <v>3.053374653974372E-5</v>
      </c>
      <c r="BS175" s="22">
        <f t="shared" si="169"/>
        <v>28.559621961605437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-2.2737367544323206E-13</v>
      </c>
      <c r="BZ175" s="13">
        <f>BY175*VLOOKUP('Données projet'!$B$12,Paramètres!$A$1:$I$89,3,0)*VLOOKUP('Données projet'!$B$12,Paramètres!$A$1:$I$89,5,0)</f>
        <v>-1.3596945791505279E-13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373.61861223558259</v>
      </c>
      <c r="CE175" s="59">
        <f t="shared" si="148"/>
        <v>277.62293009761049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24.783985351925597</v>
      </c>
      <c r="CL175" s="21">
        <f>EXP(-LN(2)/25)*CL174+(1-EXP(-LN(2)/25))/(LN(2)/25)*Calculateur!CG175*Calculateur!CI175*VLOOKUP('Données projet'!$B$12,Paramètres!$A$1:$I$89,3,0)*0.475*44/12</f>
        <v>4.0371300795563965</v>
      </c>
      <c r="CM175" s="21">
        <f>EXP(-LN(2)/2)*CM174+(1-EXP(-LN(2)/2))/(LN(2)/2)*CG175*CJ175*VLOOKUP('Données projet'!$B$12,Paramètres!$A$1:$I$89,3,0)*0.475*44/12</f>
        <v>1.0049439367948126E-12</v>
      </c>
      <c r="CN175" s="22">
        <f t="shared" si="172"/>
        <v>28.821115431482998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3.979039320256561E-13</v>
      </c>
      <c r="O176" s="13">
        <f>N176*VLOOKUP('Données projet'!$B$9,Paramètres!$A$1:$I$89,3,0)*VLOOKUP('Données projet'!$B$9,Paramètres!$A$1:$I$89,5,0)</f>
        <v>3.6002347769681362E-13</v>
      </c>
      <c r="P176" s="13">
        <f t="shared" si="141"/>
        <v>4.6593569189922594E-12</v>
      </c>
      <c r="Q176" s="20">
        <f t="shared" si="162"/>
        <v>8.7420875242334695E-12</v>
      </c>
      <c r="R176" s="59">
        <f t="shared" si="109"/>
        <v>288.89331365275723</v>
      </c>
      <c r="S176" s="59">
        <f ca="1">AVERAGE(OFFSET($R$3,0,0,'Données projet'!$E$9+1,1))-AVERAGE(OFFSET($H$3,0,0,'Données projet'!$E$9+1,1))</f>
        <v>737.40414421611001</v>
      </c>
      <c r="T176" s="59">
        <f t="shared" si="142"/>
        <v>245.32893490531674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132.07379287217418</v>
      </c>
      <c r="AA176" s="21">
        <f>EXP(-LN(2)/25)*AA175+(1-EXP(-LN(2)/25))/(LN(2)/25)*Calculateur!V176*Calculateur!X176*VLOOKUP('Données projet'!$B$9,Paramètres!$A$1:$I$89,3,0)*0.475*44/12</f>
        <v>20.630525239023864</v>
      </c>
      <c r="AB176" s="21">
        <f>EXP(-LN(2)/2)*AB175+(1-EXP(-LN(2)/2))/(LN(2)/2)*V176*Y176*VLOOKUP('Données projet'!$B$9,Paramètres!$A$1:$I$89,3,0)*0.475*44/12</f>
        <v>8.892400707035443E-2</v>
      </c>
      <c r="AC176" s="22">
        <f t="shared" si="163"/>
        <v>152.79324211826838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1.3999999999999773</v>
      </c>
      <c r="AJ176" s="13">
        <f>AI176*VLOOKUP('Données projet'!$B$10,Paramètres!$A$1:$I$89,3,0)*VLOOKUP('Données projet'!$B$10,Paramètres!$A$1:$I$89,5,0)</f>
        <v>0.83719999999998651</v>
      </c>
      <c r="AK176" s="13">
        <f t="shared" si="164"/>
        <v>0.39388003094446933</v>
      </c>
      <c r="AL176" s="20">
        <f t="shared" si="165"/>
        <v>2.144131053894927</v>
      </c>
      <c r="AM176" s="59">
        <f t="shared" si="113"/>
        <v>291.03744470664338</v>
      </c>
      <c r="AN176" s="59">
        <f ca="1">AVERAGE(OFFSET($AM$3,0,0,'Données projet'!$E$10+1,1))-AVERAGE(OFFSET($H$3,0,0,'Données projet'!$E$10+1,1))</f>
        <v>318.6615972007902</v>
      </c>
      <c r="AO176" s="59">
        <f t="shared" si="144"/>
        <v>326.82168950869504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14.757960702005482</v>
      </c>
      <c r="AV176" s="21">
        <f>EXP(-LN(2)/25)*AV175+(1-EXP(-LN(2)/25))/(LN(2)/25)*Calculateur!AQ176*Calculateur!AS176*VLOOKUP('Données projet'!$B$10,Paramètres!$A$1:$I$89,3,0)*0.475*44/12</f>
        <v>2.1020792244636373</v>
      </c>
      <c r="AW176" s="21">
        <f>EXP(-LN(2)/2)*AW175+(1-EXP(-LN(2)/2))/(LN(2)/2)*AQ176*AT176*VLOOKUP('Données projet'!$B$10,Paramètres!$A$1:$I$89,3,0)*0.475*44/12</f>
        <v>5.8651582689160106E-16</v>
      </c>
      <c r="AX176" s="21">
        <f t="shared" si="166"/>
        <v>16.860039926469121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-5.6843418860808015E-14</v>
      </c>
      <c r="BE176" s="13">
        <f>BD176*VLOOKUP('Données projet'!$B$11,Paramètres!$A$1:$I$89,3,0)*VLOOKUP('Données projet'!$B$11,Paramètres!$A$1:$I$89,5,0)</f>
        <v>-5.7639226724859328E-14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402.96916953216805</v>
      </c>
      <c r="BJ176" s="59">
        <f t="shared" si="146"/>
        <v>164.89273051331318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16.183835201898411</v>
      </c>
      <c r="BQ176" s="21">
        <f>EXP(-LN(2)/25)*BQ175+(1-EXP(-LN(2)/25))/(LN(2)/25)*Calculateur!BL176*Calculateur!BN176*VLOOKUP('Données projet'!$B$11,Paramètres!$A$1:$I$89,3,0)*0.475*44/12</f>
        <v>11.722489439242628</v>
      </c>
      <c r="BR176" s="21">
        <f>EXP(-LN(2)/2)*BR175+(1-EXP(-LN(2)/2))/(LN(2)/2)*BL176*BO176*VLOOKUP('Données projet'!$B$11,Paramètres!$A$1:$I$89,3,0)*0.475*44/12</f>
        <v>2.1590619233284066E-5</v>
      </c>
      <c r="BS176" s="22">
        <f t="shared" si="169"/>
        <v>27.906346231760274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-2.2737367544323206E-13</v>
      </c>
      <c r="BZ176" s="13">
        <f>BY176*VLOOKUP('Données projet'!$B$12,Paramètres!$A$1:$I$89,3,0)*VLOOKUP('Données projet'!$B$12,Paramètres!$A$1:$I$89,5,0)</f>
        <v>-1.3596945791505279E-13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373.61861223558259</v>
      </c>
      <c r="CE176" s="59">
        <f t="shared" si="148"/>
        <v>277.62293009761049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24.297986515912747</v>
      </c>
      <c r="CL176" s="21">
        <f>EXP(-LN(2)/25)*CL175+(1-EXP(-LN(2)/25))/(LN(2)/25)*Calculateur!CG176*Calculateur!CI176*VLOOKUP('Données projet'!$B$12,Paramètres!$A$1:$I$89,3,0)*0.475*44/12</f>
        <v>3.9267345452274829</v>
      </c>
      <c r="CM176" s="21">
        <f>EXP(-LN(2)/2)*CM175+(1-EXP(-LN(2)/2))/(LN(2)/2)*CG176*CJ176*VLOOKUP('Données projet'!$B$12,Paramètres!$A$1:$I$89,3,0)*0.475*44/12</f>
        <v>7.1060267241991719E-13</v>
      </c>
      <c r="CN176" s="22">
        <f t="shared" si="172"/>
        <v>28.22472106114094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3.979039320256561E-13</v>
      </c>
      <c r="O177" s="13">
        <f>N177*VLOOKUP('Données projet'!$B$9,Paramètres!$A$1:$I$89,3,0)*VLOOKUP('Données projet'!$B$9,Paramètres!$A$1:$I$89,5,0)</f>
        <v>3.6002347769681362E-13</v>
      </c>
      <c r="P177" s="13">
        <f t="shared" si="141"/>
        <v>4.6593569189922594E-12</v>
      </c>
      <c r="Q177" s="20">
        <f t="shared" si="162"/>
        <v>8.7420875242334695E-12</v>
      </c>
      <c r="R177" s="59">
        <f t="shared" si="109"/>
        <v>288.97033806781849</v>
      </c>
      <c r="S177" s="59">
        <f ca="1">AVERAGE(OFFSET($R$3,0,0,'Données projet'!$E$9+1,1))-AVERAGE(OFFSET($H$3,0,0,'Données projet'!$E$9+1,1))</f>
        <v>737.40414421611001</v>
      </c>
      <c r="T177" s="59">
        <f t="shared" si="142"/>
        <v>245.32893490531674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129.48390635101015</v>
      </c>
      <c r="AA177" s="21">
        <f>EXP(-LN(2)/25)*AA176+(1-EXP(-LN(2)/25))/(LN(2)/25)*Calculateur!V177*Calculateur!X177*VLOOKUP('Données projet'!$B$9,Paramètres!$A$1:$I$89,3,0)*0.475*44/12</f>
        <v>20.066382441450585</v>
      </c>
      <c r="AB177" s="21">
        <f>EXP(-LN(2)/2)*AB176+(1-EXP(-LN(2)/2))/(LN(2)/2)*V177*Y177*VLOOKUP('Données projet'!$B$9,Paramètres!$A$1:$I$89,3,0)*0.475*44/12</f>
        <v>6.2878768409728114E-2</v>
      </c>
      <c r="AC177" s="22">
        <f t="shared" si="163"/>
        <v>149.61316756087044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1.3999999999999773</v>
      </c>
      <c r="AJ177" s="13">
        <f>AI177*VLOOKUP('Données projet'!$B$10,Paramètres!$A$1:$I$89,3,0)*VLOOKUP('Données projet'!$B$10,Paramètres!$A$1:$I$89,5,0)</f>
        <v>0.83719999999998651</v>
      </c>
      <c r="AK177" s="13">
        <f t="shared" si="164"/>
        <v>0.39388003094446933</v>
      </c>
      <c r="AL177" s="20">
        <f t="shared" si="165"/>
        <v>2.144131053894927</v>
      </c>
      <c r="AM177" s="59">
        <f t="shared" si="113"/>
        <v>291.11446912170464</v>
      </c>
      <c r="AN177" s="59">
        <f ca="1">AVERAGE(OFFSET($AM$3,0,0,'Données projet'!$E$10+1,1))-AVERAGE(OFFSET($H$3,0,0,'Données projet'!$E$10+1,1))</f>
        <v>318.6615972007902</v>
      </c>
      <c r="AO177" s="59">
        <f t="shared" si="144"/>
        <v>326.82168950869504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14.468566094106361</v>
      </c>
      <c r="AV177" s="21">
        <f>EXP(-LN(2)/25)*AV176+(1-EXP(-LN(2)/25))/(LN(2)/25)*Calculateur!AQ177*Calculateur!AS177*VLOOKUP('Données projet'!$B$10,Paramètres!$A$1:$I$89,3,0)*0.475*44/12</f>
        <v>2.044597757527137</v>
      </c>
      <c r="AW177" s="21">
        <f>EXP(-LN(2)/2)*AW176+(1-EXP(-LN(2)/2))/(LN(2)/2)*AQ177*AT177*VLOOKUP('Données projet'!$B$10,Paramètres!$A$1:$I$89,3,0)*0.475*44/12</f>
        <v>4.1472931846828634E-16</v>
      </c>
      <c r="AX177" s="21">
        <f t="shared" si="166"/>
        <v>16.513163851633497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-5.6843418860808015E-14</v>
      </c>
      <c r="BE177" s="13">
        <f>BD177*VLOOKUP('Données projet'!$B$11,Paramètres!$A$1:$I$89,3,0)*VLOOKUP('Données projet'!$B$11,Paramètres!$A$1:$I$89,5,0)</f>
        <v>-5.7639226724859328E-14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402.96916953216805</v>
      </c>
      <c r="BJ177" s="59">
        <f t="shared" si="146"/>
        <v>164.89273051331318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15.86648006475396</v>
      </c>
      <c r="BQ177" s="21">
        <f>EXP(-LN(2)/25)*BQ176+(1-EXP(-LN(2)/25))/(LN(2)/25)*Calculateur!BL177*Calculateur!BN177*VLOOKUP('Données projet'!$B$11,Paramètres!$A$1:$I$89,3,0)*0.475*44/12</f>
        <v>11.401937349067611</v>
      </c>
      <c r="BR177" s="21">
        <f>EXP(-LN(2)/2)*BR176+(1-EXP(-LN(2)/2))/(LN(2)/2)*BL177*BO177*VLOOKUP('Données projet'!$B$11,Paramètres!$A$1:$I$89,3,0)*0.475*44/12</f>
        <v>1.526687326987186E-5</v>
      </c>
      <c r="BS177" s="22">
        <f t="shared" si="169"/>
        <v>27.26843268069484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-2.2737367544323206E-13</v>
      </c>
      <c r="BZ177" s="13">
        <f>BY177*VLOOKUP('Données projet'!$B$12,Paramètres!$A$1:$I$89,3,0)*VLOOKUP('Données projet'!$B$12,Paramètres!$A$1:$I$89,5,0)</f>
        <v>-1.3596945791505279E-13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373.61861223558259</v>
      </c>
      <c r="CE177" s="59">
        <f t="shared" si="148"/>
        <v>277.62293009761049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23.82151782064409</v>
      </c>
      <c r="CL177" s="21">
        <f>EXP(-LN(2)/25)*CL176+(1-EXP(-LN(2)/25))/(LN(2)/25)*Calculateur!CG177*Calculateur!CI177*VLOOKUP('Données projet'!$B$12,Paramètres!$A$1:$I$89,3,0)*0.475*44/12</f>
        <v>3.8193577825902425</v>
      </c>
      <c r="CM177" s="21">
        <f>EXP(-LN(2)/2)*CM176+(1-EXP(-LN(2)/2))/(LN(2)/2)*CG177*CJ177*VLOOKUP('Données projet'!$B$12,Paramètres!$A$1:$I$89,3,0)*0.475*44/12</f>
        <v>5.0247196839740629E-13</v>
      </c>
      <c r="CN177" s="22">
        <f t="shared" si="172"/>
        <v>27.640875603234832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3.979039320256561E-13</v>
      </c>
      <c r="O178" s="13">
        <f>N178*VLOOKUP('Données projet'!$B$9,Paramètres!$A$1:$I$89,3,0)*VLOOKUP('Données projet'!$B$9,Paramètres!$A$1:$I$89,5,0)</f>
        <v>3.6002347769681362E-13</v>
      </c>
      <c r="P178" s="13">
        <f t="shared" si="141"/>
        <v>4.6593569189922594E-12</v>
      </c>
      <c r="Q178" s="20">
        <f t="shared" si="162"/>
        <v>8.7420875242334695E-12</v>
      </c>
      <c r="R178" s="59">
        <f t="shared" si="109"/>
        <v>289.04602628147916</v>
      </c>
      <c r="S178" s="59">
        <f ca="1">AVERAGE(OFFSET($R$3,0,0,'Données projet'!$E$9+1,1))-AVERAGE(OFFSET($H$3,0,0,'Données projet'!$E$9+1,1))</f>
        <v>737.40414421611001</v>
      </c>
      <c r="T178" s="59">
        <f t="shared" si="142"/>
        <v>245.32893490531674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126.94480592485134</v>
      </c>
      <c r="AA178" s="21">
        <f>EXP(-LN(2)/25)*AA177+(1-EXP(-LN(2)/25))/(LN(2)/25)*Calculateur!V178*Calculateur!X178*VLOOKUP('Données projet'!$B$9,Paramètres!$A$1:$I$89,3,0)*0.475*44/12</f>
        <v>19.517666158343928</v>
      </c>
      <c r="AB178" s="21">
        <f>EXP(-LN(2)/2)*AB177+(1-EXP(-LN(2)/2))/(LN(2)/2)*V178*Y178*VLOOKUP('Données projet'!$B$9,Paramètres!$A$1:$I$89,3,0)*0.475*44/12</f>
        <v>4.4462003535177215E-2</v>
      </c>
      <c r="AC178" s="22">
        <f t="shared" si="163"/>
        <v>146.50693408673047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1.3999999999999773</v>
      </c>
      <c r="AJ178" s="13">
        <f>AI178*VLOOKUP('Données projet'!$B$10,Paramètres!$A$1:$I$89,3,0)*VLOOKUP('Données projet'!$B$10,Paramètres!$A$1:$I$89,5,0)</f>
        <v>0.83719999999998651</v>
      </c>
      <c r="AK178" s="13">
        <f t="shared" si="164"/>
        <v>0.39388003094446933</v>
      </c>
      <c r="AL178" s="20">
        <f t="shared" si="165"/>
        <v>2.144131053894927</v>
      </c>
      <c r="AM178" s="59">
        <f t="shared" si="113"/>
        <v>291.19015733536531</v>
      </c>
      <c r="AN178" s="59">
        <f ca="1">AVERAGE(OFFSET($AM$3,0,0,'Données projet'!$E$10+1,1))-AVERAGE(OFFSET($H$3,0,0,'Données projet'!$E$10+1,1))</f>
        <v>318.6615972007902</v>
      </c>
      <c r="AO178" s="59">
        <f t="shared" si="144"/>
        <v>326.82168950869504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14.184846337954861</v>
      </c>
      <c r="AV178" s="21">
        <f>EXP(-LN(2)/25)*AV177+(1-EXP(-LN(2)/25))/(LN(2)/25)*Calculateur!AQ178*Calculateur!AS178*VLOOKUP('Données projet'!$B$10,Paramètres!$A$1:$I$89,3,0)*0.475*44/12</f>
        <v>1.9886881243268344</v>
      </c>
      <c r="AW178" s="21">
        <f>EXP(-LN(2)/2)*AW177+(1-EXP(-LN(2)/2))/(LN(2)/2)*AQ178*AT178*VLOOKUP('Données projet'!$B$10,Paramètres!$A$1:$I$89,3,0)*0.475*44/12</f>
        <v>2.9325791344580053E-16</v>
      </c>
      <c r="AX178" s="21">
        <f t="shared" si="166"/>
        <v>16.173534462281694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-5.6843418860808015E-14</v>
      </c>
      <c r="BE178" s="13">
        <f>BD178*VLOOKUP('Données projet'!$B$11,Paramètres!$A$1:$I$89,3,0)*VLOOKUP('Données projet'!$B$11,Paramètres!$A$1:$I$89,5,0)</f>
        <v>-5.7639226724859328E-14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402.96916953216805</v>
      </c>
      <c r="BJ178" s="59">
        <f t="shared" si="146"/>
        <v>164.89273051331318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15.55534806828139</v>
      </c>
      <c r="BQ178" s="21">
        <f>EXP(-LN(2)/25)*BQ177+(1-EXP(-LN(2)/25))/(LN(2)/25)*Calculateur!BL178*Calculateur!BN178*VLOOKUP('Données projet'!$B$11,Paramètres!$A$1:$I$89,3,0)*0.475*44/12</f>
        <v>11.090150772655532</v>
      </c>
      <c r="BR178" s="21">
        <f>EXP(-LN(2)/2)*BR177+(1-EXP(-LN(2)/2))/(LN(2)/2)*BL178*BO178*VLOOKUP('Données projet'!$B$11,Paramètres!$A$1:$I$89,3,0)*0.475*44/12</f>
        <v>1.0795309616642033E-5</v>
      </c>
      <c r="BS178" s="22">
        <f t="shared" si="169"/>
        <v>26.64550963624654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-2.2737367544323206E-13</v>
      </c>
      <c r="BZ178" s="13">
        <f>BY178*VLOOKUP('Données projet'!$B$12,Paramètres!$A$1:$I$89,3,0)*VLOOKUP('Données projet'!$B$12,Paramètres!$A$1:$I$89,5,0)</f>
        <v>-1.3596945791505279E-13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373.61861223558259</v>
      </c>
      <c r="CE178" s="59">
        <f t="shared" si="148"/>
        <v>277.62293009761049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23.35439238587244</v>
      </c>
      <c r="CL178" s="21">
        <f>EXP(-LN(2)/25)*CL177+(1-EXP(-LN(2)/25))/(LN(2)/25)*Calculateur!CG178*Calculateur!CI178*VLOOKUP('Données projet'!$B$12,Paramètres!$A$1:$I$89,3,0)*0.475*44/12</f>
        <v>3.7149172431740158</v>
      </c>
      <c r="CM178" s="21">
        <f>EXP(-LN(2)/2)*CM177+(1-EXP(-LN(2)/2))/(LN(2)/2)*CG178*CJ178*VLOOKUP('Données projet'!$B$12,Paramètres!$A$1:$I$89,3,0)*0.475*44/12</f>
        <v>3.553013362099586E-13</v>
      </c>
      <c r="CN178" s="22">
        <f t="shared" si="172"/>
        <v>27.069309629046813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3.979039320256561E-13</v>
      </c>
      <c r="O179" s="13">
        <f>N179*VLOOKUP('Données projet'!$B$9,Paramètres!$A$1:$I$89,3,0)*VLOOKUP('Données projet'!$B$9,Paramètres!$A$1:$I$89,5,0)</f>
        <v>3.6002347769681362E-13</v>
      </c>
      <c r="P179" s="13">
        <f t="shared" si="141"/>
        <v>4.6593569189922594E-12</v>
      </c>
      <c r="Q179" s="20">
        <f t="shared" si="162"/>
        <v>8.7420875242334695E-12</v>
      </c>
      <c r="R179" s="59">
        <f t="shared" si="109"/>
        <v>289.12040147384636</v>
      </c>
      <c r="S179" s="59">
        <f ca="1">AVERAGE(OFFSET($R$3,0,0,'Données projet'!$E$9+1,1))-AVERAGE(OFFSET($H$3,0,0,'Données projet'!$E$9+1,1))</f>
        <v>737.40414421611001</v>
      </c>
      <c r="T179" s="59">
        <f t="shared" si="142"/>
        <v>245.32893490531674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124.45549570935117</v>
      </c>
      <c r="AA179" s="21">
        <f>EXP(-LN(2)/25)*AA178+(1-EXP(-LN(2)/25))/(LN(2)/25)*Calculateur!V179*Calculateur!X179*VLOOKUP('Données projet'!$B$9,Paramètres!$A$1:$I$89,3,0)*0.475*44/12</f>
        <v>18.983954550854559</v>
      </c>
      <c r="AB179" s="21">
        <f>EXP(-LN(2)/2)*AB178+(1-EXP(-LN(2)/2))/(LN(2)/2)*V179*Y179*VLOOKUP('Données projet'!$B$9,Paramètres!$A$1:$I$89,3,0)*0.475*44/12</f>
        <v>3.1439384204864057E-2</v>
      </c>
      <c r="AC179" s="22">
        <f t="shared" si="163"/>
        <v>143.47088964441059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1.3999999999999773</v>
      </c>
      <c r="AJ179" s="13">
        <f>AI179*VLOOKUP('Données projet'!$B$10,Paramètres!$A$1:$I$89,3,0)*VLOOKUP('Données projet'!$B$10,Paramètres!$A$1:$I$89,5,0)</f>
        <v>0.83719999999998651</v>
      </c>
      <c r="AK179" s="13">
        <f t="shared" si="164"/>
        <v>0.39388003094446933</v>
      </c>
      <c r="AL179" s="20">
        <f t="shared" si="165"/>
        <v>2.144131053894927</v>
      </c>
      <c r="AM179" s="59">
        <f t="shared" si="113"/>
        <v>291.26453252773251</v>
      </c>
      <c r="AN179" s="59">
        <f ca="1">AVERAGE(OFFSET($AM$3,0,0,'Données projet'!$E$10+1,1))-AVERAGE(OFFSET($H$3,0,0,'Données projet'!$E$10+1,1))</f>
        <v>318.6615972007902</v>
      </c>
      <c r="AO179" s="59">
        <f t="shared" si="144"/>
        <v>326.82168950869504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13.906690153169528</v>
      </c>
      <c r="AV179" s="21">
        <f>EXP(-LN(2)/25)*AV178+(1-EXP(-LN(2)/25))/(LN(2)/25)*Calculateur!AQ179*Calculateur!AS179*VLOOKUP('Données projet'!$B$10,Paramètres!$A$1:$I$89,3,0)*0.475*44/12</f>
        <v>1.9343073429865538</v>
      </c>
      <c r="AW179" s="21">
        <f>EXP(-LN(2)/2)*AW178+(1-EXP(-LN(2)/2))/(LN(2)/2)*AQ179*AT179*VLOOKUP('Données projet'!$B$10,Paramètres!$A$1:$I$89,3,0)*0.475*44/12</f>
        <v>2.0736465923414317E-16</v>
      </c>
      <c r="AX179" s="21">
        <f t="shared" si="166"/>
        <v>15.840997496156081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-5.6843418860808015E-14</v>
      </c>
      <c r="BE179" s="13">
        <f>BD179*VLOOKUP('Données projet'!$B$11,Paramètres!$A$1:$I$89,3,0)*VLOOKUP('Données projet'!$B$11,Paramètres!$A$1:$I$89,5,0)</f>
        <v>-5.7639226724859328E-14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402.96916953216805</v>
      </c>
      <c r="BJ179" s="59">
        <f t="shared" si="146"/>
        <v>164.89273051331318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15.250317180487869</v>
      </c>
      <c r="BQ179" s="21">
        <f>EXP(-LN(2)/25)*BQ178+(1-EXP(-LN(2)/25))/(LN(2)/25)*Calculateur!BL179*Calculateur!BN179*VLOOKUP('Données projet'!$B$11,Paramètres!$A$1:$I$89,3,0)*0.475*44/12</f>
        <v>10.786890016571585</v>
      </c>
      <c r="BR179" s="21">
        <f>EXP(-LN(2)/2)*BR178+(1-EXP(-LN(2)/2))/(LN(2)/2)*BL179*BO179*VLOOKUP('Données projet'!$B$11,Paramètres!$A$1:$I$89,3,0)*0.475*44/12</f>
        <v>7.6334366349359301E-6</v>
      </c>
      <c r="BS179" s="22">
        <f t="shared" si="169"/>
        <v>26.037214830496087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-2.2737367544323206E-13</v>
      </c>
      <c r="BZ179" s="13">
        <f>BY179*VLOOKUP('Données projet'!$B$12,Paramètres!$A$1:$I$89,3,0)*VLOOKUP('Données projet'!$B$12,Paramètres!$A$1:$I$89,5,0)</f>
        <v>-1.3596945791505279E-13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373.61861223558259</v>
      </c>
      <c r="CE179" s="59">
        <f t="shared" si="148"/>
        <v>277.62293009761049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22.896426995958283</v>
      </c>
      <c r="CL179" s="21">
        <f>EXP(-LN(2)/25)*CL178+(1-EXP(-LN(2)/25))/(LN(2)/25)*Calculateur!CG179*Calculateur!CI179*VLOOKUP('Données projet'!$B$12,Paramètres!$A$1:$I$89,3,0)*0.475*44/12</f>
        <v>3.6133326358004152</v>
      </c>
      <c r="CM179" s="21">
        <f>EXP(-LN(2)/2)*CM178+(1-EXP(-LN(2)/2))/(LN(2)/2)*CG179*CJ179*VLOOKUP('Données projet'!$B$12,Paramètres!$A$1:$I$89,3,0)*0.475*44/12</f>
        <v>2.5123598419870315E-13</v>
      </c>
      <c r="CN179" s="22">
        <f t="shared" si="172"/>
        <v>26.50975963175895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3.979039320256561E-13</v>
      </c>
      <c r="O180" s="13">
        <f>N180*VLOOKUP('Données projet'!$B$9,Paramètres!$A$1:$I$89,3,0)*VLOOKUP('Données projet'!$B$9,Paramètres!$A$1:$I$89,5,0)</f>
        <v>3.6002347769681362E-13</v>
      </c>
      <c r="P180" s="13">
        <f t="shared" si="141"/>
        <v>4.6593569189922594E-12</v>
      </c>
      <c r="Q180" s="20">
        <f t="shared" si="162"/>
        <v>8.7420875242334695E-12</v>
      </c>
      <c r="R180" s="59">
        <f t="shared" si="109"/>
        <v>289.19348642290402</v>
      </c>
      <c r="S180" s="59">
        <f ca="1">AVERAGE(OFFSET($R$3,0,0,'Données projet'!$E$9+1,1))-AVERAGE(OFFSET($H$3,0,0,'Données projet'!$E$9+1,1))</f>
        <v>737.40414421611001</v>
      </c>
      <c r="T180" s="59">
        <f t="shared" si="142"/>
        <v>245.32893490531674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122.01499934884765</v>
      </c>
      <c r="AA180" s="21">
        <f>EXP(-LN(2)/25)*AA179+(1-EXP(-LN(2)/25))/(LN(2)/25)*Calculateur!V180*Calculateur!X180*VLOOKUP('Données projet'!$B$9,Paramètres!$A$1:$I$89,3,0)*0.475*44/12</f>
        <v>18.464837315338659</v>
      </c>
      <c r="AB180" s="21">
        <f>EXP(-LN(2)/2)*AB179+(1-EXP(-LN(2)/2))/(LN(2)/2)*V180*Y180*VLOOKUP('Données projet'!$B$9,Paramètres!$A$1:$I$89,3,0)*0.475*44/12</f>
        <v>2.2231001767588607E-2</v>
      </c>
      <c r="AC180" s="22">
        <f t="shared" si="163"/>
        <v>140.50206766595389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1.3999999999999773</v>
      </c>
      <c r="AJ180" s="13">
        <f>AI180*VLOOKUP('Données projet'!$B$10,Paramètres!$A$1:$I$89,3,0)*VLOOKUP('Données projet'!$B$10,Paramètres!$A$1:$I$89,5,0)</f>
        <v>0.83719999999998651</v>
      </c>
      <c r="AK180" s="13">
        <f t="shared" si="164"/>
        <v>0.39388003094446933</v>
      </c>
      <c r="AL180" s="20">
        <f t="shared" si="165"/>
        <v>2.144131053894927</v>
      </c>
      <c r="AM180" s="59">
        <f t="shared" si="113"/>
        <v>291.33761747679017</v>
      </c>
      <c r="AN180" s="59">
        <f ca="1">AVERAGE(OFFSET($AM$3,0,0,'Données projet'!$E$10+1,1))-AVERAGE(OFFSET($H$3,0,0,'Données projet'!$E$10+1,1))</f>
        <v>318.6615972007902</v>
      </c>
      <c r="AO180" s="59">
        <f t="shared" si="144"/>
        <v>326.82168950869504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13.633988441509315</v>
      </c>
      <c r="AV180" s="21">
        <f>EXP(-LN(2)/25)*AV179+(1-EXP(-LN(2)/25))/(LN(2)/25)*Calculateur!AQ180*Calculateur!AS180*VLOOKUP('Données projet'!$B$10,Paramètres!$A$1:$I$89,3,0)*0.475*44/12</f>
        <v>1.8814136069717842</v>
      </c>
      <c r="AW180" s="21">
        <f>EXP(-LN(2)/2)*AW179+(1-EXP(-LN(2)/2))/(LN(2)/2)*AQ180*AT180*VLOOKUP('Données projet'!$B$10,Paramètres!$A$1:$I$89,3,0)*0.475*44/12</f>
        <v>1.4662895672290027E-16</v>
      </c>
      <c r="AX180" s="21">
        <f t="shared" si="166"/>
        <v>15.5154020484811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-5.6843418860808015E-14</v>
      </c>
      <c r="BE180" s="13">
        <f>BD180*VLOOKUP('Données projet'!$B$11,Paramètres!$A$1:$I$89,3,0)*VLOOKUP('Données projet'!$B$11,Paramètres!$A$1:$I$89,5,0)</f>
        <v>-5.7639226724859328E-14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402.96916953216805</v>
      </c>
      <c r="BJ180" s="59">
        <f t="shared" si="146"/>
        <v>164.89273051331318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14.951267762353508</v>
      </c>
      <c r="BQ180" s="21">
        <f>EXP(-LN(2)/25)*BQ179+(1-EXP(-LN(2)/25))/(LN(2)/25)*Calculateur!BL180*Calculateur!BN180*VLOOKUP('Données projet'!$B$11,Paramètres!$A$1:$I$89,3,0)*0.475*44/12</f>
        <v>10.491921941810542</v>
      </c>
      <c r="BR180" s="21">
        <f>EXP(-LN(2)/2)*BR179+(1-EXP(-LN(2)/2))/(LN(2)/2)*BL180*BO180*VLOOKUP('Données projet'!$B$11,Paramètres!$A$1:$I$89,3,0)*0.475*44/12</f>
        <v>5.3976548083210166E-6</v>
      </c>
      <c r="BS180" s="22">
        <f t="shared" si="169"/>
        <v>25.443195101818855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-2.2737367544323206E-13</v>
      </c>
      <c r="BZ180" s="13">
        <f>BY180*VLOOKUP('Données projet'!$B$12,Paramètres!$A$1:$I$89,3,0)*VLOOKUP('Données projet'!$B$12,Paramètres!$A$1:$I$89,5,0)</f>
        <v>-1.3596945791505279E-13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373.61861223558259</v>
      </c>
      <c r="CE180" s="59">
        <f t="shared" si="148"/>
        <v>277.62293009761049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22.447442028009036</v>
      </c>
      <c r="CL180" s="21">
        <f>EXP(-LN(2)/25)*CL179+(1-EXP(-LN(2)/25))/(LN(2)/25)*Calculateur!CG180*Calculateur!CI180*VLOOKUP('Données projet'!$B$12,Paramètres!$A$1:$I$89,3,0)*0.475*44/12</f>
        <v>3.5145258648575477</v>
      </c>
      <c r="CM180" s="21">
        <f>EXP(-LN(2)/2)*CM179+(1-EXP(-LN(2)/2))/(LN(2)/2)*CG180*CJ180*VLOOKUP('Données projet'!$B$12,Paramètres!$A$1:$I$89,3,0)*0.475*44/12</f>
        <v>1.776506681049793E-13</v>
      </c>
      <c r="CN180" s="22">
        <f t="shared" si="172"/>
        <v>25.96196789286676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3.979039320256561E-13</v>
      </c>
      <c r="O181" s="13">
        <f>N181*VLOOKUP('Données projet'!$B$9,Paramètres!$A$1:$I$89,3,0)*VLOOKUP('Données projet'!$B$9,Paramètres!$A$1:$I$89,5,0)</f>
        <v>3.6002347769681362E-13</v>
      </c>
      <c r="P181" s="13">
        <f t="shared" si="141"/>
        <v>4.6593569189922594E-12</v>
      </c>
      <c r="Q181" s="20">
        <f t="shared" si="162"/>
        <v>8.7420875242334695E-12</v>
      </c>
      <c r="R181" s="59">
        <f t="shared" si="109"/>
        <v>289.26530351148892</v>
      </c>
      <c r="S181" s="59">
        <f ca="1">AVERAGE(OFFSET($R$3,0,0,'Données projet'!$E$9+1,1))-AVERAGE(OFFSET($H$3,0,0,'Données projet'!$E$9+1,1))</f>
        <v>737.40414421611001</v>
      </c>
      <c r="T181" s="59">
        <f t="shared" si="142"/>
        <v>245.32893490531674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119.62235963341782</v>
      </c>
      <c r="AA181" s="21">
        <f>EXP(-LN(2)/25)*AA180+(1-EXP(-LN(2)/25))/(LN(2)/25)*Calculateur!V181*Calculateur!X181*VLOOKUP('Données projet'!$B$9,Paramètres!$A$1:$I$89,3,0)*0.475*44/12</f>
        <v>17.959915367927131</v>
      </c>
      <c r="AB181" s="21">
        <f>EXP(-LN(2)/2)*AB180+(1-EXP(-LN(2)/2))/(LN(2)/2)*V181*Y181*VLOOKUP('Données projet'!$B$9,Paramètres!$A$1:$I$89,3,0)*0.475*44/12</f>
        <v>1.5719692102432029E-2</v>
      </c>
      <c r="AC181" s="22">
        <f t="shared" si="163"/>
        <v>137.59799469344739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1.3999999999999773</v>
      </c>
      <c r="AJ181" s="13">
        <f>AI181*VLOOKUP('Données projet'!$B$10,Paramètres!$A$1:$I$89,3,0)*VLOOKUP('Données projet'!$B$10,Paramètres!$A$1:$I$89,5,0)</f>
        <v>0.83719999999998651</v>
      </c>
      <c r="AK181" s="13">
        <f t="shared" si="164"/>
        <v>0.39388003094446933</v>
      </c>
      <c r="AL181" s="20">
        <f t="shared" si="165"/>
        <v>2.144131053894927</v>
      </c>
      <c r="AM181" s="59">
        <f t="shared" si="113"/>
        <v>291.40943456537508</v>
      </c>
      <c r="AN181" s="59">
        <f ca="1">AVERAGE(OFFSET($AM$3,0,0,'Données projet'!$E$10+1,1))-AVERAGE(OFFSET($H$3,0,0,'Données projet'!$E$10+1,1))</f>
        <v>318.6615972007902</v>
      </c>
      <c r="AO181" s="59">
        <f t="shared" si="144"/>
        <v>326.82168950869504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13.366634244083139</v>
      </c>
      <c r="AV181" s="21">
        <f>EXP(-LN(2)/25)*AV180+(1-EXP(-LN(2)/25))/(LN(2)/25)*Calculateur!AQ181*Calculateur!AS181*VLOOKUP('Données projet'!$B$10,Paramètres!$A$1:$I$89,3,0)*0.475*44/12</f>
        <v>1.8299662529498992</v>
      </c>
      <c r="AW181" s="21">
        <f>EXP(-LN(2)/2)*AW180+(1-EXP(-LN(2)/2))/(LN(2)/2)*AQ181*AT181*VLOOKUP('Données projet'!$B$10,Paramètres!$A$1:$I$89,3,0)*0.475*44/12</f>
        <v>1.0368232961707159E-16</v>
      </c>
      <c r="AX181" s="21">
        <f t="shared" si="166"/>
        <v>15.196600497033039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-5.6843418860808015E-14</v>
      </c>
      <c r="BE181" s="13">
        <f>BD181*VLOOKUP('Données projet'!$B$11,Paramètres!$A$1:$I$89,3,0)*VLOOKUP('Données projet'!$B$11,Paramètres!$A$1:$I$89,5,0)</f>
        <v>-5.7639226724859328E-14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402.96916953216805</v>
      </c>
      <c r="BJ181" s="59">
        <f t="shared" si="146"/>
        <v>164.89273051331318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14.658082520906627</v>
      </c>
      <c r="BQ181" s="21">
        <f>EXP(-LN(2)/25)*BQ180+(1-EXP(-LN(2)/25))/(LN(2)/25)*Calculateur!BL181*Calculateur!BN181*VLOOKUP('Données projet'!$B$11,Paramètres!$A$1:$I$89,3,0)*0.475*44/12</f>
        <v>10.205019784565538</v>
      </c>
      <c r="BR181" s="21">
        <f>EXP(-LN(2)/2)*BR180+(1-EXP(-LN(2)/2))/(LN(2)/2)*BL181*BO181*VLOOKUP('Données projet'!$B$11,Paramètres!$A$1:$I$89,3,0)*0.475*44/12</f>
        <v>3.816718317467965E-6</v>
      </c>
      <c r="BS181" s="22">
        <f t="shared" si="169"/>
        <v>24.863106122190484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-2.2737367544323206E-13</v>
      </c>
      <c r="BZ181" s="13">
        <f>BY181*VLOOKUP('Données projet'!$B$12,Paramètres!$A$1:$I$89,3,0)*VLOOKUP('Données projet'!$B$12,Paramètres!$A$1:$I$89,5,0)</f>
        <v>-1.3596945791505279E-13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373.61861223558259</v>
      </c>
      <c r="CE181" s="59">
        <f t="shared" si="148"/>
        <v>277.62293009761049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22.007261381427483</v>
      </c>
      <c r="CL181" s="21">
        <f>EXP(-LN(2)/25)*CL180+(1-EXP(-LN(2)/25))/(LN(2)/25)*Calculateur!CG181*Calculateur!CI181*VLOOKUP('Données projet'!$B$12,Paramètres!$A$1:$I$89,3,0)*0.475*44/12</f>
        <v>3.4184209702621353</v>
      </c>
      <c r="CM181" s="21">
        <f>EXP(-LN(2)/2)*CM180+(1-EXP(-LN(2)/2))/(LN(2)/2)*CG181*CJ181*VLOOKUP('Données projet'!$B$12,Paramètres!$A$1:$I$89,3,0)*0.475*44/12</f>
        <v>1.2561799209935157E-13</v>
      </c>
      <c r="CN181" s="22">
        <f t="shared" si="172"/>
        <v>25.425682351689744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3.979039320256561E-13</v>
      </c>
      <c r="O182" s="13">
        <f>N182*VLOOKUP('Données projet'!$B$9,Paramètres!$A$1:$I$89,3,0)*VLOOKUP('Données projet'!$B$9,Paramètres!$A$1:$I$89,5,0)</f>
        <v>3.6002347769681362E-13</v>
      </c>
      <c r="P182" s="13">
        <f t="shared" si="141"/>
        <v>4.6593569189922594E-12</v>
      </c>
      <c r="Q182" s="20">
        <f t="shared" si="162"/>
        <v>8.7420875242334695E-12</v>
      </c>
      <c r="R182" s="59">
        <f t="shared" si="109"/>
        <v>289.33587473414588</v>
      </c>
      <c r="S182" s="59">
        <f ca="1">AVERAGE(OFFSET($R$3,0,0,'Données projet'!$E$9+1,1))-AVERAGE(OFFSET($H$3,0,0,'Données projet'!$E$9+1,1))</f>
        <v>737.40414421611001</v>
      </c>
      <c r="T182" s="59">
        <f t="shared" si="142"/>
        <v>245.32893490531674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117.27663812344143</v>
      </c>
      <c r="AA182" s="21">
        <f>EXP(-LN(2)/25)*AA181+(1-EXP(-LN(2)/25))/(LN(2)/25)*Calculateur!V182*Calculateur!X182*VLOOKUP('Données projet'!$B$9,Paramètres!$A$1:$I$89,3,0)*0.475*44/12</f>
        <v>17.468800537720263</v>
      </c>
      <c r="AB182" s="21">
        <f>EXP(-LN(2)/2)*AB181+(1-EXP(-LN(2)/2))/(LN(2)/2)*V182*Y182*VLOOKUP('Données projet'!$B$9,Paramètres!$A$1:$I$89,3,0)*0.475*44/12</f>
        <v>1.1115500883794304E-2</v>
      </c>
      <c r="AC182" s="22">
        <f t="shared" si="163"/>
        <v>134.75655416204549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1.3999999999999773</v>
      </c>
      <c r="AJ182" s="13">
        <f>AI182*VLOOKUP('Données projet'!$B$10,Paramètres!$A$1:$I$89,3,0)*VLOOKUP('Données projet'!$B$10,Paramètres!$A$1:$I$89,5,0)</f>
        <v>0.83719999999998651</v>
      </c>
      <c r="AK182" s="13">
        <f t="shared" si="164"/>
        <v>0.39388003094446933</v>
      </c>
      <c r="AL182" s="20">
        <f t="shared" si="165"/>
        <v>2.144131053894927</v>
      </c>
      <c r="AM182" s="59">
        <f t="shared" si="113"/>
        <v>291.48000578803203</v>
      </c>
      <c r="AN182" s="59">
        <f ca="1">AVERAGE(OFFSET($AM$3,0,0,'Données projet'!$E$10+1,1))-AVERAGE(OFFSET($H$3,0,0,'Données projet'!$E$10+1,1))</f>
        <v>318.6615972007902</v>
      </c>
      <c r="AO182" s="59">
        <f t="shared" si="144"/>
        <v>326.82168950869504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13.104522699398531</v>
      </c>
      <c r="AV182" s="21">
        <f>EXP(-LN(2)/25)*AV181+(1-EXP(-LN(2)/25))/(LN(2)/25)*Calculateur!AQ182*Calculateur!AS182*VLOOKUP('Données projet'!$B$10,Paramètres!$A$1:$I$89,3,0)*0.475*44/12</f>
        <v>1.7799257295292414</v>
      </c>
      <c r="AW182" s="21">
        <f>EXP(-LN(2)/2)*AW181+(1-EXP(-LN(2)/2))/(LN(2)/2)*AQ182*AT182*VLOOKUP('Données projet'!$B$10,Paramètres!$A$1:$I$89,3,0)*0.475*44/12</f>
        <v>7.3314478361450133E-17</v>
      </c>
      <c r="AX182" s="21">
        <f t="shared" si="166"/>
        <v>14.884448428927772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-5.6843418860808015E-14</v>
      </c>
      <c r="BE182" s="13">
        <f>BD182*VLOOKUP('Données projet'!$B$11,Paramètres!$A$1:$I$89,3,0)*VLOOKUP('Données projet'!$B$11,Paramètres!$A$1:$I$89,5,0)</f>
        <v>-5.7639226724859328E-14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402.96916953216805</v>
      </c>
      <c r="BJ182" s="59">
        <f t="shared" si="146"/>
        <v>164.89273051331318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14.370646463219179</v>
      </c>
      <c r="BQ182" s="21">
        <f>EXP(-LN(2)/25)*BQ181+(1-EXP(-LN(2)/25))/(LN(2)/25)*Calculateur!BL182*Calculateur!BN182*VLOOKUP('Données projet'!$B$11,Paramètres!$A$1:$I$89,3,0)*0.475*44/12</f>
        <v>9.9259629818979267</v>
      </c>
      <c r="BR182" s="21">
        <f>EXP(-LN(2)/2)*BR181+(1-EXP(-LN(2)/2))/(LN(2)/2)*BL182*BO182*VLOOKUP('Données projet'!$B$11,Paramètres!$A$1:$I$89,3,0)*0.475*44/12</f>
        <v>2.6988274041605083E-6</v>
      </c>
      <c r="BS182" s="22">
        <f t="shared" si="169"/>
        <v>24.296612143944511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-2.2737367544323206E-13</v>
      </c>
      <c r="BZ182" s="13">
        <f>BY182*VLOOKUP('Données projet'!$B$12,Paramètres!$A$1:$I$89,3,0)*VLOOKUP('Données projet'!$B$12,Paramètres!$A$1:$I$89,5,0)</f>
        <v>-1.3596945791505279E-13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373.61861223558259</v>
      </c>
      <c r="CE182" s="59">
        <f t="shared" si="148"/>
        <v>277.62293009761049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21.57571240884171</v>
      </c>
      <c r="CL182" s="21">
        <f>EXP(-LN(2)/25)*CL181+(1-EXP(-LN(2)/25))/(LN(2)/25)*Calculateur!CG182*Calculateur!CI182*VLOOKUP('Données projet'!$B$12,Paramètres!$A$1:$I$89,3,0)*0.475*44/12</f>
        <v>3.3249440690633714</v>
      </c>
      <c r="CM182" s="21">
        <f>EXP(-LN(2)/2)*CM181+(1-EXP(-LN(2)/2))/(LN(2)/2)*CG182*CJ182*VLOOKUP('Données projet'!$B$12,Paramètres!$A$1:$I$89,3,0)*0.475*44/12</f>
        <v>8.8825334052489649E-14</v>
      </c>
      <c r="CN182" s="22">
        <f t="shared" si="172"/>
        <v>24.900656477905169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3.979039320256561E-13</v>
      </c>
      <c r="O183" s="13">
        <f>N183*VLOOKUP('Données projet'!$B$9,Paramètres!$A$1:$I$89,3,0)*VLOOKUP('Données projet'!$B$9,Paramètres!$A$1:$I$89,5,0)</f>
        <v>3.6002347769681362E-13</v>
      </c>
      <c r="P183" s="13">
        <f t="shared" si="141"/>
        <v>4.6593569189922594E-12</v>
      </c>
      <c r="Q183" s="20">
        <f t="shared" si="162"/>
        <v>8.7420875242334695E-12</v>
      </c>
      <c r="R183" s="59">
        <f t="shared" si="109"/>
        <v>289.40522170386339</v>
      </c>
      <c r="S183" s="59">
        <f ca="1">AVERAGE(OFFSET($R$3,0,0,'Données projet'!$E$9+1,1))-AVERAGE(OFFSET($H$3,0,0,'Données projet'!$E$9+1,1))</f>
        <v>737.40414421611001</v>
      </c>
      <c r="T183" s="59">
        <f t="shared" si="142"/>
        <v>245.32893490531674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114.97691478152683</v>
      </c>
      <c r="AA183" s="21">
        <f>EXP(-LN(2)/25)*AA182+(1-EXP(-LN(2)/25))/(LN(2)/25)*Calculateur!V183*Calculateur!X183*VLOOKUP('Données projet'!$B$9,Paramètres!$A$1:$I$89,3,0)*0.475*44/12</f>
        <v>16.991115268372006</v>
      </c>
      <c r="AB183" s="21">
        <f>EXP(-LN(2)/2)*AB182+(1-EXP(-LN(2)/2))/(LN(2)/2)*V183*Y183*VLOOKUP('Données projet'!$B$9,Paramètres!$A$1:$I$89,3,0)*0.475*44/12</f>
        <v>7.8598460512160143E-3</v>
      </c>
      <c r="AC183" s="22">
        <f t="shared" si="163"/>
        <v>131.97588989595005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1.3999999999999773</v>
      </c>
      <c r="AJ183" s="13">
        <f>AI183*VLOOKUP('Données projet'!$B$10,Paramètres!$A$1:$I$89,3,0)*VLOOKUP('Données projet'!$B$10,Paramètres!$A$1:$I$89,5,0)</f>
        <v>0.83719999999998651</v>
      </c>
      <c r="AK183" s="13">
        <f t="shared" si="164"/>
        <v>0.39388003094446933</v>
      </c>
      <c r="AL183" s="20">
        <f t="shared" si="165"/>
        <v>2.144131053894927</v>
      </c>
      <c r="AM183" s="59">
        <f t="shared" si="113"/>
        <v>291.54935275774955</v>
      </c>
      <c r="AN183" s="59">
        <f ca="1">AVERAGE(OFFSET($AM$3,0,0,'Données projet'!$E$10+1,1))-AVERAGE(OFFSET($H$3,0,0,'Données projet'!$E$10+1,1))</f>
        <v>318.6615972007902</v>
      </c>
      <c r="AO183" s="59">
        <f t="shared" si="144"/>
        <v>326.82168950869504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12.847551002232933</v>
      </c>
      <c r="AV183" s="21">
        <f>EXP(-LN(2)/25)*AV182+(1-EXP(-LN(2)/25))/(LN(2)/25)*Calculateur!AQ183*Calculateur!AS183*VLOOKUP('Données projet'!$B$10,Paramètres!$A$1:$I$89,3,0)*0.475*44/12</f>
        <v>1.7312535668530382</v>
      </c>
      <c r="AW183" s="21">
        <f>EXP(-LN(2)/2)*AW182+(1-EXP(-LN(2)/2))/(LN(2)/2)*AQ183*AT183*VLOOKUP('Données projet'!$B$10,Paramètres!$A$1:$I$89,3,0)*0.475*44/12</f>
        <v>5.1841164808535793E-17</v>
      </c>
      <c r="AX183" s="21">
        <f t="shared" si="166"/>
        <v>14.578804569085971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-5.6843418860808015E-14</v>
      </c>
      <c r="BE183" s="13">
        <f>BD183*VLOOKUP('Données projet'!$B$11,Paramètres!$A$1:$I$89,3,0)*VLOOKUP('Données projet'!$B$11,Paramètres!$A$1:$I$89,5,0)</f>
        <v>-5.7639226724859328E-14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402.96916953216805</v>
      </c>
      <c r="BJ183" s="59">
        <f t="shared" si="146"/>
        <v>164.89273051331318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14.0888468513043</v>
      </c>
      <c r="BQ183" s="21">
        <f>EXP(-LN(2)/25)*BQ182+(1-EXP(-LN(2)/25))/(LN(2)/25)*Calculateur!BL183*Calculateur!BN183*VLOOKUP('Données projet'!$B$11,Paramètres!$A$1:$I$89,3,0)*0.475*44/12</f>
        <v>9.6545370021742212</v>
      </c>
      <c r="BR183" s="21">
        <f>EXP(-LN(2)/2)*BR182+(1-EXP(-LN(2)/2))/(LN(2)/2)*BL183*BO183*VLOOKUP('Données projet'!$B$11,Paramètres!$A$1:$I$89,3,0)*0.475*44/12</f>
        <v>1.9083591587339825E-6</v>
      </c>
      <c r="BS183" s="22">
        <f t="shared" si="169"/>
        <v>23.743385761837679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-2.2737367544323206E-13</v>
      </c>
      <c r="BZ183" s="13">
        <f>BY183*VLOOKUP('Données projet'!$B$12,Paramètres!$A$1:$I$89,3,0)*VLOOKUP('Données projet'!$B$12,Paramètres!$A$1:$I$89,5,0)</f>
        <v>-1.3596945791505279E-13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373.61861223558259</v>
      </c>
      <c r="CE183" s="59">
        <f t="shared" si="148"/>
        <v>277.62293009761049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21.152625848389462</v>
      </c>
      <c r="CL183" s="21">
        <f>EXP(-LN(2)/25)*CL182+(1-EXP(-LN(2)/25))/(LN(2)/25)*Calculateur!CG183*Calculateur!CI183*VLOOKUP('Données projet'!$B$12,Paramètres!$A$1:$I$89,3,0)*0.475*44/12</f>
        <v>3.2340232986436241</v>
      </c>
      <c r="CM183" s="21">
        <f>EXP(-LN(2)/2)*CM182+(1-EXP(-LN(2)/2))/(LN(2)/2)*CG183*CJ183*VLOOKUP('Données projet'!$B$12,Paramètres!$A$1:$I$89,3,0)*0.475*44/12</f>
        <v>6.2808996049675786E-14</v>
      </c>
      <c r="CN183" s="22">
        <f t="shared" si="172"/>
        <v>24.38664914703315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3.979039320256561E-13</v>
      </c>
      <c r="O184" s="13">
        <f>N184*VLOOKUP('Données projet'!$B$9,Paramètres!$A$1:$I$89,3,0)*VLOOKUP('Données projet'!$B$9,Paramètres!$A$1:$I$89,5,0)</f>
        <v>3.6002347769681362E-13</v>
      </c>
      <c r="P184" s="13">
        <f t="shared" si="141"/>
        <v>4.6593569189922594E-12</v>
      </c>
      <c r="Q184" s="20">
        <f t="shared" si="162"/>
        <v>8.7420875242334695E-12</v>
      </c>
      <c r="R184" s="59">
        <f t="shared" si="109"/>
        <v>289.47336565869284</v>
      </c>
      <c r="S184" s="59">
        <f ca="1">AVERAGE(OFFSET($R$3,0,0,'Données projet'!$E$9+1,1))-AVERAGE(OFFSET($H$3,0,0,'Données projet'!$E$9+1,1))</f>
        <v>737.40414421611001</v>
      </c>
      <c r="T184" s="59">
        <f t="shared" si="142"/>
        <v>245.32893490531674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112.72228761165444</v>
      </c>
      <c r="AA184" s="21">
        <f>EXP(-LN(2)/25)*AA183+(1-EXP(-LN(2)/25))/(LN(2)/25)*Calculateur!V184*Calculateur!X184*VLOOKUP('Données projet'!$B$9,Paramètres!$A$1:$I$89,3,0)*0.475*44/12</f>
        <v>16.526492327834454</v>
      </c>
      <c r="AB184" s="21">
        <f>EXP(-LN(2)/2)*AB183+(1-EXP(-LN(2)/2))/(LN(2)/2)*V184*Y184*VLOOKUP('Données projet'!$B$9,Paramètres!$A$1:$I$89,3,0)*0.475*44/12</f>
        <v>5.5577504418971519E-3</v>
      </c>
      <c r="AC184" s="22">
        <f t="shared" si="163"/>
        <v>129.25433768993079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1.3999999999999773</v>
      </c>
      <c r="AJ184" s="13">
        <f>AI184*VLOOKUP('Données projet'!$B$10,Paramètres!$A$1:$I$89,3,0)*VLOOKUP('Données projet'!$B$10,Paramètres!$A$1:$I$89,5,0)</f>
        <v>0.83719999999998651</v>
      </c>
      <c r="AK184" s="13">
        <f t="shared" si="164"/>
        <v>0.39388003094446933</v>
      </c>
      <c r="AL184" s="20">
        <f t="shared" si="165"/>
        <v>2.144131053894927</v>
      </c>
      <c r="AM184" s="59">
        <f t="shared" si="113"/>
        <v>291.617496712579</v>
      </c>
      <c r="AN184" s="59">
        <f ca="1">AVERAGE(OFFSET($AM$3,0,0,'Données projet'!$E$10+1,1))-AVERAGE(OFFSET($H$3,0,0,'Données projet'!$E$10+1,1))</f>
        <v>318.6615972007902</v>
      </c>
      <c r="AO184" s="59">
        <f t="shared" si="144"/>
        <v>326.82168950869504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12.595618363311493</v>
      </c>
      <c r="AV184" s="21">
        <f>EXP(-LN(2)/25)*AV183+(1-EXP(-LN(2)/25))/(LN(2)/25)*Calculateur!AQ184*Calculateur!AS184*VLOOKUP('Données projet'!$B$10,Paramètres!$A$1:$I$89,3,0)*0.475*44/12</f>
        <v>1.6839123470247737</v>
      </c>
      <c r="AW184" s="21">
        <f>EXP(-LN(2)/2)*AW183+(1-EXP(-LN(2)/2))/(LN(2)/2)*AQ184*AT184*VLOOKUP('Données projet'!$B$10,Paramètres!$A$1:$I$89,3,0)*0.475*44/12</f>
        <v>3.6657239180725066E-17</v>
      </c>
      <c r="AX184" s="21">
        <f t="shared" si="166"/>
        <v>14.279530710336267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-5.6843418860808015E-14</v>
      </c>
      <c r="BE184" s="13">
        <f>BD184*VLOOKUP('Données projet'!$B$11,Paramètres!$A$1:$I$89,3,0)*VLOOKUP('Données projet'!$B$11,Paramètres!$A$1:$I$89,5,0)</f>
        <v>-5.7639226724859328E-14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402.96916953216805</v>
      </c>
      <c r="BJ184" s="59">
        <f t="shared" si="146"/>
        <v>164.89273051331318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13.81257315789828</v>
      </c>
      <c r="BQ184" s="21">
        <f>EXP(-LN(2)/25)*BQ183+(1-EXP(-LN(2)/25))/(LN(2)/25)*Calculateur!BL184*Calculateur!BN184*VLOOKUP('Données projet'!$B$11,Paramètres!$A$1:$I$89,3,0)*0.475*44/12</f>
        <v>9.390533180139732</v>
      </c>
      <c r="BR184" s="21">
        <f>EXP(-LN(2)/2)*BR183+(1-EXP(-LN(2)/2))/(LN(2)/2)*BL184*BO184*VLOOKUP('Données projet'!$B$11,Paramètres!$A$1:$I$89,3,0)*0.475*44/12</f>
        <v>1.3494137020802541E-6</v>
      </c>
      <c r="BS184" s="22">
        <f t="shared" si="169"/>
        <v>23.203107687451713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-2.2737367544323206E-13</v>
      </c>
      <c r="BZ184" s="13">
        <f>BY184*VLOOKUP('Données projet'!$B$12,Paramètres!$A$1:$I$89,3,0)*VLOOKUP('Données projet'!$B$12,Paramètres!$A$1:$I$89,5,0)</f>
        <v>-1.3596945791505279E-13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373.61861223558259</v>
      </c>
      <c r="CE184" s="59">
        <f t="shared" si="148"/>
        <v>277.62293009761049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20.737835757330362</v>
      </c>
      <c r="CL184" s="21">
        <f>EXP(-LN(2)/25)*CL183+(1-EXP(-LN(2)/25))/(LN(2)/25)*Calculateur!CG184*Calculateur!CI184*VLOOKUP('Données projet'!$B$12,Paramètres!$A$1:$I$89,3,0)*0.475*44/12</f>
        <v>3.1455887614723204</v>
      </c>
      <c r="CM184" s="21">
        <f>EXP(-LN(2)/2)*CM183+(1-EXP(-LN(2)/2))/(LN(2)/2)*CG184*CJ184*VLOOKUP('Données projet'!$B$12,Paramètres!$A$1:$I$89,3,0)*0.475*44/12</f>
        <v>4.4412667026244825E-14</v>
      </c>
      <c r="CN184" s="22">
        <f t="shared" si="172"/>
        <v>23.88342451880273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3.979039320256561E-13</v>
      </c>
      <c r="O185" s="13">
        <f>N185*VLOOKUP('Données projet'!$B$9,Paramètres!$A$1:$I$89,3,0)*VLOOKUP('Données projet'!$B$9,Paramètres!$A$1:$I$89,5,0)</f>
        <v>3.6002347769681362E-13</v>
      </c>
      <c r="P185" s="13">
        <f t="shared" si="141"/>
        <v>4.6593569189922594E-12</v>
      </c>
      <c r="Q185" s="20">
        <f t="shared" si="162"/>
        <v>8.7420875242334695E-12</v>
      </c>
      <c r="R185" s="59">
        <f t="shared" si="109"/>
        <v>289.54032746825317</v>
      </c>
      <c r="S185" s="59">
        <f ca="1">AVERAGE(OFFSET($R$3,0,0,'Données projet'!$E$9+1,1))-AVERAGE(OFFSET($H$3,0,0,'Données projet'!$E$9+1,1))</f>
        <v>737.40414421611001</v>
      </c>
      <c r="T185" s="59">
        <f t="shared" si="142"/>
        <v>245.32893490531674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110.51187230539647</v>
      </c>
      <c r="AA185" s="21">
        <f>EXP(-LN(2)/25)*AA184+(1-EXP(-LN(2)/25))/(LN(2)/25)*Calculateur!V185*Calculateur!X185*VLOOKUP('Données projet'!$B$9,Paramètres!$A$1:$I$89,3,0)*0.475*44/12</f>
        <v>16.07457452603936</v>
      </c>
      <c r="AB185" s="21">
        <f>EXP(-LN(2)/2)*AB184+(1-EXP(-LN(2)/2))/(LN(2)/2)*V185*Y185*VLOOKUP('Données projet'!$B$9,Paramètres!$A$1:$I$89,3,0)*0.475*44/12</f>
        <v>3.9299230256080071E-3</v>
      </c>
      <c r="AC185" s="22">
        <f t="shared" si="163"/>
        <v>126.59037675446143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1.3999999999999773</v>
      </c>
      <c r="AJ185" s="13">
        <f>AI185*VLOOKUP('Données projet'!$B$10,Paramètres!$A$1:$I$89,3,0)*VLOOKUP('Données projet'!$B$10,Paramètres!$A$1:$I$89,5,0)</f>
        <v>0.83719999999998651</v>
      </c>
      <c r="AK185" s="13">
        <f t="shared" si="164"/>
        <v>0.39388003094446933</v>
      </c>
      <c r="AL185" s="20">
        <f t="shared" si="165"/>
        <v>2.144131053894927</v>
      </c>
      <c r="AM185" s="59">
        <f t="shared" si="113"/>
        <v>291.68445852213932</v>
      </c>
      <c r="AN185" s="59">
        <f ca="1">AVERAGE(OFFSET($AM$3,0,0,'Données projet'!$E$10+1,1))-AVERAGE(OFFSET($H$3,0,0,'Données projet'!$E$10+1,1))</f>
        <v>318.6615972007902</v>
      </c>
      <c r="AO185" s="59">
        <f t="shared" si="144"/>
        <v>326.82168950869504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12.348625969775565</v>
      </c>
      <c r="AV185" s="21">
        <f>EXP(-LN(2)/25)*AV184+(1-EXP(-LN(2)/25))/(LN(2)/25)*Calculateur!AQ185*Calculateur!AS185*VLOOKUP('Données projet'!$B$10,Paramètres!$A$1:$I$89,3,0)*0.475*44/12</f>
        <v>1.6378656753422796</v>
      </c>
      <c r="AW185" s="21">
        <f>EXP(-LN(2)/2)*AW184+(1-EXP(-LN(2)/2))/(LN(2)/2)*AQ185*AT185*VLOOKUP('Données projet'!$B$10,Paramètres!$A$1:$I$89,3,0)*0.475*44/12</f>
        <v>2.5920582404267896E-17</v>
      </c>
      <c r="AX185" s="21">
        <f t="shared" si="166"/>
        <v>13.986491645117844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-5.6843418860808015E-14</v>
      </c>
      <c r="BE185" s="13">
        <f>BD185*VLOOKUP('Données projet'!$B$11,Paramètres!$A$1:$I$89,3,0)*VLOOKUP('Données projet'!$B$11,Paramètres!$A$1:$I$89,5,0)</f>
        <v>-5.7639226724859328E-14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402.96916953216805</v>
      </c>
      <c r="BJ185" s="59">
        <f t="shared" si="146"/>
        <v>164.89273051331318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13.541717023109637</v>
      </c>
      <c r="BQ185" s="21">
        <f>EXP(-LN(2)/25)*BQ184+(1-EXP(-LN(2)/25))/(LN(2)/25)*Calculateur!BL185*Calculateur!BN185*VLOOKUP('Données projet'!$B$11,Paramètres!$A$1:$I$89,3,0)*0.475*44/12</f>
        <v>9.1337485565021339</v>
      </c>
      <c r="BR185" s="21">
        <f>EXP(-LN(2)/2)*BR184+(1-EXP(-LN(2)/2))/(LN(2)/2)*BL185*BO185*VLOOKUP('Données projet'!$B$11,Paramètres!$A$1:$I$89,3,0)*0.475*44/12</f>
        <v>9.5417957936699126E-7</v>
      </c>
      <c r="BS185" s="22">
        <f t="shared" si="169"/>
        <v>22.675466533791351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-2.2737367544323206E-13</v>
      </c>
      <c r="BZ185" s="13">
        <f>BY185*VLOOKUP('Données projet'!$B$12,Paramètres!$A$1:$I$89,3,0)*VLOOKUP('Données projet'!$B$12,Paramètres!$A$1:$I$89,5,0)</f>
        <v>-1.3596945791505279E-13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373.61861223558259</v>
      </c>
      <c r="CE185" s="59">
        <f t="shared" si="148"/>
        <v>277.62293009761049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20.331179446959958</v>
      </c>
      <c r="CL185" s="21">
        <f>EXP(-LN(2)/25)*CL184+(1-EXP(-LN(2)/25))/(LN(2)/25)*Calculateur!CG185*Calculateur!CI185*VLOOKUP('Données projet'!$B$12,Paramètres!$A$1:$I$89,3,0)*0.475*44/12</f>
        <v>3.0595724713705361</v>
      </c>
      <c r="CM185" s="21">
        <f>EXP(-LN(2)/2)*CM184+(1-EXP(-LN(2)/2))/(LN(2)/2)*CG185*CJ185*VLOOKUP('Données projet'!$B$12,Paramètres!$A$1:$I$89,3,0)*0.475*44/12</f>
        <v>3.1404498024837893E-14</v>
      </c>
      <c r="CN185" s="22">
        <f t="shared" si="172"/>
        <v>23.390751918330526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3.979039320256561E-13</v>
      </c>
      <c r="O186" s="13">
        <f>N186*VLOOKUP('Données projet'!$B$9,Paramètres!$A$1:$I$89,3,0)*VLOOKUP('Données projet'!$B$9,Paramètres!$A$1:$I$89,5,0)</f>
        <v>3.6002347769681362E-13</v>
      </c>
      <c r="P186" s="13">
        <f t="shared" si="141"/>
        <v>4.6593569189922594E-12</v>
      </c>
      <c r="Q186" s="20">
        <f t="shared" si="162"/>
        <v>8.7420875242334695E-12</v>
      </c>
      <c r="R186" s="59">
        <f t="shared" si="109"/>
        <v>289.60612764012171</v>
      </c>
      <c r="S186" s="59">
        <f ca="1">AVERAGE(OFFSET($R$3,0,0,'Données projet'!$E$9+1,1))-AVERAGE(OFFSET($H$3,0,0,'Données projet'!$E$9+1,1))</f>
        <v>737.40414421611001</v>
      </c>
      <c r="T186" s="59">
        <f t="shared" si="142"/>
        <v>245.32893490531674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108.344801895074</v>
      </c>
      <c r="AA186" s="21">
        <f>EXP(-LN(2)/25)*AA185+(1-EXP(-LN(2)/25))/(LN(2)/25)*Calculateur!V186*Calculateur!X186*VLOOKUP('Données projet'!$B$9,Paramètres!$A$1:$I$89,3,0)*0.475*44/12</f>
        <v>15.635014440299678</v>
      </c>
      <c r="AB186" s="21">
        <f>EXP(-LN(2)/2)*AB185+(1-EXP(-LN(2)/2))/(LN(2)/2)*V186*Y186*VLOOKUP('Données projet'!$B$9,Paramètres!$A$1:$I$89,3,0)*0.475*44/12</f>
        <v>2.7788752209485759E-3</v>
      </c>
      <c r="AC186" s="22">
        <f t="shared" si="163"/>
        <v>123.98259521059462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1.3999999999999773</v>
      </c>
      <c r="AJ186" s="13">
        <f>AI186*VLOOKUP('Données projet'!$B$10,Paramètres!$A$1:$I$89,3,0)*VLOOKUP('Données projet'!$B$10,Paramètres!$A$1:$I$89,5,0)</f>
        <v>0.83719999999998651</v>
      </c>
      <c r="AK186" s="13">
        <f t="shared" si="164"/>
        <v>0.39388003094446933</v>
      </c>
      <c r="AL186" s="20">
        <f t="shared" si="165"/>
        <v>2.144131053894927</v>
      </c>
      <c r="AM186" s="59">
        <f t="shared" si="113"/>
        <v>291.75025869400787</v>
      </c>
      <c r="AN186" s="59">
        <f ca="1">AVERAGE(OFFSET($AM$3,0,0,'Données projet'!$E$10+1,1))-AVERAGE(OFFSET($H$3,0,0,'Données projet'!$E$10+1,1))</f>
        <v>318.6615972007902</v>
      </c>
      <c r="AO186" s="59">
        <f t="shared" si="144"/>
        <v>326.82168950869504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12.106476946426392</v>
      </c>
      <c r="AV186" s="21">
        <f>EXP(-LN(2)/25)*AV185+(1-EXP(-LN(2)/25))/(LN(2)/25)*Calculateur!AQ186*Calculateur!AS186*VLOOKUP('Données projet'!$B$10,Paramètres!$A$1:$I$89,3,0)*0.475*44/12</f>
        <v>1.5930781523184325</v>
      </c>
      <c r="AW186" s="21">
        <f>EXP(-LN(2)/2)*AW185+(1-EXP(-LN(2)/2))/(LN(2)/2)*AQ186*AT186*VLOOKUP('Données projet'!$B$10,Paramètres!$A$1:$I$89,3,0)*0.475*44/12</f>
        <v>1.8328619590362533E-17</v>
      </c>
      <c r="AX186" s="21">
        <f t="shared" si="166"/>
        <v>13.699555098744824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-5.6843418860808015E-14</v>
      </c>
      <c r="BE186" s="13">
        <f>BD186*VLOOKUP('Données projet'!$B$11,Paramètres!$A$1:$I$89,3,0)*VLOOKUP('Données projet'!$B$11,Paramètres!$A$1:$I$89,5,0)</f>
        <v>-5.7639226724859328E-14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402.96916953216805</v>
      </c>
      <c r="BJ186" s="59">
        <f t="shared" si="146"/>
        <v>164.89273051331318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13.27617221191827</v>
      </c>
      <c r="BQ186" s="21">
        <f>EXP(-LN(2)/25)*BQ185+(1-EXP(-LN(2)/25))/(LN(2)/25)*Calculateur!BL186*Calculateur!BN186*VLOOKUP('Données projet'!$B$11,Paramètres!$A$1:$I$89,3,0)*0.475*44/12</f>
        <v>8.8839857219016221</v>
      </c>
      <c r="BR186" s="21">
        <f>EXP(-LN(2)/2)*BR185+(1-EXP(-LN(2)/2))/(LN(2)/2)*BL186*BO186*VLOOKUP('Données projet'!$B$11,Paramètres!$A$1:$I$89,3,0)*0.475*44/12</f>
        <v>6.7470685104012707E-7</v>
      </c>
      <c r="BS186" s="22">
        <f t="shared" si="169"/>
        <v>22.160158608526743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-2.2737367544323206E-13</v>
      </c>
      <c r="BZ186" s="13">
        <f>BY186*VLOOKUP('Données projet'!$B$12,Paramètres!$A$1:$I$89,3,0)*VLOOKUP('Données projet'!$B$12,Paramètres!$A$1:$I$89,5,0)</f>
        <v>-1.3596945791505279E-13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373.61861223558259</v>
      </c>
      <c r="CE186" s="59">
        <f t="shared" si="148"/>
        <v>277.62293009761049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19.932497418800057</v>
      </c>
      <c r="CL186" s="21">
        <f>EXP(-LN(2)/25)*CL185+(1-EXP(-LN(2)/25))/(LN(2)/25)*Calculateur!CG186*Calculateur!CI186*VLOOKUP('Données projet'!$B$12,Paramètres!$A$1:$I$89,3,0)*0.475*44/12</f>
        <v>2.9759083012449854</v>
      </c>
      <c r="CM186" s="21">
        <f>EXP(-LN(2)/2)*CM185+(1-EXP(-LN(2)/2))/(LN(2)/2)*CG186*CJ186*VLOOKUP('Données projet'!$B$12,Paramètres!$A$1:$I$89,3,0)*0.475*44/12</f>
        <v>2.2206333513122412E-14</v>
      </c>
      <c r="CN186" s="22">
        <f t="shared" si="172"/>
        <v>22.908405720045064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3.979039320256561E-13</v>
      </c>
      <c r="O187" s="13">
        <f>N187*VLOOKUP('Données projet'!$B$9,Paramètres!$A$1:$I$89,3,0)*VLOOKUP('Données projet'!$B$9,Paramètres!$A$1:$I$89,5,0)</f>
        <v>3.6002347769681362E-13</v>
      </c>
      <c r="P187" s="13">
        <f t="shared" si="141"/>
        <v>4.6593569189922594E-12</v>
      </c>
      <c r="Q187" s="20">
        <f t="shared" si="162"/>
        <v>8.7420875242334695E-12</v>
      </c>
      <c r="R187" s="59">
        <f t="shared" si="109"/>
        <v>289.67078632611549</v>
      </c>
      <c r="S187" s="59">
        <f ca="1">AVERAGE(OFFSET($R$3,0,0,'Données projet'!$E$9+1,1))-AVERAGE(OFFSET($H$3,0,0,'Données projet'!$E$9+1,1))</f>
        <v>737.40414421611001</v>
      </c>
      <c r="T187" s="59">
        <f t="shared" si="142"/>
        <v>245.32893490531674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106.22022641371552</v>
      </c>
      <c r="AA187" s="21">
        <f>EXP(-LN(2)/25)*AA186+(1-EXP(-LN(2)/25))/(LN(2)/25)*Calculateur!V187*Calculateur!X187*VLOOKUP('Données projet'!$B$9,Paramètres!$A$1:$I$89,3,0)*0.475*44/12</f>
        <v>15.207474148220008</v>
      </c>
      <c r="AB187" s="21">
        <f>EXP(-LN(2)/2)*AB186+(1-EXP(-LN(2)/2))/(LN(2)/2)*V187*Y187*VLOOKUP('Données projet'!$B$9,Paramètres!$A$1:$I$89,3,0)*0.475*44/12</f>
        <v>1.9649615128040036E-3</v>
      </c>
      <c r="AC187" s="22">
        <f t="shared" si="163"/>
        <v>121.42966552344832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1.3999999999999773</v>
      </c>
      <c r="AJ187" s="13">
        <f>AI187*VLOOKUP('Données projet'!$B$10,Paramètres!$A$1:$I$89,3,0)*VLOOKUP('Données projet'!$B$10,Paramètres!$A$1:$I$89,5,0)</f>
        <v>0.83719999999998651</v>
      </c>
      <c r="AK187" s="13">
        <f t="shared" si="164"/>
        <v>0.39388003094446933</v>
      </c>
      <c r="AL187" s="20">
        <f t="shared" si="165"/>
        <v>2.144131053894927</v>
      </c>
      <c r="AM187" s="59">
        <f t="shared" si="113"/>
        <v>291.81491738000165</v>
      </c>
      <c r="AN187" s="59">
        <f ca="1">AVERAGE(OFFSET($AM$3,0,0,'Données projet'!$E$10+1,1))-AVERAGE(OFFSET($H$3,0,0,'Données projet'!$E$10+1,1))</f>
        <v>318.6615972007902</v>
      </c>
      <c r="AO187" s="59">
        <f t="shared" si="144"/>
        <v>326.82168950869504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11.869076317728776</v>
      </c>
      <c r="AV187" s="21">
        <f>EXP(-LN(2)/25)*AV186+(1-EXP(-LN(2)/25))/(LN(2)/25)*Calculateur!AQ187*Calculateur!AS187*VLOOKUP('Données projet'!$B$10,Paramètres!$A$1:$I$89,3,0)*0.475*44/12</f>
        <v>1.549515346466946</v>
      </c>
      <c r="AW187" s="21">
        <f>EXP(-LN(2)/2)*AW186+(1-EXP(-LN(2)/2))/(LN(2)/2)*AQ187*AT187*VLOOKUP('Données projet'!$B$10,Paramètres!$A$1:$I$89,3,0)*0.475*44/12</f>
        <v>1.2960291202133948E-17</v>
      </c>
      <c r="AX187" s="21">
        <f t="shared" si="166"/>
        <v>13.418591664195722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-5.6843418860808015E-14</v>
      </c>
      <c r="BE187" s="13">
        <f>BD187*VLOOKUP('Données projet'!$B$11,Paramètres!$A$1:$I$89,3,0)*VLOOKUP('Données projet'!$B$11,Paramètres!$A$1:$I$89,5,0)</f>
        <v>-5.7639226724859328E-14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402.96916953216805</v>
      </c>
      <c r="BJ187" s="59">
        <f t="shared" si="146"/>
        <v>164.89273051331318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13.015834572508025</v>
      </c>
      <c r="BQ187" s="21">
        <f>EXP(-LN(2)/25)*BQ186+(1-EXP(-LN(2)/25))/(LN(2)/25)*Calculateur!BL187*Calculateur!BN187*VLOOKUP('Données projet'!$B$11,Paramètres!$A$1:$I$89,3,0)*0.475*44/12</f>
        <v>8.6410526651477184</v>
      </c>
      <c r="BR187" s="21">
        <f>EXP(-LN(2)/2)*BR186+(1-EXP(-LN(2)/2))/(LN(2)/2)*BL187*BO187*VLOOKUP('Données projet'!$B$11,Paramètres!$A$1:$I$89,3,0)*0.475*44/12</f>
        <v>4.7708978968349563E-7</v>
      </c>
      <c r="BS187" s="22">
        <f t="shared" si="169"/>
        <v>21.656887714745533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-2.2737367544323206E-13</v>
      </c>
      <c r="BZ187" s="13">
        <f>BY187*VLOOKUP('Données projet'!$B$12,Paramètres!$A$1:$I$89,3,0)*VLOOKUP('Données projet'!$B$12,Paramètres!$A$1:$I$89,5,0)</f>
        <v>-1.3596945791505279E-13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373.61861223558259</v>
      </c>
      <c r="CE187" s="59">
        <f t="shared" si="148"/>
        <v>277.62293009761049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19.541633302040349</v>
      </c>
      <c r="CL187" s="21">
        <f>EXP(-LN(2)/25)*CL186+(1-EXP(-LN(2)/25))/(LN(2)/25)*Calculateur!CG187*Calculateur!CI187*VLOOKUP('Données projet'!$B$12,Paramètres!$A$1:$I$89,3,0)*0.475*44/12</f>
        <v>2.8945319322512253</v>
      </c>
      <c r="CM187" s="21">
        <f>EXP(-LN(2)/2)*CM186+(1-EXP(-LN(2)/2))/(LN(2)/2)*CG187*CJ187*VLOOKUP('Données projet'!$B$12,Paramètres!$A$1:$I$89,3,0)*0.475*44/12</f>
        <v>1.5702249012418947E-14</v>
      </c>
      <c r="CN187" s="22">
        <f t="shared" si="172"/>
        <v>22.43616523429159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3.979039320256561E-13</v>
      </c>
      <c r="O188" s="13">
        <f>N188*VLOOKUP('Données projet'!$B$9,Paramètres!$A$1:$I$89,3,0)*VLOOKUP('Données projet'!$B$9,Paramètres!$A$1:$I$89,5,0)</f>
        <v>3.6002347769681362E-13</v>
      </c>
      <c r="P188" s="13">
        <f t="shared" si="141"/>
        <v>4.6593569189922594E-12</v>
      </c>
      <c r="Q188" s="20">
        <f t="shared" si="162"/>
        <v>8.7420875242334695E-12</v>
      </c>
      <c r="R188" s="59">
        <f t="shared" si="109"/>
        <v>289.73432332846249</v>
      </c>
      <c r="S188" s="59">
        <f ca="1">AVERAGE(OFFSET($R$3,0,0,'Données projet'!$E$9+1,1))-AVERAGE(OFFSET($H$3,0,0,'Données projet'!$E$9+1,1))</f>
        <v>737.40414421611001</v>
      </c>
      <c r="T188" s="59">
        <f t="shared" si="142"/>
        <v>245.32893490531674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104.1373125616834</v>
      </c>
      <c r="AA188" s="21">
        <f>EXP(-LN(2)/25)*AA187+(1-EXP(-LN(2)/25))/(LN(2)/25)*Calculateur!V188*Calculateur!X188*VLOOKUP('Données projet'!$B$9,Paramètres!$A$1:$I$89,3,0)*0.475*44/12</f>
        <v>14.791624967910623</v>
      </c>
      <c r="AB188" s="21">
        <f>EXP(-LN(2)/2)*AB187+(1-EXP(-LN(2)/2))/(LN(2)/2)*V188*Y188*VLOOKUP('Données projet'!$B$9,Paramètres!$A$1:$I$89,3,0)*0.475*44/12</f>
        <v>1.389437610474288E-3</v>
      </c>
      <c r="AC188" s="22">
        <f t="shared" si="163"/>
        <v>118.93032696720449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1.3999999999999773</v>
      </c>
      <c r="AJ188" s="13">
        <f>AI188*VLOOKUP('Données projet'!$B$10,Paramètres!$A$1:$I$89,3,0)*VLOOKUP('Données projet'!$B$10,Paramètres!$A$1:$I$89,5,0)</f>
        <v>0.83719999999998651</v>
      </c>
      <c r="AK188" s="13">
        <f t="shared" si="164"/>
        <v>0.39388003094446933</v>
      </c>
      <c r="AL188" s="20">
        <f t="shared" si="165"/>
        <v>2.144131053894927</v>
      </c>
      <c r="AM188" s="59">
        <f t="shared" si="113"/>
        <v>291.87845438234865</v>
      </c>
      <c r="AN188" s="59">
        <f ca="1">AVERAGE(OFFSET($AM$3,0,0,'Données projet'!$E$10+1,1))-AVERAGE(OFFSET($H$3,0,0,'Données projet'!$E$10+1,1))</f>
        <v>318.6615972007902</v>
      </c>
      <c r="AO188" s="59">
        <f t="shared" si="144"/>
        <v>326.82168950869504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11.636330970559836</v>
      </c>
      <c r="AV188" s="21">
        <f>EXP(-LN(2)/25)*AV187+(1-EXP(-LN(2)/25))/(LN(2)/25)*Calculateur!AQ188*Calculateur!AS188*VLOOKUP('Données projet'!$B$10,Paramètres!$A$1:$I$89,3,0)*0.475*44/12</f>
        <v>1.5071437678323367</v>
      </c>
      <c r="AW188" s="21">
        <f>EXP(-LN(2)/2)*AW187+(1-EXP(-LN(2)/2))/(LN(2)/2)*AQ188*AT188*VLOOKUP('Données projet'!$B$10,Paramètres!$A$1:$I$89,3,0)*0.475*44/12</f>
        <v>9.1643097951812666E-18</v>
      </c>
      <c r="AX188" s="21">
        <f t="shared" si="166"/>
        <v>13.143474738392174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-5.6843418860808015E-14</v>
      </c>
      <c r="BE188" s="13">
        <f>BD188*VLOOKUP('Données projet'!$B$11,Paramètres!$A$1:$I$89,3,0)*VLOOKUP('Données projet'!$B$11,Paramètres!$A$1:$I$89,5,0)</f>
        <v>-5.7639226724859328E-14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402.96916953216805</v>
      </c>
      <c r="BJ188" s="59">
        <f t="shared" si="146"/>
        <v>164.89273051331318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12.760601995416334</v>
      </c>
      <c r="BQ188" s="21">
        <f>EXP(-LN(2)/25)*BQ187+(1-EXP(-LN(2)/25))/(LN(2)/25)*Calculateur!BL188*Calculateur!BN188*VLOOKUP('Données projet'!$B$11,Paramètres!$A$1:$I$89,3,0)*0.475*44/12</f>
        <v>8.4047626256060433</v>
      </c>
      <c r="BR188" s="21">
        <f>EXP(-LN(2)/2)*BR187+(1-EXP(-LN(2)/2))/(LN(2)/2)*BL188*BO188*VLOOKUP('Données projet'!$B$11,Paramètres!$A$1:$I$89,3,0)*0.475*44/12</f>
        <v>3.3735342552006354E-7</v>
      </c>
      <c r="BS188" s="22">
        <f t="shared" si="169"/>
        <v>21.165364958375804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-2.2737367544323206E-13</v>
      </c>
      <c r="BZ188" s="13">
        <f>BY188*VLOOKUP('Données projet'!$B$12,Paramètres!$A$1:$I$89,3,0)*VLOOKUP('Données projet'!$B$12,Paramètres!$A$1:$I$89,5,0)</f>
        <v>-1.3596945791505279E-13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373.61861223558259</v>
      </c>
      <c r="CE188" s="59">
        <f t="shared" si="148"/>
        <v>277.62293009761049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19.158433792206726</v>
      </c>
      <c r="CL188" s="21">
        <f>EXP(-LN(2)/25)*CL187+(1-EXP(-LN(2)/25))/(LN(2)/25)*Calculateur!CG188*Calculateur!CI188*VLOOKUP('Données projet'!$B$12,Paramètres!$A$1:$I$89,3,0)*0.475*44/12</f>
        <v>2.8153808043469968</v>
      </c>
      <c r="CM188" s="21">
        <f>EXP(-LN(2)/2)*CM187+(1-EXP(-LN(2)/2))/(LN(2)/2)*CG188*CJ188*VLOOKUP('Données projet'!$B$12,Paramètres!$A$1:$I$89,3,0)*0.475*44/12</f>
        <v>1.1103166756561206E-14</v>
      </c>
      <c r="CN188" s="22">
        <f t="shared" si="172"/>
        <v>21.973814596553733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3.979039320256561E-13</v>
      </c>
      <c r="O189" s="13">
        <f>N189*VLOOKUP('Données projet'!$B$9,Paramètres!$A$1:$I$89,3,0)*VLOOKUP('Données projet'!$B$9,Paramètres!$A$1:$I$89,5,0)</f>
        <v>3.6002347769681362E-13</v>
      </c>
      <c r="P189" s="13">
        <f t="shared" si="141"/>
        <v>4.6593569189922594E-12</v>
      </c>
      <c r="Q189" s="20">
        <f t="shared" si="162"/>
        <v>8.7420875242334695E-12</v>
      </c>
      <c r="R189" s="59">
        <f t="shared" si="109"/>
        <v>289.79675810586616</v>
      </c>
      <c r="S189" s="59">
        <f ca="1">AVERAGE(OFFSET($R$3,0,0,'Données projet'!$E$9+1,1))-AVERAGE(OFFSET($H$3,0,0,'Données projet'!$E$9+1,1))</f>
        <v>737.40414421611001</v>
      </c>
      <c r="T189" s="59">
        <f t="shared" si="142"/>
        <v>245.32893490531674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102.09524337983763</v>
      </c>
      <c r="AA189" s="21">
        <f>EXP(-LN(2)/25)*AA188+(1-EXP(-LN(2)/25))/(LN(2)/25)*Calculateur!V189*Calculateur!X189*VLOOKUP('Données projet'!$B$9,Paramètres!$A$1:$I$89,3,0)*0.475*44/12</f>
        <v>14.387147205305357</v>
      </c>
      <c r="AB189" s="21">
        <f>EXP(-LN(2)/2)*AB188+(1-EXP(-LN(2)/2))/(LN(2)/2)*V189*Y189*VLOOKUP('Données projet'!$B$9,Paramètres!$A$1:$I$89,3,0)*0.475*44/12</f>
        <v>9.8248075640200178E-4</v>
      </c>
      <c r="AC189" s="22">
        <f t="shared" si="163"/>
        <v>116.48337306589939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1.3999999999999773</v>
      </c>
      <c r="AJ189" s="13">
        <f>AI189*VLOOKUP('Données projet'!$B$10,Paramètres!$A$1:$I$89,3,0)*VLOOKUP('Données projet'!$B$10,Paramètres!$A$1:$I$89,5,0)</f>
        <v>0.83719999999998651</v>
      </c>
      <c r="AK189" s="13">
        <f t="shared" si="164"/>
        <v>0.39388003094446933</v>
      </c>
      <c r="AL189" s="20">
        <f t="shared" si="165"/>
        <v>2.144131053894927</v>
      </c>
      <c r="AM189" s="59">
        <f t="shared" si="113"/>
        <v>291.94088915975232</v>
      </c>
      <c r="AN189" s="59">
        <f ca="1">AVERAGE(OFFSET($AM$3,0,0,'Données projet'!$E$10+1,1))-AVERAGE(OFFSET($H$3,0,0,'Données projet'!$E$10+1,1))</f>
        <v>318.6615972007902</v>
      </c>
      <c r="AO189" s="59">
        <f t="shared" si="144"/>
        <v>326.82168950869504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11.408149617688233</v>
      </c>
      <c r="AV189" s="21">
        <f>EXP(-LN(2)/25)*AV188+(1-EXP(-LN(2)/25))/(LN(2)/25)*Calculateur!AQ189*Calculateur!AS189*VLOOKUP('Données projet'!$B$10,Paramètres!$A$1:$I$89,3,0)*0.475*44/12</f>
        <v>1.4659308422437154</v>
      </c>
      <c r="AW189" s="21">
        <f>EXP(-LN(2)/2)*AW188+(1-EXP(-LN(2)/2))/(LN(2)/2)*AQ189*AT189*VLOOKUP('Données projet'!$B$10,Paramètres!$A$1:$I$89,3,0)*0.475*44/12</f>
        <v>6.4801456010669741E-18</v>
      </c>
      <c r="AX189" s="21">
        <f t="shared" si="166"/>
        <v>12.874080459931948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-5.6843418860808015E-14</v>
      </c>
      <c r="BE189" s="13">
        <f>BD189*VLOOKUP('Données projet'!$B$11,Paramètres!$A$1:$I$89,3,0)*VLOOKUP('Données projet'!$B$11,Paramètres!$A$1:$I$89,5,0)</f>
        <v>-5.7639226724859328E-14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402.96916953216805</v>
      </c>
      <c r="BJ189" s="59">
        <f t="shared" si="146"/>
        <v>164.89273051331318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12.510374373484909</v>
      </c>
      <c r="BQ189" s="21">
        <f>EXP(-LN(2)/25)*BQ188+(1-EXP(-LN(2)/25))/(LN(2)/25)*Calculateur!BL189*Calculateur!BN189*VLOOKUP('Données projet'!$B$11,Paramètres!$A$1:$I$89,3,0)*0.475*44/12</f>
        <v>8.1749339496215896</v>
      </c>
      <c r="BR189" s="21">
        <f>EXP(-LN(2)/2)*BR188+(1-EXP(-LN(2)/2))/(LN(2)/2)*BL189*BO189*VLOOKUP('Données projet'!$B$11,Paramètres!$A$1:$I$89,3,0)*0.475*44/12</f>
        <v>2.3854489484174781E-7</v>
      </c>
      <c r="BS189" s="22">
        <f t="shared" si="169"/>
        <v>20.685308561651393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-2.2737367544323206E-13</v>
      </c>
      <c r="BZ189" s="13">
        <f>BY189*VLOOKUP('Données projet'!$B$12,Paramètres!$A$1:$I$89,3,0)*VLOOKUP('Données projet'!$B$12,Paramètres!$A$1:$I$89,5,0)</f>
        <v>-1.3596945791505279E-13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373.61861223558259</v>
      </c>
      <c r="CE189" s="59">
        <f t="shared" si="148"/>
        <v>277.62293009761049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18.78274859103232</v>
      </c>
      <c r="CL189" s="21">
        <f>EXP(-LN(2)/25)*CL188+(1-EXP(-LN(2)/25))/(LN(2)/25)*Calculateur!CG189*Calculateur!CI189*VLOOKUP('Données projet'!$B$12,Paramètres!$A$1:$I$89,3,0)*0.475*44/12</f>
        <v>2.7383940681976862</v>
      </c>
      <c r="CM189" s="21">
        <f>EXP(-LN(2)/2)*CM188+(1-EXP(-LN(2)/2))/(LN(2)/2)*CG189*CJ189*VLOOKUP('Données projet'!$B$12,Paramètres!$A$1:$I$89,3,0)*0.475*44/12</f>
        <v>7.8511245062094733E-15</v>
      </c>
      <c r="CN189" s="22">
        <f t="shared" si="172"/>
        <v>21.521142659230012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3.979039320256561E-13</v>
      </c>
      <c r="O190" s="13">
        <f>N190*VLOOKUP('Données projet'!$B$9,Paramètres!$A$1:$I$89,3,0)*VLOOKUP('Données projet'!$B$9,Paramètres!$A$1:$I$89,5,0)</f>
        <v>3.6002347769681362E-13</v>
      </c>
      <c r="P190" s="13">
        <f t="shared" si="141"/>
        <v>4.6593569189922594E-12</v>
      </c>
      <c r="Q190" s="20">
        <f t="shared" si="162"/>
        <v>8.7420875242334695E-12</v>
      </c>
      <c r="R190" s="59">
        <f t="shared" si="109"/>
        <v>289.85810977946517</v>
      </c>
      <c r="S190" s="59">
        <f ca="1">AVERAGE(OFFSET($R$3,0,0,'Données projet'!$E$9+1,1))-AVERAGE(OFFSET($H$3,0,0,'Données projet'!$E$9+1,1))</f>
        <v>737.40414421611001</v>
      </c>
      <c r="T190" s="59">
        <f t="shared" si="142"/>
        <v>245.32893490531674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100.09321792910863</v>
      </c>
      <c r="AA190" s="21">
        <f>EXP(-LN(2)/25)*AA189+(1-EXP(-LN(2)/25))/(LN(2)/25)*Calculateur!V190*Calculateur!X190*VLOOKUP('Données projet'!$B$9,Paramètres!$A$1:$I$89,3,0)*0.475*44/12</f>
        <v>13.993729908389094</v>
      </c>
      <c r="AB190" s="21">
        <f>EXP(-LN(2)/2)*AB189+(1-EXP(-LN(2)/2))/(LN(2)/2)*V190*Y190*VLOOKUP('Données projet'!$B$9,Paramètres!$A$1:$I$89,3,0)*0.475*44/12</f>
        <v>6.9471880523714398E-4</v>
      </c>
      <c r="AC190" s="22">
        <f t="shared" si="163"/>
        <v>114.08764255630297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1.3999999999999773</v>
      </c>
      <c r="AJ190" s="13">
        <f>AI190*VLOOKUP('Données projet'!$B$10,Paramètres!$A$1:$I$89,3,0)*VLOOKUP('Données projet'!$B$10,Paramètres!$A$1:$I$89,5,0)</f>
        <v>0.83719999999998651</v>
      </c>
      <c r="AK190" s="13">
        <f t="shared" si="164"/>
        <v>0.39388003094446933</v>
      </c>
      <c r="AL190" s="20">
        <f t="shared" si="165"/>
        <v>2.144131053894927</v>
      </c>
      <c r="AM190" s="59">
        <f t="shared" si="113"/>
        <v>292.00224083335132</v>
      </c>
      <c r="AN190" s="59">
        <f ca="1">AVERAGE(OFFSET($AM$3,0,0,'Données projet'!$E$10+1,1))-AVERAGE(OFFSET($H$3,0,0,'Données projet'!$E$10+1,1))</f>
        <v>318.6615972007902</v>
      </c>
      <c r="AO190" s="59">
        <f t="shared" si="144"/>
        <v>326.82168950869504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11.18444276196956</v>
      </c>
      <c r="AV190" s="21">
        <f>EXP(-LN(2)/25)*AV189+(1-EXP(-LN(2)/25))/(LN(2)/25)*Calculateur!AQ190*Calculateur!AS190*VLOOKUP('Données projet'!$B$10,Paramètres!$A$1:$I$89,3,0)*0.475*44/12</f>
        <v>1.4258448862726085</v>
      </c>
      <c r="AW190" s="21">
        <f>EXP(-LN(2)/2)*AW189+(1-EXP(-LN(2)/2))/(LN(2)/2)*AQ190*AT190*VLOOKUP('Données projet'!$B$10,Paramètres!$A$1:$I$89,3,0)*0.475*44/12</f>
        <v>4.5821548975906333E-18</v>
      </c>
      <c r="AX190" s="21">
        <f t="shared" si="166"/>
        <v>12.610287648242169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-5.6843418860808015E-14</v>
      </c>
      <c r="BE190" s="13">
        <f>BD190*VLOOKUP('Données projet'!$B$11,Paramètres!$A$1:$I$89,3,0)*VLOOKUP('Données projet'!$B$11,Paramètres!$A$1:$I$89,5,0)</f>
        <v>-5.7639226724859328E-14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402.96916953216805</v>
      </c>
      <c r="BJ190" s="59">
        <f t="shared" si="146"/>
        <v>164.89273051331318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12.265053562595782</v>
      </c>
      <c r="BQ190" s="21">
        <f>EXP(-LN(2)/25)*BQ189+(1-EXP(-LN(2)/25))/(LN(2)/25)*Calculateur!BL190*Calculateur!BN190*VLOOKUP('Données projet'!$B$11,Paramètres!$A$1:$I$89,3,0)*0.475*44/12</f>
        <v>7.9513899508680952</v>
      </c>
      <c r="BR190" s="21">
        <f>EXP(-LN(2)/2)*BR189+(1-EXP(-LN(2)/2))/(LN(2)/2)*BL190*BO190*VLOOKUP('Données projet'!$B$11,Paramètres!$A$1:$I$89,3,0)*0.475*44/12</f>
        <v>1.6867671276003177E-7</v>
      </c>
      <c r="BS190" s="22">
        <f t="shared" si="169"/>
        <v>20.216443682140589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-2.2737367544323206E-13</v>
      </c>
      <c r="BZ190" s="13">
        <f>BY190*VLOOKUP('Données projet'!$B$12,Paramètres!$A$1:$I$89,3,0)*VLOOKUP('Données projet'!$B$12,Paramètres!$A$1:$I$89,5,0)</f>
        <v>-1.3596945791505279E-13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373.61861223558259</v>
      </c>
      <c r="CE190" s="59">
        <f t="shared" si="148"/>
        <v>277.62293009761049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18.414430347507597</v>
      </c>
      <c r="CL190" s="21">
        <f>EXP(-LN(2)/25)*CL189+(1-EXP(-LN(2)/25))/(LN(2)/25)*Calculateur!CG190*Calculateur!CI190*VLOOKUP('Données projet'!$B$12,Paramètres!$A$1:$I$89,3,0)*0.475*44/12</f>
        <v>2.6635125383969349</v>
      </c>
      <c r="CM190" s="21">
        <f>EXP(-LN(2)/2)*CM189+(1-EXP(-LN(2)/2))/(LN(2)/2)*CG190*CJ190*VLOOKUP('Données projet'!$B$12,Paramètres!$A$1:$I$89,3,0)*0.475*44/12</f>
        <v>5.5515833782806031E-15</v>
      </c>
      <c r="CN190" s="22">
        <f t="shared" si="172"/>
        <v>21.077942885904541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3.979039320256561E-13</v>
      </c>
      <c r="O191" s="13">
        <f>N191*VLOOKUP('Données projet'!$B$9,Paramètres!$A$1:$I$89,3,0)*VLOOKUP('Données projet'!$B$9,Paramètres!$A$1:$I$89,5,0)</f>
        <v>3.6002347769681362E-13</v>
      </c>
      <c r="P191" s="13">
        <f t="shared" si="141"/>
        <v>4.6593569189922594E-12</v>
      </c>
      <c r="Q191" s="20">
        <f t="shared" si="162"/>
        <v>8.7420875242334695E-12</v>
      </c>
      <c r="R191" s="59">
        <f t="shared" si="109"/>
        <v>289.91839713868899</v>
      </c>
      <c r="S191" s="59">
        <f ca="1">AVERAGE(OFFSET($R$3,0,0,'Données projet'!$E$9+1,1))-AVERAGE(OFFSET($H$3,0,0,'Données projet'!$E$9+1,1))</f>
        <v>737.40414421611001</v>
      </c>
      <c r="T191" s="59">
        <f t="shared" si="142"/>
        <v>245.32893490531674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98.130450976353487</v>
      </c>
      <c r="AA191" s="21">
        <f>EXP(-LN(2)/25)*AA190+(1-EXP(-LN(2)/25))/(LN(2)/25)*Calculateur!V191*Calculateur!X191*VLOOKUP('Données projet'!$B$9,Paramètres!$A$1:$I$89,3,0)*0.475*44/12</f>
        <v>13.611070628145921</v>
      </c>
      <c r="AB191" s="21">
        <f>EXP(-LN(2)/2)*AB190+(1-EXP(-LN(2)/2))/(LN(2)/2)*V191*Y191*VLOOKUP('Données projet'!$B$9,Paramètres!$A$1:$I$89,3,0)*0.475*44/12</f>
        <v>4.9124037820100089E-4</v>
      </c>
      <c r="AC191" s="22">
        <f t="shared" si="163"/>
        <v>111.74201284487761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1.3999999999999773</v>
      </c>
      <c r="AJ191" s="13">
        <f>AI191*VLOOKUP('Données projet'!$B$10,Paramètres!$A$1:$I$89,3,0)*VLOOKUP('Données projet'!$B$10,Paramètres!$A$1:$I$89,5,0)</f>
        <v>0.83719999999998651</v>
      </c>
      <c r="AK191" s="13">
        <f t="shared" si="164"/>
        <v>0.39388003094446933</v>
      </c>
      <c r="AL191" s="20">
        <f t="shared" si="165"/>
        <v>2.144131053894927</v>
      </c>
      <c r="AM191" s="59">
        <f t="shared" si="113"/>
        <v>292.06252819257514</v>
      </c>
      <c r="AN191" s="59">
        <f ca="1">AVERAGE(OFFSET($AM$3,0,0,'Données projet'!$E$10+1,1))-AVERAGE(OFFSET($H$3,0,0,'Données projet'!$E$10+1,1))</f>
        <v>318.6615972007902</v>
      </c>
      <c r="AO191" s="59">
        <f t="shared" si="144"/>
        <v>326.82168950869504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10.965122661243822</v>
      </c>
      <c r="AV191" s="21">
        <f>EXP(-LN(2)/25)*AV190+(1-EXP(-LN(2)/25))/(LN(2)/25)*Calculateur!AQ191*Calculateur!AS191*VLOOKUP('Données projet'!$B$10,Paramètres!$A$1:$I$89,3,0)*0.475*44/12</f>
        <v>1.3868550828755604</v>
      </c>
      <c r="AW191" s="21">
        <f>EXP(-LN(2)/2)*AW190+(1-EXP(-LN(2)/2))/(LN(2)/2)*AQ191*AT191*VLOOKUP('Données projet'!$B$10,Paramètres!$A$1:$I$89,3,0)*0.475*44/12</f>
        <v>3.2400728005334871E-18</v>
      </c>
      <c r="AX191" s="21">
        <f t="shared" si="166"/>
        <v>12.351977744119381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-5.6843418860808015E-14</v>
      </c>
      <c r="BE191" s="13">
        <f>BD191*VLOOKUP('Données projet'!$B$11,Paramètres!$A$1:$I$89,3,0)*VLOOKUP('Données projet'!$B$11,Paramètres!$A$1:$I$89,5,0)</f>
        <v>-5.7639226724859328E-14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402.96916953216805</v>
      </c>
      <c r="BJ191" s="59">
        <f t="shared" si="146"/>
        <v>164.89273051331318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12.024543343177269</v>
      </c>
      <c r="BQ191" s="21">
        <f>EXP(-LN(2)/25)*BQ190+(1-EXP(-LN(2)/25))/(LN(2)/25)*Calculateur!BL191*Calculateur!BN191*VLOOKUP('Données projet'!$B$11,Paramètres!$A$1:$I$89,3,0)*0.475*44/12</f>
        <v>7.7339587745161831</v>
      </c>
      <c r="BR191" s="21">
        <f>EXP(-LN(2)/2)*BR190+(1-EXP(-LN(2)/2))/(LN(2)/2)*BL191*BO191*VLOOKUP('Données projet'!$B$11,Paramètres!$A$1:$I$89,3,0)*0.475*44/12</f>
        <v>1.1927244742087391E-7</v>
      </c>
      <c r="BS191" s="22">
        <f t="shared" si="169"/>
        <v>19.758502236965899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-2.2737367544323206E-13</v>
      </c>
      <c r="BZ191" s="13">
        <f>BY191*VLOOKUP('Données projet'!$B$12,Paramètres!$A$1:$I$89,3,0)*VLOOKUP('Données projet'!$B$12,Paramètres!$A$1:$I$89,5,0)</f>
        <v>-1.3596945791505279E-13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373.61861223558259</v>
      </c>
      <c r="CE191" s="59">
        <f t="shared" si="148"/>
        <v>277.62293009761049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18.053334600086448</v>
      </c>
      <c r="CL191" s="21">
        <f>EXP(-LN(2)/25)*CL190+(1-EXP(-LN(2)/25))/(LN(2)/25)*Calculateur!CG191*Calculateur!CI191*VLOOKUP('Données projet'!$B$12,Paramètres!$A$1:$I$89,3,0)*0.475*44/12</f>
        <v>2.5906786479664339</v>
      </c>
      <c r="CM191" s="21">
        <f>EXP(-LN(2)/2)*CM190+(1-EXP(-LN(2)/2))/(LN(2)/2)*CG191*CJ191*VLOOKUP('Données projet'!$B$12,Paramètres!$A$1:$I$89,3,0)*0.475*44/12</f>
        <v>3.9255622531047366E-15</v>
      </c>
      <c r="CN191" s="22">
        <f t="shared" si="172"/>
        <v>20.644013248052886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3.979039320256561E-13</v>
      </c>
      <c r="O192" s="13">
        <f>N192*VLOOKUP('Données projet'!$B$9,Paramètres!$A$1:$I$89,3,0)*VLOOKUP('Données projet'!$B$9,Paramètres!$A$1:$I$89,5,0)</f>
        <v>3.6002347769681362E-13</v>
      </c>
      <c r="P192" s="13">
        <f t="shared" si="141"/>
        <v>4.6593569189922594E-12</v>
      </c>
      <c r="Q192" s="20">
        <f t="shared" si="162"/>
        <v>8.7420875242334695E-12</v>
      </c>
      <c r="R192" s="59">
        <f t="shared" si="109"/>
        <v>289.97763864701261</v>
      </c>
      <c r="S192" s="59">
        <f ca="1">AVERAGE(OFFSET($R$3,0,0,'Données projet'!$E$9+1,1))-AVERAGE(OFFSET($H$3,0,0,'Données projet'!$E$9+1,1))</f>
        <v>737.40414421611001</v>
      </c>
      <c r="T192" s="59">
        <f t="shared" si="142"/>
        <v>245.32893490531674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96.206172686372227</v>
      </c>
      <c r="AA192" s="21">
        <f>EXP(-LN(2)/25)*AA191+(1-EXP(-LN(2)/25))/(LN(2)/25)*Calculateur!V192*Calculateur!X192*VLOOKUP('Données projet'!$B$9,Paramètres!$A$1:$I$89,3,0)*0.475*44/12</f>
        <v>13.238875186044174</v>
      </c>
      <c r="AB192" s="21">
        <f>EXP(-LN(2)/2)*AB191+(1-EXP(-LN(2)/2))/(LN(2)/2)*V192*Y192*VLOOKUP('Données projet'!$B$9,Paramètres!$A$1:$I$89,3,0)*0.475*44/12</f>
        <v>3.4735940261857199E-4</v>
      </c>
      <c r="AC192" s="22">
        <f t="shared" si="163"/>
        <v>109.44539523181902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1.3999999999999773</v>
      </c>
      <c r="AJ192" s="13">
        <f>AI192*VLOOKUP('Données projet'!$B$10,Paramètres!$A$1:$I$89,3,0)*VLOOKUP('Données projet'!$B$10,Paramètres!$A$1:$I$89,5,0)</f>
        <v>0.83719999999998651</v>
      </c>
      <c r="AK192" s="13">
        <f t="shared" si="164"/>
        <v>0.39388003094446933</v>
      </c>
      <c r="AL192" s="20">
        <f t="shared" si="165"/>
        <v>2.144131053894927</v>
      </c>
      <c r="AM192" s="59">
        <f t="shared" si="113"/>
        <v>292.12176970089877</v>
      </c>
      <c r="AN192" s="59">
        <f ca="1">AVERAGE(OFFSET($AM$3,0,0,'Données projet'!$E$10+1,1))-AVERAGE(OFFSET($H$3,0,0,'Données projet'!$E$10+1,1))</f>
        <v>318.6615972007902</v>
      </c>
      <c r="AO192" s="59">
        <f t="shared" si="144"/>
        <v>326.82168950869504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10.750103293921262</v>
      </c>
      <c r="AV192" s="21">
        <f>EXP(-LN(2)/25)*AV191+(1-EXP(-LN(2)/25))/(LN(2)/25)*Calculateur!AQ192*Calculateur!AS192*VLOOKUP('Données projet'!$B$10,Paramètres!$A$1:$I$89,3,0)*0.475*44/12</f>
        <v>1.3489314577027891</v>
      </c>
      <c r="AW192" s="21">
        <f>EXP(-LN(2)/2)*AW191+(1-EXP(-LN(2)/2))/(LN(2)/2)*AQ192*AT192*VLOOKUP('Données projet'!$B$10,Paramètres!$A$1:$I$89,3,0)*0.475*44/12</f>
        <v>2.2910774487953166E-18</v>
      </c>
      <c r="AX192" s="21">
        <f t="shared" si="166"/>
        <v>12.099034751624052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-5.6843418860808015E-14</v>
      </c>
      <c r="BE192" s="13">
        <f>BD192*VLOOKUP('Données projet'!$B$11,Paramètres!$A$1:$I$89,3,0)*VLOOKUP('Données projet'!$B$11,Paramètres!$A$1:$I$89,5,0)</f>
        <v>-5.7639226724859328E-14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402.96916953216805</v>
      </c>
      <c r="BJ192" s="59">
        <f t="shared" si="146"/>
        <v>164.89273051331318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11.788749382464806</v>
      </c>
      <c r="BQ192" s="21">
        <f>EXP(-LN(2)/25)*BQ191+(1-EXP(-LN(2)/25))/(LN(2)/25)*Calculateur!BL192*Calculateur!BN192*VLOOKUP('Données projet'!$B$11,Paramètres!$A$1:$I$89,3,0)*0.475*44/12</f>
        <v>7.5224732651158224</v>
      </c>
      <c r="BR192" s="21">
        <f>EXP(-LN(2)/2)*BR191+(1-EXP(-LN(2)/2))/(LN(2)/2)*BL192*BO192*VLOOKUP('Données projet'!$B$11,Paramètres!$A$1:$I$89,3,0)*0.475*44/12</f>
        <v>8.4338356380015884E-8</v>
      </c>
      <c r="BS192" s="22">
        <f t="shared" si="169"/>
        <v>19.311222731918985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-2.2737367544323206E-13</v>
      </c>
      <c r="BZ192" s="13">
        <f>BY192*VLOOKUP('Données projet'!$B$12,Paramètres!$A$1:$I$89,3,0)*VLOOKUP('Données projet'!$B$12,Paramètres!$A$1:$I$89,5,0)</f>
        <v>-1.3596945791505279E-13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373.61861223558259</v>
      </c>
      <c r="CE192" s="59">
        <f t="shared" si="148"/>
        <v>277.62293009761049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17.699319720025567</v>
      </c>
      <c r="CL192" s="21">
        <f>EXP(-LN(2)/25)*CL191+(1-EXP(-LN(2)/25))/(LN(2)/25)*Calculateur!CG192*Calculateur!CI192*VLOOKUP('Données projet'!$B$12,Paramètres!$A$1:$I$89,3,0)*0.475*44/12</f>
        <v>2.5198364040999226</v>
      </c>
      <c r="CM192" s="21">
        <f>EXP(-LN(2)/2)*CM191+(1-EXP(-LN(2)/2))/(LN(2)/2)*CG192*CJ192*VLOOKUP('Données projet'!$B$12,Paramètres!$A$1:$I$89,3,0)*0.475*44/12</f>
        <v>2.7757916891403015E-15</v>
      </c>
      <c r="CN192" s="22">
        <f t="shared" si="172"/>
        <v>20.219156124125494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3.979039320256561E-13</v>
      </c>
      <c r="O193" s="13">
        <f>N193*VLOOKUP('Données projet'!$B$9,Paramètres!$A$1:$I$89,3,0)*VLOOKUP('Données projet'!$B$9,Paramètres!$A$1:$I$89,5,0)</f>
        <v>3.6002347769681362E-13</v>
      </c>
      <c r="P193" s="13">
        <f t="shared" si="141"/>
        <v>4.6593569189922594E-12</v>
      </c>
      <c r="Q193" s="20">
        <f t="shared" si="162"/>
        <v>8.7420875242334695E-12</v>
      </c>
      <c r="R193" s="59">
        <f t="shared" si="109"/>
        <v>290.03585244761103</v>
      </c>
      <c r="S193" s="59">
        <f ca="1">AVERAGE(OFFSET($R$3,0,0,'Données projet'!$E$9+1,1))-AVERAGE(OFFSET($H$3,0,0,'Données projet'!$E$9+1,1))</f>
        <v>737.40414421611001</v>
      </c>
      <c r="T193" s="59">
        <f t="shared" si="142"/>
        <v>245.32893490531674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94.319628319963641</v>
      </c>
      <c r="AA193" s="21">
        <f>EXP(-LN(2)/25)*AA192+(1-EXP(-LN(2)/25))/(LN(2)/25)*Calculateur!V193*Calculateur!X193*VLOOKUP('Données projet'!$B$9,Paramètres!$A$1:$I$89,3,0)*0.475*44/12</f>
        <v>12.876857447879608</v>
      </c>
      <c r="AB193" s="21">
        <f>EXP(-LN(2)/2)*AB192+(1-EXP(-LN(2)/2))/(LN(2)/2)*V193*Y193*VLOOKUP('Données projet'!$B$9,Paramètres!$A$1:$I$89,3,0)*0.475*44/12</f>
        <v>2.4562018910050045E-4</v>
      </c>
      <c r="AC193" s="22">
        <f t="shared" si="163"/>
        <v>107.19673138803236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1.3999999999999773</v>
      </c>
      <c r="AJ193" s="13">
        <f>AI193*VLOOKUP('Données projet'!$B$10,Paramètres!$A$1:$I$89,3,0)*VLOOKUP('Données projet'!$B$10,Paramètres!$A$1:$I$89,5,0)</f>
        <v>0.83719999999998651</v>
      </c>
      <c r="AK193" s="13">
        <f t="shared" si="164"/>
        <v>0.39388003094446933</v>
      </c>
      <c r="AL193" s="20">
        <f t="shared" si="165"/>
        <v>2.144131053894927</v>
      </c>
      <c r="AM193" s="59">
        <f t="shared" si="113"/>
        <v>292.17998350149719</v>
      </c>
      <c r="AN193" s="59">
        <f ca="1">AVERAGE(OFFSET($AM$3,0,0,'Données projet'!$E$10+1,1))-AVERAGE(OFFSET($H$3,0,0,'Données projet'!$E$10+1,1))</f>
        <v>318.6615972007902</v>
      </c>
      <c r="AO193" s="59">
        <f t="shared" si="144"/>
        <v>326.82168950869504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10.539300325243033</v>
      </c>
      <c r="AV193" s="21">
        <f>EXP(-LN(2)/25)*AV192+(1-EXP(-LN(2)/25))/(LN(2)/25)*Calculateur!AQ193*Calculateur!AS193*VLOOKUP('Données projet'!$B$10,Paramètres!$A$1:$I$89,3,0)*0.475*44/12</f>
        <v>1.312044856054684</v>
      </c>
      <c r="AW193" s="21">
        <f>EXP(-LN(2)/2)*AW192+(1-EXP(-LN(2)/2))/(LN(2)/2)*AQ193*AT193*VLOOKUP('Données projet'!$B$10,Paramètres!$A$1:$I$89,3,0)*0.475*44/12</f>
        <v>1.6200364002667435E-18</v>
      </c>
      <c r="AX193" s="21">
        <f t="shared" si="166"/>
        <v>11.851345181297717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-5.6843418860808015E-14</v>
      </c>
      <c r="BE193" s="13">
        <f>BD193*VLOOKUP('Données projet'!$B$11,Paramètres!$A$1:$I$89,3,0)*VLOOKUP('Données projet'!$B$11,Paramètres!$A$1:$I$89,5,0)</f>
        <v>-5.7639226724859328E-14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402.96916953216805</v>
      </c>
      <c r="BJ193" s="59">
        <f t="shared" si="146"/>
        <v>164.89273051331318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11.557579197501799</v>
      </c>
      <c r="BQ193" s="21">
        <f>EXP(-LN(2)/25)*BQ192+(1-EXP(-LN(2)/25))/(LN(2)/25)*Calculateur!BL193*Calculateur!BN193*VLOOKUP('Données projet'!$B$11,Paramètres!$A$1:$I$89,3,0)*0.475*44/12</f>
        <v>7.3167708380915544</v>
      </c>
      <c r="BR193" s="21">
        <f>EXP(-LN(2)/2)*BR192+(1-EXP(-LN(2)/2))/(LN(2)/2)*BL193*BO193*VLOOKUP('Données projet'!$B$11,Paramètres!$A$1:$I$89,3,0)*0.475*44/12</f>
        <v>5.9636223710436954E-8</v>
      </c>
      <c r="BS193" s="22">
        <f t="shared" si="169"/>
        <v>18.874350095229577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-2.2737367544323206E-13</v>
      </c>
      <c r="BZ193" s="13">
        <f>BY193*VLOOKUP('Données projet'!$B$12,Paramètres!$A$1:$I$89,3,0)*VLOOKUP('Données projet'!$B$12,Paramètres!$A$1:$I$89,5,0)</f>
        <v>-1.3596945791505279E-13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373.61861223558259</v>
      </c>
      <c r="CE193" s="59">
        <f t="shared" si="148"/>
        <v>277.62293009761049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17.352246855834927</v>
      </c>
      <c r="CL193" s="21">
        <f>EXP(-LN(2)/25)*CL192+(1-EXP(-LN(2)/25))/(LN(2)/25)*Calculateur!CG193*Calculateur!CI193*VLOOKUP('Données projet'!$B$12,Paramètres!$A$1:$I$89,3,0)*0.475*44/12</f>
        <v>2.4509313451173731</v>
      </c>
      <c r="CM193" s="21">
        <f>EXP(-LN(2)/2)*CM192+(1-EXP(-LN(2)/2))/(LN(2)/2)*CG193*CJ193*VLOOKUP('Données projet'!$B$12,Paramètres!$A$1:$I$89,3,0)*0.475*44/12</f>
        <v>1.9627811265523683E-15</v>
      </c>
      <c r="CN193" s="22">
        <f t="shared" si="172"/>
        <v>19.803178200952303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3.979039320256561E-13</v>
      </c>
      <c r="O194" s="13">
        <f>N194*VLOOKUP('Données projet'!$B$9,Paramètres!$A$1:$I$89,3,0)*VLOOKUP('Données projet'!$B$9,Paramètres!$A$1:$I$89,5,0)</f>
        <v>3.6002347769681362E-13</v>
      </c>
      <c r="P194" s="13">
        <f t="shared" si="141"/>
        <v>4.6593569189922594E-12</v>
      </c>
      <c r="Q194" s="20">
        <f t="shared" si="162"/>
        <v>8.7420875242334695E-12</v>
      </c>
      <c r="R194" s="59">
        <f t="shared" si="109"/>
        <v>290.0930563689156</v>
      </c>
      <c r="S194" s="59">
        <f ca="1">AVERAGE(OFFSET($R$3,0,0,'Données projet'!$E$9+1,1))-AVERAGE(OFFSET($H$3,0,0,'Données projet'!$E$9+1,1))</f>
        <v>737.40414421611001</v>
      </c>
      <c r="T194" s="59">
        <f t="shared" si="142"/>
        <v>245.32893490531674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92.470077937901877</v>
      </c>
      <c r="AA194" s="21">
        <f>EXP(-LN(2)/25)*AA193+(1-EXP(-LN(2)/25))/(LN(2)/25)*Calculateur!V194*Calculateur!X194*VLOOKUP('Données projet'!$B$9,Paramètres!$A$1:$I$89,3,0)*0.475*44/12</f>
        <v>12.524739103802837</v>
      </c>
      <c r="AB194" s="21">
        <f>EXP(-LN(2)/2)*AB193+(1-EXP(-LN(2)/2))/(LN(2)/2)*V194*Y194*VLOOKUP('Données projet'!$B$9,Paramètres!$A$1:$I$89,3,0)*0.475*44/12</f>
        <v>1.73679701309286E-4</v>
      </c>
      <c r="AC194" s="22">
        <f t="shared" si="163"/>
        <v>104.99499072140603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1.3999999999999773</v>
      </c>
      <c r="AJ194" s="13">
        <f>AI194*VLOOKUP('Données projet'!$B$10,Paramètres!$A$1:$I$89,3,0)*VLOOKUP('Données projet'!$B$10,Paramètres!$A$1:$I$89,5,0)</f>
        <v>0.83719999999998651</v>
      </c>
      <c r="AK194" s="13">
        <f t="shared" si="164"/>
        <v>0.39388003094446933</v>
      </c>
      <c r="AL194" s="20">
        <f t="shared" si="165"/>
        <v>2.144131053894927</v>
      </c>
      <c r="AM194" s="59">
        <f t="shared" si="113"/>
        <v>292.23718742280175</v>
      </c>
      <c r="AN194" s="59">
        <f ca="1">AVERAGE(OFFSET($AM$3,0,0,'Données projet'!$E$10+1,1))-AVERAGE(OFFSET($H$3,0,0,'Données projet'!$E$10+1,1))</f>
        <v>318.6615972007902</v>
      </c>
      <c r="AO194" s="59">
        <f t="shared" si="144"/>
        <v>326.82168950869504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10.332631074203469</v>
      </c>
      <c r="AV194" s="21">
        <f>EXP(-LN(2)/25)*AV193+(1-EXP(-LN(2)/25))/(LN(2)/25)*Calculateur!AQ194*Calculateur!AS194*VLOOKUP('Données projet'!$B$10,Paramètres!$A$1:$I$89,3,0)*0.475*44/12</f>
        <v>1.2761669204684285</v>
      </c>
      <c r="AW194" s="21">
        <f>EXP(-LN(2)/2)*AW193+(1-EXP(-LN(2)/2))/(LN(2)/2)*AQ194*AT194*VLOOKUP('Données projet'!$B$10,Paramètres!$A$1:$I$89,3,0)*0.475*44/12</f>
        <v>1.1455387243976583E-18</v>
      </c>
      <c r="AX194" s="21">
        <f t="shared" si="166"/>
        <v>11.608797994671898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-5.6843418860808015E-14</v>
      </c>
      <c r="BE194" s="13">
        <f>BD194*VLOOKUP('Données projet'!$B$11,Paramètres!$A$1:$I$89,3,0)*VLOOKUP('Données projet'!$B$11,Paramètres!$A$1:$I$89,5,0)</f>
        <v>-5.7639226724859328E-14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402.96916953216805</v>
      </c>
      <c r="BJ194" s="59">
        <f t="shared" si="146"/>
        <v>164.89273051331318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11.330942118866025</v>
      </c>
      <c r="BQ194" s="21">
        <f>EXP(-LN(2)/25)*BQ193+(1-EXP(-LN(2)/25))/(LN(2)/25)*Calculateur!BL194*Calculateur!BN194*VLOOKUP('Données projet'!$B$11,Paramètres!$A$1:$I$89,3,0)*0.475*44/12</f>
        <v>7.1166933547516855</v>
      </c>
      <c r="BR194" s="21">
        <f>EXP(-LN(2)/2)*BR193+(1-EXP(-LN(2)/2))/(LN(2)/2)*BL194*BO194*VLOOKUP('Données projet'!$B$11,Paramètres!$A$1:$I$89,3,0)*0.475*44/12</f>
        <v>4.2169178190007942E-8</v>
      </c>
      <c r="BS194" s="22">
        <f t="shared" si="169"/>
        <v>18.447635515786885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-2.2737367544323206E-13</v>
      </c>
      <c r="BZ194" s="13">
        <f>BY194*VLOOKUP('Données projet'!$B$12,Paramètres!$A$1:$I$89,3,0)*VLOOKUP('Données projet'!$B$12,Paramètres!$A$1:$I$89,5,0)</f>
        <v>-1.3596945791505279E-13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373.61861223558259</v>
      </c>
      <c r="CE194" s="59">
        <f t="shared" si="148"/>
        <v>277.62293009761049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17.01197987881752</v>
      </c>
      <c r="CL194" s="21">
        <f>EXP(-LN(2)/25)*CL193+(1-EXP(-LN(2)/25))/(LN(2)/25)*Calculateur!CG194*Calculateur!CI194*VLOOKUP('Données projet'!$B$12,Paramètres!$A$1:$I$89,3,0)*0.475*44/12</f>
        <v>2.3839104985962609</v>
      </c>
      <c r="CM194" s="21">
        <f>EXP(-LN(2)/2)*CM193+(1-EXP(-LN(2)/2))/(LN(2)/2)*CG194*CJ194*VLOOKUP('Données projet'!$B$12,Paramètres!$A$1:$I$89,3,0)*0.475*44/12</f>
        <v>1.3878958445701508E-15</v>
      </c>
      <c r="CN194" s="22">
        <f t="shared" si="172"/>
        <v>19.395890377413782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3.979039320256561E-13</v>
      </c>
      <c r="O195" s="13">
        <f>N195*VLOOKUP('Données projet'!$B$9,Paramètres!$A$1:$I$89,3,0)*VLOOKUP('Données projet'!$B$9,Paramètres!$A$1:$I$89,5,0)</f>
        <v>3.6002347769681362E-13</v>
      </c>
      <c r="P195" s="13">
        <f t="shared" si="141"/>
        <v>4.6593569189922594E-12</v>
      </c>
      <c r="Q195" s="20">
        <f t="shared" si="162"/>
        <v>8.7420875242334695E-12</v>
      </c>
      <c r="R195" s="59">
        <f t="shared" ref="R195:R203" si="191">Q195+(I195+J195)*44/12</f>
        <v>290.14926793007442</v>
      </c>
      <c r="S195" s="59">
        <f ca="1">AVERAGE(OFFSET($R$3,0,0,'Données projet'!$E$9+1,1))-AVERAGE(OFFSET($H$3,0,0,'Données projet'!$E$9+1,1))</f>
        <v>737.40414421611001</v>
      </c>
      <c r="T195" s="59">
        <f t="shared" si="142"/>
        <v>245.32893490531674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90.656796110718005</v>
      </c>
      <c r="AA195" s="21">
        <f>EXP(-LN(2)/25)*AA194+(1-EXP(-LN(2)/25))/(LN(2)/25)*Calculateur!V195*Calculateur!X195*VLOOKUP('Données projet'!$B$9,Paramètres!$A$1:$I$89,3,0)*0.475*44/12</f>
        <v>12.182249454361944</v>
      </c>
      <c r="AB195" s="21">
        <f>EXP(-LN(2)/2)*AB194+(1-EXP(-LN(2)/2))/(LN(2)/2)*V195*Y195*VLOOKUP('Données projet'!$B$9,Paramètres!$A$1:$I$89,3,0)*0.475*44/12</f>
        <v>1.2281009455025022E-4</v>
      </c>
      <c r="AC195" s="22">
        <f t="shared" si="163"/>
        <v>102.83916837517449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1.3999999999999773</v>
      </c>
      <c r="AJ195" s="13">
        <f>AI195*VLOOKUP('Données projet'!$B$10,Paramètres!$A$1:$I$89,3,0)*VLOOKUP('Données projet'!$B$10,Paramètres!$A$1:$I$89,5,0)</f>
        <v>0.83719999999998651</v>
      </c>
      <c r="AK195" s="13">
        <f t="shared" si="164"/>
        <v>0.39388003094446933</v>
      </c>
      <c r="AL195" s="20">
        <f t="shared" si="165"/>
        <v>2.144131053894927</v>
      </c>
      <c r="AM195" s="59">
        <f t="shared" si="113"/>
        <v>292.29339898396057</v>
      </c>
      <c r="AN195" s="59">
        <f ca="1">AVERAGE(OFFSET($AM$3,0,0,'Données projet'!$E$10+1,1))-AVERAGE(OFFSET($H$3,0,0,'Données projet'!$E$10+1,1))</f>
        <v>318.6615972007902</v>
      </c>
      <c r="AO195" s="59">
        <f t="shared" si="144"/>
        <v>326.82168950869504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10.130014481120996</v>
      </c>
      <c r="AV195" s="21">
        <f>EXP(-LN(2)/25)*AV194+(1-EXP(-LN(2)/25))/(LN(2)/25)*Calculateur!AQ195*Calculateur!AS195*VLOOKUP('Données projet'!$B$10,Paramètres!$A$1:$I$89,3,0)*0.475*44/12</f>
        <v>1.2412700689175178</v>
      </c>
      <c r="AW195" s="21">
        <f>EXP(-LN(2)/2)*AW194+(1-EXP(-LN(2)/2))/(LN(2)/2)*AQ195*AT195*VLOOKUP('Données projet'!$B$10,Paramètres!$A$1:$I$89,3,0)*0.475*44/12</f>
        <v>8.1001820013337176E-19</v>
      </c>
      <c r="AX195" s="21">
        <f t="shared" si="166"/>
        <v>11.371284550038514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-5.6843418860808015E-14</v>
      </c>
      <c r="BE195" s="13">
        <f>BD195*VLOOKUP('Données projet'!$B$11,Paramètres!$A$1:$I$89,3,0)*VLOOKUP('Données projet'!$B$11,Paramètres!$A$1:$I$89,5,0)</f>
        <v>-5.7639226724859328E-14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402.96916953216805</v>
      </c>
      <c r="BJ195" s="59">
        <f t="shared" si="146"/>
        <v>164.89273051331318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11.10874925510733</v>
      </c>
      <c r="BQ195" s="21">
        <f>EXP(-LN(2)/25)*BQ194+(1-EXP(-LN(2)/25))/(LN(2)/25)*Calculateur!BL195*Calculateur!BN195*VLOOKUP('Données projet'!$B$11,Paramètres!$A$1:$I$89,3,0)*0.475*44/12</f>
        <v>6.9220870007153623</v>
      </c>
      <c r="BR195" s="21">
        <f>EXP(-LN(2)/2)*BR194+(1-EXP(-LN(2)/2))/(LN(2)/2)*BL195*BO195*VLOOKUP('Données projet'!$B$11,Paramètres!$A$1:$I$89,3,0)*0.475*44/12</f>
        <v>2.9818111855218477E-8</v>
      </c>
      <c r="BS195" s="22">
        <f t="shared" si="169"/>
        <v>18.030836285640802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-2.2737367544323206E-13</v>
      </c>
      <c r="BZ195" s="13">
        <f>BY195*VLOOKUP('Données projet'!$B$12,Paramètres!$A$1:$I$89,3,0)*VLOOKUP('Données projet'!$B$12,Paramètres!$A$1:$I$89,5,0)</f>
        <v>-1.3596945791505279E-13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373.61861223558259</v>
      </c>
      <c r="CE195" s="59">
        <f t="shared" si="148"/>
        <v>277.62293009761049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16.678385329677063</v>
      </c>
      <c r="CL195" s="21">
        <f>EXP(-LN(2)/25)*CL194+(1-EXP(-LN(2)/25))/(LN(2)/25)*Calculateur!CG195*Calculateur!CI195*VLOOKUP('Données projet'!$B$12,Paramètres!$A$1:$I$89,3,0)*0.475*44/12</f>
        <v>2.3187223406477417</v>
      </c>
      <c r="CM195" s="21">
        <f>EXP(-LN(2)/2)*CM194+(1-EXP(-LN(2)/2))/(LN(2)/2)*CG195*CJ195*VLOOKUP('Données projet'!$B$12,Paramètres!$A$1:$I$89,3,0)*0.475*44/12</f>
        <v>9.8139056327618416E-16</v>
      </c>
      <c r="CN195" s="22">
        <f t="shared" si="172"/>
        <v>18.997107670324805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3.979039320256561E-13</v>
      </c>
      <c r="O196" s="13">
        <f>N196*VLOOKUP('Données projet'!$B$9,Paramètres!$A$1:$I$89,3,0)*VLOOKUP('Données projet'!$B$9,Paramètres!$A$1:$I$89,5,0)</f>
        <v>3.6002347769681362E-13</v>
      </c>
      <c r="P196" s="13">
        <f t="shared" si="141"/>
        <v>4.6593569189922594E-12</v>
      </c>
      <c r="Q196" s="20">
        <f t="shared" si="162"/>
        <v>8.7420875242334695E-12</v>
      </c>
      <c r="R196" s="59">
        <f t="shared" si="191"/>
        <v>290.20450434631726</v>
      </c>
      <c r="S196" s="59">
        <f ca="1">AVERAGE(OFFSET($R$3,0,0,'Données projet'!$E$9+1,1))-AVERAGE(OFFSET($H$3,0,0,'Données projet'!$E$9+1,1))</f>
        <v>737.40414421611001</v>
      </c>
      <c r="T196" s="59">
        <f t="shared" si="142"/>
        <v>245.32893490531674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88.879071634172504</v>
      </c>
      <c r="AA196" s="21">
        <f>EXP(-LN(2)/25)*AA195+(1-EXP(-LN(2)/25))/(LN(2)/25)*Calculateur!V196*Calculateur!X196*VLOOKUP('Données projet'!$B$9,Paramètres!$A$1:$I$89,3,0)*0.475*44/12</f>
        <v>11.849125202395761</v>
      </c>
      <c r="AB196" s="21">
        <f>EXP(-LN(2)/2)*AB195+(1-EXP(-LN(2)/2))/(LN(2)/2)*V196*Y196*VLOOKUP('Données projet'!$B$9,Paramètres!$A$1:$I$89,3,0)*0.475*44/12</f>
        <v>8.6839850654642998E-5</v>
      </c>
      <c r="AC196" s="22">
        <f t="shared" si="163"/>
        <v>100.72828367641891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1.3999999999999773</v>
      </c>
      <c r="AJ196" s="13">
        <f>AI196*VLOOKUP('Données projet'!$B$10,Paramètres!$A$1:$I$89,3,0)*VLOOKUP('Données projet'!$B$10,Paramètres!$A$1:$I$89,5,0)</f>
        <v>0.83719999999998651</v>
      </c>
      <c r="AK196" s="13">
        <f t="shared" si="164"/>
        <v>0.39388003094446933</v>
      </c>
      <c r="AL196" s="20">
        <f t="shared" si="165"/>
        <v>2.144131053894927</v>
      </c>
      <c r="AM196" s="59">
        <f t="shared" ref="AM196:AM203" si="193">AL196+(AD196+AE196)*44/12</f>
        <v>292.34863540020342</v>
      </c>
      <c r="AN196" s="59">
        <f ca="1">AVERAGE(OFFSET($AM$3,0,0,'Données projet'!$E$10+1,1))-AVERAGE(OFFSET($H$3,0,0,'Données projet'!$E$10+1,1))</f>
        <v>318.6615972007902</v>
      </c>
      <c r="AO196" s="59">
        <f t="shared" si="144"/>
        <v>326.82168950869504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9.931371075844952</v>
      </c>
      <c r="AV196" s="21">
        <f>EXP(-LN(2)/25)*AV195+(1-EXP(-LN(2)/25))/(LN(2)/25)*Calculateur!AQ196*Calculateur!AS196*VLOOKUP('Données projet'!$B$10,Paramètres!$A$1:$I$89,3,0)*0.475*44/12</f>
        <v>1.2073274736074122</v>
      </c>
      <c r="AW196" s="21">
        <f>EXP(-LN(2)/2)*AW195+(1-EXP(-LN(2)/2))/(LN(2)/2)*AQ196*AT196*VLOOKUP('Données projet'!$B$10,Paramètres!$A$1:$I$89,3,0)*0.475*44/12</f>
        <v>5.7276936219882916E-19</v>
      </c>
      <c r="AX196" s="21">
        <f t="shared" si="166"/>
        <v>11.138698549452364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-5.6843418860808015E-14</v>
      </c>
      <c r="BE196" s="13">
        <f>BD196*VLOOKUP('Données projet'!$B$11,Paramètres!$A$1:$I$89,3,0)*VLOOKUP('Données projet'!$B$11,Paramètres!$A$1:$I$89,5,0)</f>
        <v>-5.7639226724859328E-14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402.96916953216805</v>
      </c>
      <c r="BJ196" s="59">
        <f t="shared" si="146"/>
        <v>164.89273051331318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10.890913457882679</v>
      </c>
      <c r="BQ196" s="21">
        <f>EXP(-LN(2)/25)*BQ195+(1-EXP(-LN(2)/25))/(LN(2)/25)*Calculateur!BL196*Calculateur!BN196*VLOOKUP('Données projet'!$B$11,Paramètres!$A$1:$I$89,3,0)*0.475*44/12</f>
        <v>6.7328021676640661</v>
      </c>
      <c r="BR196" s="21">
        <f>EXP(-LN(2)/2)*BR195+(1-EXP(-LN(2)/2))/(LN(2)/2)*BL196*BO196*VLOOKUP('Données projet'!$B$11,Paramètres!$A$1:$I$89,3,0)*0.475*44/12</f>
        <v>2.1084589095003971E-8</v>
      </c>
      <c r="BS196" s="22">
        <f t="shared" si="169"/>
        <v>17.623715646631332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-2.2737367544323206E-13</v>
      </c>
      <c r="BZ196" s="13">
        <f>BY196*VLOOKUP('Données projet'!$B$12,Paramètres!$A$1:$I$89,3,0)*VLOOKUP('Données projet'!$B$12,Paramètres!$A$1:$I$89,5,0)</f>
        <v>-1.3596945791505279E-13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373.61861223558259</v>
      </c>
      <c r="CE196" s="59">
        <f t="shared" si="148"/>
        <v>277.62293009761049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16.351332366172667</v>
      </c>
      <c r="CL196" s="21">
        <f>EXP(-LN(2)/25)*CL195+(1-EXP(-LN(2)/25))/(LN(2)/25)*Calculateur!CG196*Calculateur!CI196*VLOOKUP('Données projet'!$B$12,Paramètres!$A$1:$I$89,3,0)*0.475*44/12</f>
        <v>2.2553167563064207</v>
      </c>
      <c r="CM196" s="21">
        <f>EXP(-LN(2)/2)*CM195+(1-EXP(-LN(2)/2))/(LN(2)/2)*CG196*CJ196*VLOOKUP('Données projet'!$B$12,Paramètres!$A$1:$I$89,3,0)*0.475*44/12</f>
        <v>6.9394792228507538E-16</v>
      </c>
      <c r="CN196" s="22">
        <f t="shared" si="172"/>
        <v>18.606649122479087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3.979039320256561E-13</v>
      </c>
      <c r="O197" s="13">
        <f>N197*VLOOKUP('Données projet'!$B$9,Paramètres!$A$1:$I$89,3,0)*VLOOKUP('Données projet'!$B$9,Paramètres!$A$1:$I$89,5,0)</f>
        <v>3.6002347769681362E-13</v>
      </c>
      <c r="P197" s="13">
        <f t="shared" ref="P197:P203" si="203">EXP(-1.0587+0.8836*LN(O197)+0.284)</f>
        <v>4.6593569189922594E-12</v>
      </c>
      <c r="Q197" s="20">
        <f t="shared" si="162"/>
        <v>8.7420875242334695E-12</v>
      </c>
      <c r="R197" s="59">
        <f t="shared" si="191"/>
        <v>290.25878253422849</v>
      </c>
      <c r="S197" s="59">
        <f ca="1">AVERAGE(OFFSET($R$3,0,0,'Données projet'!$E$9+1,1))-AVERAGE(OFFSET($H$3,0,0,'Données projet'!$E$9+1,1))</f>
        <v>737.40414421611001</v>
      </c>
      <c r="T197" s="59">
        <f t="shared" ref="T197:T203" si="204">$T$3</f>
        <v>245.32893490531674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87.136207250307194</v>
      </c>
      <c r="AA197" s="21">
        <f>EXP(-LN(2)/25)*AA196+(1-EXP(-LN(2)/25))/(LN(2)/25)*Calculateur!V197*Calculateur!X197*VLOOKUP('Données projet'!$B$9,Paramètres!$A$1:$I$89,3,0)*0.475*44/12</f>
        <v>11.525110250617836</v>
      </c>
      <c r="AB197" s="21">
        <f>EXP(-LN(2)/2)*AB196+(1-EXP(-LN(2)/2))/(LN(2)/2)*V197*Y197*VLOOKUP('Données projet'!$B$9,Paramètres!$A$1:$I$89,3,0)*0.475*44/12</f>
        <v>6.1405047275125111E-5</v>
      </c>
      <c r="AC197" s="22">
        <f t="shared" si="163"/>
        <v>98.661378905972313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1.3999999999999773</v>
      </c>
      <c r="AJ197" s="13">
        <f>AI197*VLOOKUP('Données projet'!$B$10,Paramètres!$A$1:$I$89,3,0)*VLOOKUP('Données projet'!$B$10,Paramètres!$A$1:$I$89,5,0)</f>
        <v>0.83719999999998651</v>
      </c>
      <c r="AK197" s="13">
        <f t="shared" si="164"/>
        <v>0.39388003094446933</v>
      </c>
      <c r="AL197" s="20">
        <f t="shared" si="165"/>
        <v>2.144131053894927</v>
      </c>
      <c r="AM197" s="59">
        <f t="shared" si="193"/>
        <v>292.40291358811464</v>
      </c>
      <c r="AN197" s="59">
        <f ca="1">AVERAGE(OFFSET($AM$3,0,0,'Données projet'!$E$10+1,1))-AVERAGE(OFFSET($H$3,0,0,'Données projet'!$E$10+1,1))</f>
        <v>318.6615972007902</v>
      </c>
      <c r="AO197" s="59">
        <f t="shared" ref="AO197:AO203" si="205">$AO$3</f>
        <v>326.82168950869504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9.7366229465858574</v>
      </c>
      <c r="AV197" s="21">
        <f>EXP(-LN(2)/25)*AV196+(1-EXP(-LN(2)/25))/(LN(2)/25)*Calculateur!AQ197*Calculateur!AS197*VLOOKUP('Données projet'!$B$10,Paramètres!$A$1:$I$89,3,0)*0.475*44/12</f>
        <v>1.1743130403510251</v>
      </c>
      <c r="AW197" s="21">
        <f>EXP(-LN(2)/2)*AW196+(1-EXP(-LN(2)/2))/(LN(2)/2)*AQ197*AT197*VLOOKUP('Données projet'!$B$10,Paramètres!$A$1:$I$89,3,0)*0.475*44/12</f>
        <v>4.0500910006668588E-19</v>
      </c>
      <c r="AX197" s="21">
        <f t="shared" si="166"/>
        <v>10.910935986936883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-5.6843418860808015E-14</v>
      </c>
      <c r="BE197" s="13">
        <f>BD197*VLOOKUP('Données projet'!$B$11,Paramètres!$A$1:$I$89,3,0)*VLOOKUP('Données projet'!$B$11,Paramètres!$A$1:$I$89,5,0)</f>
        <v>-5.7639226724859328E-14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402.96916953216805</v>
      </c>
      <c r="BJ197" s="59">
        <f t="shared" ref="BJ197:BJ203" si="206">$BJ$3</f>
        <v>164.89273051331318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10.677349287774886</v>
      </c>
      <c r="BQ197" s="21">
        <f>EXP(-LN(2)/25)*BQ196+(1-EXP(-LN(2)/25))/(LN(2)/25)*Calculateur!BL197*Calculateur!BN197*VLOOKUP('Données projet'!$B$11,Paramètres!$A$1:$I$89,3,0)*0.475*44/12</f>
        <v>6.5486933383266139</v>
      </c>
      <c r="BR197" s="21">
        <f>EXP(-LN(2)/2)*BR196+(1-EXP(-LN(2)/2))/(LN(2)/2)*BL197*BO197*VLOOKUP('Données projet'!$B$11,Paramètres!$A$1:$I$89,3,0)*0.475*44/12</f>
        <v>1.4909055927609238E-8</v>
      </c>
      <c r="BS197" s="22">
        <f t="shared" si="169"/>
        <v>17.226042641010554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-2.2737367544323206E-13</v>
      </c>
      <c r="BZ197" s="13">
        <f>BY197*VLOOKUP('Données projet'!$B$12,Paramètres!$A$1:$I$89,3,0)*VLOOKUP('Données projet'!$B$12,Paramètres!$A$1:$I$89,5,0)</f>
        <v>-1.3596945791505279E-13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373.61861223558259</v>
      </c>
      <c r="CE197" s="59">
        <f t="shared" ref="CE197:CE203" si="207">$CE$3</f>
        <v>277.62293009761049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16.030692711799979</v>
      </c>
      <c r="CL197" s="21">
        <f>EXP(-LN(2)/25)*CL196+(1-EXP(-LN(2)/25))/(LN(2)/25)*Calculateur!CG197*Calculateur!CI197*VLOOKUP('Données projet'!$B$12,Paramètres!$A$1:$I$89,3,0)*0.475*44/12</f>
        <v>2.1936450010032682</v>
      </c>
      <c r="CM197" s="21">
        <f>EXP(-LN(2)/2)*CM196+(1-EXP(-LN(2)/2))/(LN(2)/2)*CG197*CJ197*VLOOKUP('Données projet'!$B$12,Paramètres!$A$1:$I$89,3,0)*0.475*44/12</f>
        <v>4.9069528163809208E-16</v>
      </c>
      <c r="CN197" s="22">
        <f t="shared" si="172"/>
        <v>18.224337712803248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3.979039320256561E-13</v>
      </c>
      <c r="O198" s="13">
        <f>N198*VLOOKUP('Données projet'!$B$9,Paramètres!$A$1:$I$89,3,0)*VLOOKUP('Données projet'!$B$9,Paramètres!$A$1:$I$89,5,0)</f>
        <v>3.6002347769681362E-13</v>
      </c>
      <c r="P198" s="13">
        <f t="shared" si="203"/>
        <v>4.6593569189922594E-12</v>
      </c>
      <c r="Q198" s="20">
        <f t="shared" si="162"/>
        <v>8.7420875242334695E-12</v>
      </c>
      <c r="R198" s="59">
        <f t="shared" si="191"/>
        <v>290.31211911692725</v>
      </c>
      <c r="S198" s="59">
        <f ca="1">AVERAGE(OFFSET($R$3,0,0,'Données projet'!$E$9+1,1))-AVERAGE(OFFSET($H$3,0,0,'Données projet'!$E$9+1,1))</f>
        <v>737.40414421611001</v>
      </c>
      <c r="T198" s="59">
        <f t="shared" si="204"/>
        <v>245.32893490531674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85.427519373967186</v>
      </c>
      <c r="AA198" s="21">
        <f>EXP(-LN(2)/25)*AA197+(1-EXP(-LN(2)/25))/(LN(2)/25)*Calculateur!V198*Calculateur!X198*VLOOKUP('Données projet'!$B$9,Paramètres!$A$1:$I$89,3,0)*0.475*44/12</f>
        <v>11.209955504735484</v>
      </c>
      <c r="AB198" s="21">
        <f>EXP(-LN(2)/2)*AB197+(1-EXP(-LN(2)/2))/(LN(2)/2)*V198*Y198*VLOOKUP('Données projet'!$B$9,Paramètres!$A$1:$I$89,3,0)*0.475*44/12</f>
        <v>4.3419925327321499E-5</v>
      </c>
      <c r="AC198" s="22">
        <f t="shared" si="163"/>
        <v>96.637518298628009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1.3999999999999773</v>
      </c>
      <c r="AJ198" s="13">
        <f>AI198*VLOOKUP('Données projet'!$B$10,Paramètres!$A$1:$I$89,3,0)*VLOOKUP('Données projet'!$B$10,Paramètres!$A$1:$I$89,5,0)</f>
        <v>0.83719999999998651</v>
      </c>
      <c r="AK198" s="13">
        <f t="shared" si="164"/>
        <v>0.39388003094446933</v>
      </c>
      <c r="AL198" s="20">
        <f t="shared" si="165"/>
        <v>2.144131053894927</v>
      </c>
      <c r="AM198" s="59">
        <f t="shared" si="193"/>
        <v>292.45625017081341</v>
      </c>
      <c r="AN198" s="59">
        <f ca="1">AVERAGE(OFFSET($AM$3,0,0,'Données projet'!$E$10+1,1))-AVERAGE(OFFSET($H$3,0,0,'Données projet'!$E$10+1,1))</f>
        <v>318.6615972007902</v>
      </c>
      <c r="AO198" s="59">
        <f t="shared" si="205"/>
        <v>326.82168950869504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9.5456937093569021</v>
      </c>
      <c r="AV198" s="21">
        <f>EXP(-LN(2)/25)*AV197+(1-EXP(-LN(2)/25))/(LN(2)/25)*Calculateur!AQ198*Calculateur!AS198*VLOOKUP('Données projet'!$B$10,Paramètres!$A$1:$I$89,3,0)*0.475*44/12</f>
        <v>1.1422013885081874</v>
      </c>
      <c r="AW198" s="21">
        <f>EXP(-LN(2)/2)*AW197+(1-EXP(-LN(2)/2))/(LN(2)/2)*AQ198*AT198*VLOOKUP('Données projet'!$B$10,Paramètres!$A$1:$I$89,3,0)*0.475*44/12</f>
        <v>2.8638468109941458E-19</v>
      </c>
      <c r="AX198" s="21">
        <f t="shared" si="166"/>
        <v>10.68789509786509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-5.6843418860808015E-14</v>
      </c>
      <c r="BE198" s="13">
        <f>BD198*VLOOKUP('Données projet'!$B$11,Paramètres!$A$1:$I$89,3,0)*VLOOKUP('Données projet'!$B$11,Paramètres!$A$1:$I$89,5,0)</f>
        <v>-5.7639226724859328E-14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402.96916953216805</v>
      </c>
      <c r="BJ198" s="59">
        <f t="shared" si="206"/>
        <v>164.89273051331318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10.467972980781626</v>
      </c>
      <c r="BQ198" s="21">
        <f>EXP(-LN(2)/25)*BQ197+(1-EXP(-LN(2)/25))/(LN(2)/25)*Calculateur!BL198*Calculateur!BN198*VLOOKUP('Données projet'!$B$11,Paramètres!$A$1:$I$89,3,0)*0.475*44/12</f>
        <v>6.3696189746092573</v>
      </c>
      <c r="BR198" s="21">
        <f>EXP(-LN(2)/2)*BR197+(1-EXP(-LN(2)/2))/(LN(2)/2)*BL198*BO198*VLOOKUP('Données projet'!$B$11,Paramètres!$A$1:$I$89,3,0)*0.475*44/12</f>
        <v>1.0542294547501985E-8</v>
      </c>
      <c r="BS198" s="22">
        <f t="shared" si="169"/>
        <v>16.837591965933179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-2.2737367544323206E-13</v>
      </c>
      <c r="BZ198" s="13">
        <f>BY198*VLOOKUP('Données projet'!$B$12,Paramètres!$A$1:$I$89,3,0)*VLOOKUP('Données projet'!$B$12,Paramètres!$A$1:$I$89,5,0)</f>
        <v>-1.3596945791505279E-13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373.61861223558259</v>
      </c>
      <c r="CE198" s="59">
        <f t="shared" si="207"/>
        <v>277.62293009761049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15.716340605478662</v>
      </c>
      <c r="CL198" s="21">
        <f>EXP(-LN(2)/25)*CL197+(1-EXP(-LN(2)/25))/(LN(2)/25)*Calculateur!CG198*Calculateur!CI198*VLOOKUP('Données projet'!$B$12,Paramètres!$A$1:$I$89,3,0)*0.475*44/12</f>
        <v>2.133659663092057</v>
      </c>
      <c r="CM198" s="21">
        <f>EXP(-LN(2)/2)*CM197+(1-EXP(-LN(2)/2))/(LN(2)/2)*CG198*CJ198*VLOOKUP('Données projet'!$B$12,Paramètres!$A$1:$I$89,3,0)*0.475*44/12</f>
        <v>3.4697396114253769E-16</v>
      </c>
      <c r="CN198" s="22">
        <f t="shared" si="172"/>
        <v>17.850000268570717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3.979039320256561E-13</v>
      </c>
      <c r="O199" s="13">
        <f>N199*VLOOKUP('Données projet'!$B$9,Paramètres!$A$1:$I$89,3,0)*VLOOKUP('Données projet'!$B$9,Paramètres!$A$1:$I$89,5,0)</f>
        <v>3.6002347769681362E-13</v>
      </c>
      <c r="P199" s="13">
        <f t="shared" si="203"/>
        <v>4.6593569189922594E-12</v>
      </c>
      <c r="Q199" s="20">
        <f t="shared" si="162"/>
        <v>8.7420875242334695E-12</v>
      </c>
      <c r="R199" s="59">
        <f t="shared" si="191"/>
        <v>290.36453042915895</v>
      </c>
      <c r="S199" s="59">
        <f ca="1">AVERAGE(OFFSET($R$3,0,0,'Données projet'!$E$9+1,1))-AVERAGE(OFFSET($H$3,0,0,'Données projet'!$E$9+1,1))</f>
        <v>737.40414421611001</v>
      </c>
      <c r="T199" s="59">
        <f t="shared" si="204"/>
        <v>245.32893490531674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83.752337824685497</v>
      </c>
      <c r="AA199" s="21">
        <f>EXP(-LN(2)/25)*AA198+(1-EXP(-LN(2)/25))/(LN(2)/25)*Calculateur!V199*Calculateur!X199*VLOOKUP('Données projet'!$B$9,Paramètres!$A$1:$I$89,3,0)*0.475*44/12</f>
        <v>10.903418681952553</v>
      </c>
      <c r="AB199" s="21">
        <f>EXP(-LN(2)/2)*AB198+(1-EXP(-LN(2)/2))/(LN(2)/2)*V199*Y199*VLOOKUP('Données projet'!$B$9,Paramètres!$A$1:$I$89,3,0)*0.475*44/12</f>
        <v>3.0702523637562556E-5</v>
      </c>
      <c r="AC199" s="22">
        <f t="shared" si="163"/>
        <v>94.655787209161687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1.3999999999999773</v>
      </c>
      <c r="AJ199" s="13">
        <f>AI199*VLOOKUP('Données projet'!$B$10,Paramètres!$A$1:$I$89,3,0)*VLOOKUP('Données projet'!$B$10,Paramètres!$A$1:$I$89,5,0)</f>
        <v>0.83719999999998651</v>
      </c>
      <c r="AK199" s="13">
        <f t="shared" si="164"/>
        <v>0.39388003094446933</v>
      </c>
      <c r="AL199" s="20">
        <f t="shared" si="165"/>
        <v>2.144131053894927</v>
      </c>
      <c r="AM199" s="59">
        <f t="shared" si="193"/>
        <v>292.5086614830451</v>
      </c>
      <c r="AN199" s="59">
        <f ca="1">AVERAGE(OFFSET($AM$3,0,0,'Données projet'!$E$10+1,1))-AVERAGE(OFFSET($H$3,0,0,'Données projet'!$E$10+1,1))</f>
        <v>318.6615972007902</v>
      </c>
      <c r="AO199" s="59">
        <f t="shared" si="205"/>
        <v>326.82168950869504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9.3585084780146719</v>
      </c>
      <c r="AV199" s="21">
        <f>EXP(-LN(2)/25)*AV198+(1-EXP(-LN(2)/25))/(LN(2)/25)*Calculateur!AQ199*Calculateur!AS199*VLOOKUP('Données projet'!$B$10,Paramètres!$A$1:$I$89,3,0)*0.475*44/12</f>
        <v>1.1109678314736706</v>
      </c>
      <c r="AW199" s="21">
        <f>EXP(-LN(2)/2)*AW198+(1-EXP(-LN(2)/2))/(LN(2)/2)*AQ199*AT199*VLOOKUP('Données projet'!$B$10,Paramètres!$A$1:$I$89,3,0)*0.475*44/12</f>
        <v>2.0250455003334294E-19</v>
      </c>
      <c r="AX199" s="21">
        <f t="shared" si="166"/>
        <v>10.469476309488343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-5.6843418860808015E-14</v>
      </c>
      <c r="BE199" s="13">
        <f>BD199*VLOOKUP('Données projet'!$B$11,Paramètres!$A$1:$I$89,3,0)*VLOOKUP('Données projet'!$B$11,Paramètres!$A$1:$I$89,5,0)</f>
        <v>-5.7639226724859328E-14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402.96916953216805</v>
      </c>
      <c r="BJ199" s="59">
        <f t="shared" si="206"/>
        <v>164.89273051331318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10.262702415461566</v>
      </c>
      <c r="BQ199" s="21">
        <f>EXP(-LN(2)/25)*BQ198+(1-EXP(-LN(2)/25))/(LN(2)/25)*Calculateur!BL199*Calculateur!BN199*VLOOKUP('Données projet'!$B$11,Paramètres!$A$1:$I$89,3,0)*0.475*44/12</f>
        <v>6.1954414087848635</v>
      </c>
      <c r="BR199" s="21">
        <f>EXP(-LN(2)/2)*BR198+(1-EXP(-LN(2)/2))/(LN(2)/2)*BL199*BO199*VLOOKUP('Données projet'!$B$11,Paramètres!$A$1:$I$89,3,0)*0.475*44/12</f>
        <v>7.4545279638046192E-9</v>
      </c>
      <c r="BS199" s="22">
        <f t="shared" si="169"/>
        <v>16.458143831700959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-2.2737367544323206E-13</v>
      </c>
      <c r="BZ199" s="13">
        <f>BY199*VLOOKUP('Données projet'!$B$12,Paramètres!$A$1:$I$89,3,0)*VLOOKUP('Données projet'!$B$12,Paramètres!$A$1:$I$89,5,0)</f>
        <v>-1.3596945791505279E-13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373.61861223558259</v>
      </c>
      <c r="CE199" s="59">
        <f t="shared" si="207"/>
        <v>277.62293009761049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15.408152752226453</v>
      </c>
      <c r="CL199" s="21">
        <f>EXP(-LN(2)/25)*CL198+(1-EXP(-LN(2)/25))/(LN(2)/25)*Calculateur!CG199*Calculateur!CI199*VLOOKUP('Données projet'!$B$12,Paramètres!$A$1:$I$89,3,0)*0.475*44/12</f>
        <v>2.0753146274005196</v>
      </c>
      <c r="CM199" s="21">
        <f>EXP(-LN(2)/2)*CM198+(1-EXP(-LN(2)/2))/(LN(2)/2)*CG199*CJ199*VLOOKUP('Données projet'!$B$12,Paramètres!$A$1:$I$89,3,0)*0.475*44/12</f>
        <v>2.4534764081904604E-16</v>
      </c>
      <c r="CN199" s="22">
        <f t="shared" si="172"/>
        <v>17.483467379626973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3.979039320256561E-13</v>
      </c>
      <c r="O200" s="13">
        <f>N200*VLOOKUP('Données projet'!$B$9,Paramètres!$A$1:$I$89,3,0)*VLOOKUP('Données projet'!$B$9,Paramètres!$A$1:$I$89,5,0)</f>
        <v>3.6002347769681362E-13</v>
      </c>
      <c r="P200" s="13">
        <f t="shared" si="203"/>
        <v>4.6593569189922594E-12</v>
      </c>
      <c r="Q200" s="20">
        <f t="shared" si="162"/>
        <v>8.7420875242334695E-12</v>
      </c>
      <c r="R200" s="59">
        <f t="shared" si="191"/>
        <v>290.41603252229754</v>
      </c>
      <c r="S200" s="59">
        <f ca="1">AVERAGE(OFFSET($R$3,0,0,'Données projet'!$E$9+1,1))-AVERAGE(OFFSET($H$3,0,0,'Données projet'!$E$9+1,1))</f>
        <v>737.40414421611001</v>
      </c>
      <c r="T200" s="59">
        <f t="shared" si="204"/>
        <v>245.32893490531674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82.110005563825368</v>
      </c>
      <c r="AA200" s="21">
        <f>EXP(-LN(2)/25)*AA199+(1-EXP(-LN(2)/25))/(LN(2)/25)*Calculateur!V200*Calculateur!X200*VLOOKUP('Données projet'!$B$9,Paramètres!$A$1:$I$89,3,0)*0.475*44/12</f>
        <v>10.605264124708693</v>
      </c>
      <c r="AB200" s="21">
        <f>EXP(-LN(2)/2)*AB199+(1-EXP(-LN(2)/2))/(LN(2)/2)*V200*Y200*VLOOKUP('Données projet'!$B$9,Paramètres!$A$1:$I$89,3,0)*0.475*44/12</f>
        <v>2.170996266366075E-5</v>
      </c>
      <c r="AC200" s="22">
        <f t="shared" si="163"/>
        <v>92.715291398496731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1.3999999999999773</v>
      </c>
      <c r="AJ200" s="13">
        <f>AI200*VLOOKUP('Données projet'!$B$10,Paramètres!$A$1:$I$89,3,0)*VLOOKUP('Données projet'!$B$10,Paramètres!$A$1:$I$89,5,0)</f>
        <v>0.83719999999998651</v>
      </c>
      <c r="AK200" s="13">
        <f t="shared" si="164"/>
        <v>0.39388003094446933</v>
      </c>
      <c r="AL200" s="20">
        <f t="shared" si="165"/>
        <v>2.144131053894927</v>
      </c>
      <c r="AM200" s="59">
        <f t="shared" si="193"/>
        <v>292.5601635761837</v>
      </c>
      <c r="AN200" s="59">
        <f ca="1">AVERAGE(OFFSET($AM$3,0,0,'Données projet'!$E$10+1,1))-AVERAGE(OFFSET($H$3,0,0,'Données projet'!$E$10+1,1))</f>
        <v>318.6615972007902</v>
      </c>
      <c r="AO200" s="59">
        <f t="shared" si="205"/>
        <v>326.82168950869504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9.1749938348873457</v>
      </c>
      <c r="AV200" s="21">
        <f>EXP(-LN(2)/25)*AV199+(1-EXP(-LN(2)/25))/(LN(2)/25)*Calculateur!AQ200*Calculateur!AS200*VLOOKUP('Données projet'!$B$10,Paramètres!$A$1:$I$89,3,0)*0.475*44/12</f>
        <v>1.080588357698764</v>
      </c>
      <c r="AW200" s="21">
        <f>EXP(-LN(2)/2)*AW199+(1-EXP(-LN(2)/2))/(LN(2)/2)*AQ200*AT200*VLOOKUP('Données projet'!$B$10,Paramètres!$A$1:$I$89,3,0)*0.475*44/12</f>
        <v>1.4319234054970729E-19</v>
      </c>
      <c r="AX200" s="21">
        <f t="shared" si="166"/>
        <v>10.255582192586109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-5.6843418860808015E-14</v>
      </c>
      <c r="BE200" s="13">
        <f>BD200*VLOOKUP('Données projet'!$B$11,Paramètres!$A$1:$I$89,3,0)*VLOOKUP('Données projet'!$B$11,Paramètres!$A$1:$I$89,5,0)</f>
        <v>-5.7639226724859328E-14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402.96916953216805</v>
      </c>
      <c r="BJ200" s="59">
        <f t="shared" si="206"/>
        <v>164.89273051331318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10.061457080724752</v>
      </c>
      <c r="BQ200" s="21">
        <f>EXP(-LN(2)/25)*BQ199+(1-EXP(-LN(2)/25))/(LN(2)/25)*Calculateur!BL200*Calculateur!BN200*VLOOKUP('Données projet'!$B$11,Paramètres!$A$1:$I$89,3,0)*0.475*44/12</f>
        <v>6.0260267376575376</v>
      </c>
      <c r="BR200" s="21">
        <f>EXP(-LN(2)/2)*BR199+(1-EXP(-LN(2)/2))/(LN(2)/2)*BL200*BO200*VLOOKUP('Données projet'!$B$11,Paramètres!$A$1:$I$89,3,0)*0.475*44/12</f>
        <v>5.2711472737509927E-9</v>
      </c>
      <c r="BS200" s="22">
        <f t="shared" si="169"/>
        <v>16.087483823653436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-2.2737367544323206E-13</v>
      </c>
      <c r="BZ200" s="13">
        <f>BY200*VLOOKUP('Données projet'!$B$12,Paramètres!$A$1:$I$89,3,0)*VLOOKUP('Données projet'!$B$12,Paramètres!$A$1:$I$89,5,0)</f>
        <v>-1.3596945791505279E-13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373.61861223558259</v>
      </c>
      <c r="CE200" s="59">
        <f t="shared" si="207"/>
        <v>277.62293009761049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15.106008274800491</v>
      </c>
      <c r="CL200" s="21">
        <f>EXP(-LN(2)/25)*CL199+(1-EXP(-LN(2)/25))/(LN(2)/25)*Calculateur!CG200*Calculateur!CI200*VLOOKUP('Données projet'!$B$12,Paramètres!$A$1:$I$89,3,0)*0.475*44/12</f>
        <v>2.0185650397781996</v>
      </c>
      <c r="CM200" s="21">
        <f>EXP(-LN(2)/2)*CM199+(1-EXP(-LN(2)/2))/(LN(2)/2)*CG200*CJ200*VLOOKUP('Données projet'!$B$12,Paramètres!$A$1:$I$89,3,0)*0.475*44/12</f>
        <v>1.7348698057126885E-16</v>
      </c>
      <c r="CN200" s="22">
        <f t="shared" si="172"/>
        <v>17.12457331457869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3.979039320256561E-13</v>
      </c>
      <c r="O201" s="13">
        <f>N201*VLOOKUP('Données projet'!$B$9,Paramètres!$A$1:$I$89,3,0)*VLOOKUP('Données projet'!$B$9,Paramètres!$A$1:$I$89,5,0)</f>
        <v>3.6002347769681362E-13</v>
      </c>
      <c r="P201" s="13">
        <f t="shared" si="203"/>
        <v>4.6593569189922594E-12</v>
      </c>
      <c r="Q201" s="20">
        <f t="shared" si="162"/>
        <v>8.7420875242334695E-12</v>
      </c>
      <c r="R201" s="59">
        <f t="shared" si="191"/>
        <v>290.46664116926166</v>
      </c>
      <c r="S201" s="59">
        <f ca="1">AVERAGE(OFFSET($R$3,0,0,'Données projet'!$E$9+1,1))-AVERAGE(OFFSET($H$3,0,0,'Données projet'!$E$9+1,1))</f>
        <v>737.40414421611001</v>
      </c>
      <c r="T201" s="59">
        <f t="shared" si="204"/>
        <v>245.32893490531674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80.499878436876941</v>
      </c>
      <c r="AA201" s="21">
        <f>EXP(-LN(2)/25)*AA200+(1-EXP(-LN(2)/25))/(LN(2)/25)*Calculateur!V201*Calculateur!X201*VLOOKUP('Données projet'!$B$9,Paramètres!$A$1:$I$89,3,0)*0.475*44/12</f>
        <v>10.315262619511932</v>
      </c>
      <c r="AB201" s="21">
        <f>EXP(-LN(2)/2)*AB200+(1-EXP(-LN(2)/2))/(LN(2)/2)*V201*Y201*VLOOKUP('Données projet'!$B$9,Paramètres!$A$1:$I$89,3,0)*0.475*44/12</f>
        <v>1.5351261818781278E-5</v>
      </c>
      <c r="AC201" s="22">
        <f t="shared" si="163"/>
        <v>90.81515640765069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1.3999999999999773</v>
      </c>
      <c r="AJ201" s="13">
        <f>AI201*VLOOKUP('Données projet'!$B$10,Paramètres!$A$1:$I$89,3,0)*VLOOKUP('Données projet'!$B$10,Paramètres!$A$1:$I$89,5,0)</f>
        <v>0.83719999999998651</v>
      </c>
      <c r="AK201" s="13">
        <f t="shared" si="164"/>
        <v>0.39388003094446933</v>
      </c>
      <c r="AL201" s="20">
        <f t="shared" si="165"/>
        <v>2.144131053894927</v>
      </c>
      <c r="AM201" s="59">
        <f t="shared" si="193"/>
        <v>292.61077222314782</v>
      </c>
      <c r="AN201" s="59">
        <f ca="1">AVERAGE(OFFSET($AM$3,0,0,'Données projet'!$E$10+1,1))-AVERAGE(OFFSET($H$3,0,0,'Données projet'!$E$10+1,1))</f>
        <v>318.6615972007902</v>
      </c>
      <c r="AO201" s="59">
        <f t="shared" si="205"/>
        <v>326.82168950869504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8.9950778019788658</v>
      </c>
      <c r="AV201" s="21">
        <f>EXP(-LN(2)/25)*AV200+(1-EXP(-LN(2)/25))/(LN(2)/25)*Calculateur!AQ201*Calculateur!AS201*VLOOKUP('Données projet'!$B$10,Paramètres!$A$1:$I$89,3,0)*0.475*44/12</f>
        <v>1.0510396122318193</v>
      </c>
      <c r="AW201" s="21">
        <f>EXP(-LN(2)/2)*AW200+(1-EXP(-LN(2)/2))/(LN(2)/2)*AQ201*AT201*VLOOKUP('Données projet'!$B$10,Paramètres!$A$1:$I$89,3,0)*0.475*44/12</f>
        <v>1.0125227501667147E-19</v>
      </c>
      <c r="AX201" s="21">
        <f t="shared" si="166"/>
        <v>10.046117414210684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-5.6843418860808015E-14</v>
      </c>
      <c r="BE201" s="13">
        <f>BD201*VLOOKUP('Données projet'!$B$11,Paramètres!$A$1:$I$89,3,0)*VLOOKUP('Données projet'!$B$11,Paramètres!$A$1:$I$89,5,0)</f>
        <v>-5.7639226724859328E-14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402.96916953216805</v>
      </c>
      <c r="BJ201" s="59">
        <f t="shared" si="206"/>
        <v>164.89273051331318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9.8641580442545926</v>
      </c>
      <c r="BQ201" s="21">
        <f>EXP(-LN(2)/25)*BQ200+(1-EXP(-LN(2)/25))/(LN(2)/25)*Calculateur!BL201*Calculateur!BN201*VLOOKUP('Données projet'!$B$11,Paramètres!$A$1:$I$89,3,0)*0.475*44/12</f>
        <v>5.8612447196213191</v>
      </c>
      <c r="BR201" s="21">
        <f>EXP(-LN(2)/2)*BR200+(1-EXP(-LN(2)/2))/(LN(2)/2)*BL201*BO201*VLOOKUP('Données projet'!$B$11,Paramètres!$A$1:$I$89,3,0)*0.475*44/12</f>
        <v>3.7272639819023096E-9</v>
      </c>
      <c r="BS201" s="22">
        <f t="shared" si="169"/>
        <v>15.725402767603176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-2.2737367544323206E-13</v>
      </c>
      <c r="BZ201" s="13">
        <f>BY201*VLOOKUP('Données projet'!$B$12,Paramètres!$A$1:$I$89,3,0)*VLOOKUP('Données projet'!$B$12,Paramètres!$A$1:$I$89,5,0)</f>
        <v>-1.3596945791505279E-13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373.61861223558259</v>
      </c>
      <c r="CE201" s="59">
        <f t="shared" si="207"/>
        <v>277.62293009761049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14.809788666286918</v>
      </c>
      <c r="CL201" s="21">
        <f>EXP(-LN(2)/25)*CL200+(1-EXP(-LN(2)/25))/(LN(2)/25)*Calculateur!CG201*Calculateur!CI201*VLOOKUP('Données projet'!$B$12,Paramètres!$A$1:$I$89,3,0)*0.475*44/12</f>
        <v>1.9633672726137428</v>
      </c>
      <c r="CM201" s="21">
        <f>EXP(-LN(2)/2)*CM200+(1-EXP(-LN(2)/2))/(LN(2)/2)*CG201*CJ201*VLOOKUP('Données projet'!$B$12,Paramètres!$A$1:$I$89,3,0)*0.475*44/12</f>
        <v>1.2267382040952302E-16</v>
      </c>
      <c r="CN201" s="22">
        <f t="shared" si="172"/>
        <v>16.773155938900661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3.979039320256561E-13</v>
      </c>
      <c r="O202" s="13">
        <f>N202*VLOOKUP('Données projet'!$B$9,Paramètres!$A$1:$I$89,3,0)*VLOOKUP('Données projet'!$B$9,Paramètres!$A$1:$I$89,5,0)</f>
        <v>3.6002347769681362E-13</v>
      </c>
      <c r="P202" s="13">
        <f t="shared" si="203"/>
        <v>4.6593569189922594E-12</v>
      </c>
      <c r="Q202" s="20">
        <f t="shared" si="162"/>
        <v>8.7420875242334695E-12</v>
      </c>
      <c r="R202" s="59">
        <f t="shared" si="191"/>
        <v>290.51637186934488</v>
      </c>
      <c r="S202" s="59">
        <f ca="1">AVERAGE(OFFSET($R$3,0,0,'Données projet'!$E$9+1,1))-AVERAGE(OFFSET($H$3,0,0,'Données projet'!$E$9+1,1))</f>
        <v>737.40414421611001</v>
      </c>
      <c r="T202" s="59">
        <f t="shared" si="204"/>
        <v>245.32893490531674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78.921324920807407</v>
      </c>
      <c r="AA202" s="21">
        <f>EXP(-LN(2)/25)*AA201+(1-EXP(-LN(2)/25))/(LN(2)/25)*Calculateur!V202*Calculateur!X202*VLOOKUP('Données projet'!$B$9,Paramètres!$A$1:$I$89,3,0)*0.475*44/12</f>
        <v>10.033191220725293</v>
      </c>
      <c r="AB202" s="21">
        <f>EXP(-LN(2)/2)*AB201+(1-EXP(-LN(2)/2))/(LN(2)/2)*V202*Y202*VLOOKUP('Données projet'!$B$9,Paramètres!$A$1:$I$89,3,0)*0.475*44/12</f>
        <v>1.0854981331830375E-5</v>
      </c>
      <c r="AC202" s="22">
        <f t="shared" si="163"/>
        <v>88.954526996514033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1.3999999999999773</v>
      </c>
      <c r="AJ202" s="13">
        <f>AI202*VLOOKUP('Données projet'!$B$10,Paramètres!$A$1:$I$89,3,0)*VLOOKUP('Données projet'!$B$10,Paramètres!$A$1:$I$89,5,0)</f>
        <v>0.83719999999998651</v>
      </c>
      <c r="AK202" s="13">
        <f t="shared" si="164"/>
        <v>0.39388003094446933</v>
      </c>
      <c r="AL202" s="20">
        <f t="shared" si="165"/>
        <v>2.144131053894927</v>
      </c>
      <c r="AM202" s="59">
        <f t="shared" si="193"/>
        <v>292.66050292323104</v>
      </c>
      <c r="AN202" s="59">
        <f ca="1">AVERAGE(OFFSET($AM$3,0,0,'Données projet'!$E$10+1,1))-AVERAGE(OFFSET($H$3,0,0,'Données projet'!$E$10+1,1))</f>
        <v>318.6615972007902</v>
      </c>
      <c r="AO202" s="59">
        <f t="shared" si="205"/>
        <v>326.82168950869504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8.8186898127377766</v>
      </c>
      <c r="AV202" s="21">
        <f>EXP(-LN(2)/25)*AV201+(1-EXP(-LN(2)/25))/(LN(2)/25)*Calculateur!AQ202*Calculateur!AS202*VLOOKUP('Données projet'!$B$10,Paramètres!$A$1:$I$89,3,0)*0.475*44/12</f>
        <v>1.0222988787635692</v>
      </c>
      <c r="AW202" s="21">
        <f>EXP(-LN(2)/2)*AW201+(1-EXP(-LN(2)/2))/(LN(2)/2)*AQ202*AT202*VLOOKUP('Données projet'!$B$10,Paramètres!$A$1:$I$89,3,0)*0.475*44/12</f>
        <v>7.1596170274853645E-20</v>
      </c>
      <c r="AX202" s="21">
        <f t="shared" si="166"/>
        <v>9.8409886915013463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-5.6843418860808015E-14</v>
      </c>
      <c r="BE202" s="13">
        <f>BD202*VLOOKUP('Données projet'!$B$11,Paramètres!$A$1:$I$89,3,0)*VLOOKUP('Données projet'!$B$11,Paramètres!$A$1:$I$89,5,0)</f>
        <v>-5.7639226724859328E-14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402.96916953216805</v>
      </c>
      <c r="BJ202" s="59">
        <f t="shared" si="206"/>
        <v>164.89273051331318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9.6707279215490836</v>
      </c>
      <c r="BQ202" s="21">
        <f>EXP(-LN(2)/25)*BQ201+(1-EXP(-LN(2)/25))/(LN(2)/25)*Calculateur!BL202*Calculateur!BN202*VLOOKUP('Données projet'!$B$11,Paramètres!$A$1:$I$89,3,0)*0.475*44/12</f>
        <v>5.7009686745338106</v>
      </c>
      <c r="BR202" s="21">
        <f>EXP(-LN(2)/2)*BR201+(1-EXP(-LN(2)/2))/(LN(2)/2)*BL202*BO202*VLOOKUP('Données projet'!$B$11,Paramètres!$A$1:$I$89,3,0)*0.475*44/12</f>
        <v>2.6355736368754964E-9</v>
      </c>
      <c r="BS202" s="22">
        <f t="shared" si="169"/>
        <v>15.371696598718469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-2.2737367544323206E-13</v>
      </c>
      <c r="BZ202" s="13">
        <f>BY202*VLOOKUP('Données projet'!$B$12,Paramètres!$A$1:$I$89,3,0)*VLOOKUP('Données projet'!$B$12,Paramètres!$A$1:$I$89,5,0)</f>
        <v>-1.3596945791505279E-13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373.61861223558259</v>
      </c>
      <c r="CE202" s="59">
        <f t="shared" si="207"/>
        <v>277.62293009761049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14.519377743620176</v>
      </c>
      <c r="CL202" s="21">
        <f>EXP(-LN(2)/25)*CL201+(1-EXP(-LN(2)/25))/(LN(2)/25)*Calculateur!CG202*Calculateur!CI202*VLOOKUP('Données projet'!$B$12,Paramètres!$A$1:$I$89,3,0)*0.475*44/12</f>
        <v>1.9096788912951224</v>
      </c>
      <c r="CM202" s="21">
        <f>EXP(-LN(2)/2)*CM201+(1-EXP(-LN(2)/2))/(LN(2)/2)*CG202*CJ202*VLOOKUP('Données projet'!$B$12,Paramètres!$A$1:$I$89,3,0)*0.475*44/12</f>
        <v>8.6743490285634423E-17</v>
      </c>
      <c r="CN202" s="22">
        <f t="shared" si="172"/>
        <v>16.429056634915298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3.979039320256561E-13</v>
      </c>
      <c r="O203" s="13">
        <f>N203*VLOOKUP('Données projet'!$B$9,Paramètres!$A$1:$I$89,3,0)*VLOOKUP('Données projet'!$B$9,Paramètres!$A$1:$I$89,5,0)</f>
        <v>3.6002347769681362E-13</v>
      </c>
      <c r="P203" s="13">
        <f t="shared" si="203"/>
        <v>4.6593569189922594E-12</v>
      </c>
      <c r="Q203" s="20">
        <f t="shared" si="162"/>
        <v>8.7420875242334695E-12</v>
      </c>
      <c r="R203" s="59">
        <f t="shared" si="191"/>
        <v>290.56523985296286</v>
      </c>
      <c r="S203" s="59">
        <f ca="1">AVERAGE(OFFSET($R$3,0,0,'Données projet'!$E$9+1,1))-AVERAGE(OFFSET($H$3,0,0,'Données projet'!$E$9+1,1))</f>
        <v>737.40414421611001</v>
      </c>
      <c r="T203" s="59">
        <f t="shared" si="204"/>
        <v>245.32893490531674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77.373725876365413</v>
      </c>
      <c r="AA203" s="21">
        <f>EXP(-LN(2)/25)*AA202+(1-EXP(-LN(2)/25))/(LN(2)/25)*Calculateur!V203*Calculateur!X203*VLOOKUP('Données projet'!$B$9,Paramètres!$A$1:$I$89,3,0)*0.475*44/12</f>
        <v>9.7588330791719642</v>
      </c>
      <c r="AB203" s="21">
        <f>EXP(-LN(2)/2)*AB202+(1-EXP(-LN(2)/2))/(LN(2)/2)*V203*Y203*VLOOKUP('Données projet'!$B$9,Paramètres!$A$1:$I$89,3,0)*0.475*44/12</f>
        <v>7.6756309093906389E-6</v>
      </c>
      <c r="AC203" s="22">
        <f t="shared" si="163"/>
        <v>87.132566631168288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1.3999999999999773</v>
      </c>
      <c r="AJ203" s="13">
        <f>AI203*VLOOKUP('Données projet'!$B$10,Paramètres!$A$1:$I$89,3,0)*VLOOKUP('Données projet'!$B$10,Paramètres!$A$1:$I$89,5,0)</f>
        <v>0.83719999999998651</v>
      </c>
      <c r="AK203" s="13">
        <f t="shared" si="164"/>
        <v>0.39388003094446933</v>
      </c>
      <c r="AL203" s="20">
        <f t="shared" si="165"/>
        <v>2.144131053894927</v>
      </c>
      <c r="AM203" s="59">
        <f t="shared" si="193"/>
        <v>292.70937090684902</v>
      </c>
      <c r="AN203" s="59">
        <f ca="1">AVERAGE(OFFSET($AM$3,0,0,'Données projet'!$E$10+1,1))-AVERAGE(OFFSET($H$3,0,0,'Données projet'!$E$10+1,1))</f>
        <v>318.6615972007902</v>
      </c>
      <c r="AO203" s="59">
        <f t="shared" si="205"/>
        <v>326.82168950869504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8.6457606843796562</v>
      </c>
      <c r="AV203" s="21">
        <f>EXP(-LN(2)/25)*AV202+(1-EXP(-LN(2)/25))/(LN(2)/25)*Calculateur!AQ203*Calculateur!AS203*VLOOKUP('Données projet'!$B$10,Paramètres!$A$1:$I$89,3,0)*0.475*44/12</f>
        <v>0.99434406216341786</v>
      </c>
      <c r="AW203" s="21">
        <f>EXP(-LN(2)/2)*AW202+(1-EXP(-LN(2)/2))/(LN(2)/2)*AQ203*AT203*VLOOKUP('Données projet'!$B$10,Paramètres!$A$1:$I$89,3,0)*0.475*44/12</f>
        <v>5.0626137508335735E-20</v>
      </c>
      <c r="AX203" s="21">
        <f t="shared" si="166"/>
        <v>9.6401047465430736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-5.6843418860808015E-14</v>
      </c>
      <c r="BE203" s="13">
        <f>BD203*VLOOKUP('Données projet'!$B$11,Paramètres!$A$1:$I$89,3,0)*VLOOKUP('Données projet'!$B$11,Paramètres!$A$1:$I$89,5,0)</f>
        <v>-5.7639226724859328E-14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402.96916953216805</v>
      </c>
      <c r="BJ203" s="59">
        <f t="shared" si="206"/>
        <v>164.89273051331318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9.4810908455691028</v>
      </c>
      <c r="BQ203" s="21">
        <f>EXP(-LN(2)/25)*BQ202+(1-EXP(-LN(2)/25))/(LN(2)/25)*Calculateur!BL203*Calculateur!BN203*VLOOKUP('Données projet'!$B$11,Paramètres!$A$1:$I$89,3,0)*0.475*44/12</f>
        <v>5.5450753863277704</v>
      </c>
      <c r="BR203" s="21">
        <f>EXP(-LN(2)/2)*BR202+(1-EXP(-LN(2)/2))/(LN(2)/2)*BL203*BO203*VLOOKUP('Données projet'!$B$11,Paramètres!$A$1:$I$89,3,0)*0.475*44/12</f>
        <v>1.8636319909511548E-9</v>
      </c>
      <c r="BS203" s="22">
        <f t="shared" si="169"/>
        <v>15.026166233760506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-2.2737367544323206E-13</v>
      </c>
      <c r="BZ203" s="13">
        <f>BY203*VLOOKUP('Données projet'!$B$12,Paramètres!$A$1:$I$89,3,0)*VLOOKUP('Données projet'!$B$12,Paramètres!$A$1:$I$89,5,0)</f>
        <v>-1.3596945791505279E-13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373.61861223558259</v>
      </c>
      <c r="CE203" s="59">
        <f t="shared" si="207"/>
        <v>277.62293009761049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14.234661602013755</v>
      </c>
      <c r="CL203" s="21">
        <f>EXP(-LN(2)/25)*CL202+(1-EXP(-LN(2)/25))/(LN(2)/25)*Calculateur!CG203*Calculateur!CI203*VLOOKUP('Données projet'!$B$12,Paramètres!$A$1:$I$89,3,0)*0.475*44/12</f>
        <v>1.857458621587009</v>
      </c>
      <c r="CM203" s="21">
        <f>EXP(-LN(2)/2)*CM202+(1-EXP(-LN(2)/2))/(LN(2)/2)*CG203*CJ203*VLOOKUP('Données projet'!$B$12,Paramètres!$A$1:$I$89,3,0)*0.475*44/12</f>
        <v>6.133691020476151E-17</v>
      </c>
      <c r="CN203" s="22">
        <f t="shared" si="172"/>
        <v>16.092120223600766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106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106</v>
      </c>
      <c r="BA204" s="81" t="s">
        <v>106</v>
      </c>
      <c r="BV204" s="81" t="s">
        <v>106</v>
      </c>
      <c r="CQ204" s="81" t="s">
        <v>106</v>
      </c>
      <c r="DL204" s="81" t="s">
        <v>106</v>
      </c>
      <c r="EG204" s="81" t="s">
        <v>106</v>
      </c>
      <c r="FB204" s="81" t="s">
        <v>106</v>
      </c>
      <c r="FW204" s="81" t="s">
        <v>106</v>
      </c>
      <c r="GR204" s="81" t="s">
        <v>106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1.1636646418946561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1.3275965341357465</v>
      </c>
      <c r="BA205" s="82">
        <f>EXP(LN('Données projet'!B88)/'Données projet'!A88)</f>
        <v>1.1375555435964608</v>
      </c>
      <c r="BV205" s="82">
        <f>EXP(LN('Données projet'!B114)/'Données projet'!A114)</f>
        <v>1.2474449991725556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5429687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54296875" style="4" bestFit="1" customWidth="1"/>
    <col min="7" max="7" width="11.453125" style="4" bestFit="1" customWidth="1"/>
    <col min="8" max="8" width="39" style="4" bestFit="1" customWidth="1"/>
    <col min="9" max="9" width="16.5429687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107</v>
      </c>
      <c r="B1" s="112" t="s">
        <v>108</v>
      </c>
      <c r="C1" s="113" t="s">
        <v>109</v>
      </c>
      <c r="D1" s="112" t="s">
        <v>110</v>
      </c>
      <c r="E1" s="113" t="s">
        <v>111</v>
      </c>
      <c r="F1" s="113" t="s">
        <v>110</v>
      </c>
      <c r="G1" s="113" t="s">
        <v>112</v>
      </c>
      <c r="H1" s="113" t="s">
        <v>110</v>
      </c>
      <c r="I1" s="114" t="s">
        <v>113</v>
      </c>
      <c r="J1" s="78"/>
      <c r="K1" s="78"/>
      <c r="L1" s="78"/>
      <c r="M1" s="78"/>
      <c r="N1" s="78"/>
    </row>
    <row r="2" spans="1:16" x14ac:dyDescent="0.35">
      <c r="A2" s="115" t="s">
        <v>114</v>
      </c>
      <c r="B2" s="116" t="s">
        <v>115</v>
      </c>
      <c r="C2" s="117">
        <v>0.62</v>
      </c>
      <c r="D2" s="117" t="s">
        <v>116</v>
      </c>
      <c r="E2" s="117">
        <v>1.56</v>
      </c>
      <c r="F2" s="117" t="s">
        <v>117</v>
      </c>
      <c r="G2" s="118">
        <v>0.43</v>
      </c>
      <c r="H2" s="119" t="s">
        <v>118</v>
      </c>
      <c r="I2" s="120">
        <v>0.25</v>
      </c>
      <c r="J2" s="78"/>
      <c r="K2" s="78"/>
      <c r="L2" s="78"/>
      <c r="M2" s="78"/>
      <c r="N2" s="78"/>
      <c r="O2" s="281" t="s">
        <v>119</v>
      </c>
      <c r="P2" s="121">
        <v>0</v>
      </c>
    </row>
    <row r="3" spans="1:16" ht="15" thickBot="1" x14ac:dyDescent="0.4">
      <c r="A3" s="122" t="s">
        <v>120</v>
      </c>
      <c r="B3" s="123" t="s">
        <v>121</v>
      </c>
      <c r="C3" s="124">
        <v>0.64</v>
      </c>
      <c r="D3" s="124" t="s">
        <v>116</v>
      </c>
      <c r="E3" s="124">
        <v>1.56</v>
      </c>
      <c r="F3" s="125" t="s">
        <v>117</v>
      </c>
      <c r="G3" s="126">
        <v>0.43</v>
      </c>
      <c r="H3" s="124" t="s">
        <v>118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122</v>
      </c>
      <c r="B4" s="123" t="s">
        <v>123</v>
      </c>
      <c r="C4" s="124">
        <v>0.42</v>
      </c>
      <c r="D4" s="124" t="s">
        <v>116</v>
      </c>
      <c r="E4" s="124">
        <v>1.56</v>
      </c>
      <c r="F4" s="125" t="s">
        <v>117</v>
      </c>
      <c r="G4" s="126">
        <v>0.43</v>
      </c>
      <c r="H4" s="124" t="s">
        <v>118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124</v>
      </c>
      <c r="B5" s="123" t="s">
        <v>125</v>
      </c>
      <c r="C5" s="124">
        <v>0.42</v>
      </c>
      <c r="D5" s="124" t="s">
        <v>116</v>
      </c>
      <c r="E5" s="124">
        <v>1.56</v>
      </c>
      <c r="F5" s="125" t="s">
        <v>117</v>
      </c>
      <c r="G5" s="126">
        <v>0.43</v>
      </c>
      <c r="H5" s="124" t="s">
        <v>118</v>
      </c>
      <c r="I5" s="127">
        <v>0.25</v>
      </c>
      <c r="J5" s="78"/>
      <c r="K5" s="78"/>
      <c r="L5" s="78"/>
      <c r="M5" s="78"/>
      <c r="N5" s="78"/>
      <c r="O5" s="281" t="s">
        <v>126</v>
      </c>
      <c r="P5" s="121">
        <v>0</v>
      </c>
    </row>
    <row r="6" spans="1:16" x14ac:dyDescent="0.35">
      <c r="A6" s="122" t="s">
        <v>127</v>
      </c>
      <c r="B6" s="123" t="s">
        <v>128</v>
      </c>
      <c r="C6" s="124">
        <v>0.42</v>
      </c>
      <c r="D6" s="124" t="s">
        <v>116</v>
      </c>
      <c r="E6" s="124">
        <v>1.56</v>
      </c>
      <c r="F6" s="125" t="s">
        <v>117</v>
      </c>
      <c r="G6" s="126">
        <v>0.43</v>
      </c>
      <c r="H6" s="124" t="s">
        <v>118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129</v>
      </c>
      <c r="B7" s="123" t="s">
        <v>130</v>
      </c>
      <c r="C7" s="124">
        <v>0.52</v>
      </c>
      <c r="D7" s="124" t="s">
        <v>116</v>
      </c>
      <c r="E7" s="124">
        <v>1.56</v>
      </c>
      <c r="F7" s="125" t="s">
        <v>117</v>
      </c>
      <c r="G7" s="126">
        <v>0.43</v>
      </c>
      <c r="H7" s="124" t="s">
        <v>118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131</v>
      </c>
      <c r="B8" s="123" t="s">
        <v>132</v>
      </c>
      <c r="C8" s="124">
        <v>0.36</v>
      </c>
      <c r="D8" s="124" t="s">
        <v>116</v>
      </c>
      <c r="E8" s="124">
        <v>1.3</v>
      </c>
      <c r="F8" s="125" t="s">
        <v>117</v>
      </c>
      <c r="G8" s="126">
        <v>0.55000000000000004</v>
      </c>
      <c r="H8" s="124" t="s">
        <v>133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134</v>
      </c>
      <c r="B9" s="123" t="s">
        <v>135</v>
      </c>
      <c r="C9" s="124">
        <v>0.61</v>
      </c>
      <c r="D9" s="124" t="s">
        <v>116</v>
      </c>
      <c r="E9" s="124">
        <v>1.56</v>
      </c>
      <c r="F9" s="125" t="s">
        <v>117</v>
      </c>
      <c r="G9" s="126">
        <v>0.43</v>
      </c>
      <c r="H9" s="124" t="s">
        <v>118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136</v>
      </c>
      <c r="B10" s="123" t="s">
        <v>137</v>
      </c>
      <c r="C10" s="124">
        <v>0.66</v>
      </c>
      <c r="D10" s="124" t="s">
        <v>116</v>
      </c>
      <c r="E10" s="124">
        <v>1.56</v>
      </c>
      <c r="F10" s="125" t="s">
        <v>117</v>
      </c>
      <c r="G10" s="126">
        <v>0.43</v>
      </c>
      <c r="H10" s="124" t="s">
        <v>118</v>
      </c>
      <c r="I10" s="127">
        <v>0.25</v>
      </c>
      <c r="J10" s="78"/>
      <c r="K10" s="78"/>
      <c r="L10" s="78"/>
      <c r="M10" s="78"/>
      <c r="N10" s="78"/>
      <c r="O10" s="281" t="s">
        <v>138</v>
      </c>
      <c r="P10" s="121">
        <v>0</v>
      </c>
    </row>
    <row r="11" spans="1:16" ht="15" thickBot="1" x14ac:dyDescent="0.4">
      <c r="A11" s="122" t="s">
        <v>139</v>
      </c>
      <c r="B11" s="123" t="s">
        <v>140</v>
      </c>
      <c r="C11" s="124">
        <v>0.47</v>
      </c>
      <c r="D11" s="124" t="s">
        <v>116</v>
      </c>
      <c r="E11" s="124">
        <v>1.56</v>
      </c>
      <c r="F11" s="125" t="s">
        <v>117</v>
      </c>
      <c r="G11" s="126">
        <v>0.43</v>
      </c>
      <c r="H11" s="124" t="s">
        <v>118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141</v>
      </c>
      <c r="B12" s="123" t="s">
        <v>142</v>
      </c>
      <c r="C12" s="124">
        <v>0.67</v>
      </c>
      <c r="D12" s="124" t="s">
        <v>116</v>
      </c>
      <c r="E12" s="124">
        <v>1.56</v>
      </c>
      <c r="F12" s="125" t="s">
        <v>117</v>
      </c>
      <c r="G12" s="126">
        <v>0.43</v>
      </c>
      <c r="H12" s="124" t="s">
        <v>143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144</v>
      </c>
      <c r="B13" s="123" t="s">
        <v>145</v>
      </c>
      <c r="C13" s="124">
        <v>0.7</v>
      </c>
      <c r="D13" s="124" t="s">
        <v>116</v>
      </c>
      <c r="E13" s="124">
        <v>1.56</v>
      </c>
      <c r="F13" s="125" t="s">
        <v>117</v>
      </c>
      <c r="G13" s="126">
        <v>0.43</v>
      </c>
      <c r="H13" s="124" t="s">
        <v>143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146</v>
      </c>
      <c r="B14" s="123" t="s">
        <v>147</v>
      </c>
      <c r="C14" s="124">
        <v>0.54</v>
      </c>
      <c r="D14" s="124" t="s">
        <v>116</v>
      </c>
      <c r="E14" s="124">
        <v>1.56</v>
      </c>
      <c r="F14" s="125" t="s">
        <v>117</v>
      </c>
      <c r="G14" s="126">
        <v>0.43</v>
      </c>
      <c r="H14" s="124" t="s">
        <v>143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21</v>
      </c>
      <c r="B15" s="123" t="s">
        <v>148</v>
      </c>
      <c r="C15" s="124">
        <v>0.65</v>
      </c>
      <c r="D15" s="124" t="s">
        <v>116</v>
      </c>
      <c r="E15" s="124">
        <v>1.56</v>
      </c>
      <c r="F15" s="125" t="s">
        <v>117</v>
      </c>
      <c r="G15" s="126">
        <v>0.43</v>
      </c>
      <c r="H15" s="124" t="s">
        <v>143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149</v>
      </c>
      <c r="B16" s="123" t="s">
        <v>150</v>
      </c>
      <c r="C16" s="124">
        <v>0.56000000000000005</v>
      </c>
      <c r="D16" s="124" t="s">
        <v>116</v>
      </c>
      <c r="E16" s="124">
        <v>1.56</v>
      </c>
      <c r="F16" s="125" t="s">
        <v>117</v>
      </c>
      <c r="G16" s="126">
        <v>0.43</v>
      </c>
      <c r="H16" s="124" t="s">
        <v>143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16</v>
      </c>
      <c r="B17" s="123" t="s">
        <v>151</v>
      </c>
      <c r="C17" s="124">
        <v>0.57999999999999996</v>
      </c>
      <c r="D17" s="124" t="s">
        <v>116</v>
      </c>
      <c r="E17" s="124">
        <v>1.56</v>
      </c>
      <c r="F17" s="125" t="s">
        <v>117</v>
      </c>
      <c r="G17" s="126">
        <v>0.43</v>
      </c>
      <c r="H17" s="124" t="s">
        <v>143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152</v>
      </c>
      <c r="B18" s="123" t="s">
        <v>153</v>
      </c>
      <c r="C18" s="124">
        <v>0.64</v>
      </c>
      <c r="D18" s="124" t="s">
        <v>116</v>
      </c>
      <c r="E18" s="124">
        <v>1.56</v>
      </c>
      <c r="F18" s="125" t="s">
        <v>117</v>
      </c>
      <c r="G18" s="126">
        <v>0.43</v>
      </c>
      <c r="H18" s="124" t="s">
        <v>143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154</v>
      </c>
      <c r="B19" s="123" t="s">
        <v>155</v>
      </c>
      <c r="C19" s="124">
        <v>0.73</v>
      </c>
      <c r="D19" s="124" t="s">
        <v>116</v>
      </c>
      <c r="E19" s="124">
        <v>1.56</v>
      </c>
      <c r="F19" s="125" t="s">
        <v>117</v>
      </c>
      <c r="G19" s="126">
        <v>0.43</v>
      </c>
      <c r="H19" s="124" t="s">
        <v>143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156</v>
      </c>
      <c r="B20" s="123" t="s">
        <v>157</v>
      </c>
      <c r="C20" s="124">
        <v>0.69</v>
      </c>
      <c r="D20" s="124" t="s">
        <v>158</v>
      </c>
      <c r="E20" s="124">
        <v>1.56</v>
      </c>
      <c r="F20" s="125" t="s">
        <v>117</v>
      </c>
      <c r="G20" s="126">
        <v>0.43</v>
      </c>
      <c r="H20" s="124" t="s">
        <v>159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160</v>
      </c>
      <c r="B21" s="123" t="s">
        <v>161</v>
      </c>
      <c r="C21" s="124">
        <v>0.36</v>
      </c>
      <c r="D21" s="124" t="s">
        <v>116</v>
      </c>
      <c r="E21" s="124">
        <v>1.3</v>
      </c>
      <c r="F21" s="125" t="s">
        <v>117</v>
      </c>
      <c r="G21" s="126">
        <v>0.55000000000000004</v>
      </c>
      <c r="H21" s="124" t="s">
        <v>133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162</v>
      </c>
      <c r="B22" s="123" t="s">
        <v>163</v>
      </c>
      <c r="C22" s="124">
        <v>0.4</v>
      </c>
      <c r="D22" s="124" t="s">
        <v>116</v>
      </c>
      <c r="E22" s="124">
        <v>1.3</v>
      </c>
      <c r="F22" s="125" t="s">
        <v>117</v>
      </c>
      <c r="G22" s="126">
        <v>0.55000000000000004</v>
      </c>
      <c r="H22" s="124" t="s">
        <v>133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164</v>
      </c>
      <c r="B23" s="123" t="s">
        <v>165</v>
      </c>
      <c r="C23" s="124">
        <v>0.43</v>
      </c>
      <c r="D23" s="124" t="s">
        <v>116</v>
      </c>
      <c r="E23" s="124">
        <v>1.3</v>
      </c>
      <c r="F23" s="125" t="s">
        <v>117</v>
      </c>
      <c r="G23" s="126">
        <v>0.55000000000000004</v>
      </c>
      <c r="H23" s="124" t="s">
        <v>133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166</v>
      </c>
      <c r="B24" s="123" t="s">
        <v>167</v>
      </c>
      <c r="C24" s="124">
        <v>0.37</v>
      </c>
      <c r="D24" s="124" t="s">
        <v>116</v>
      </c>
      <c r="E24" s="124">
        <v>1.3</v>
      </c>
      <c r="F24" s="125" t="s">
        <v>117</v>
      </c>
      <c r="G24" s="126">
        <v>0.55000000000000004</v>
      </c>
      <c r="H24" s="124" t="s">
        <v>143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168</v>
      </c>
      <c r="B25" s="123" t="s">
        <v>169</v>
      </c>
      <c r="C25" s="124">
        <v>0.36</v>
      </c>
      <c r="D25" s="124" t="s">
        <v>116</v>
      </c>
      <c r="E25" s="124">
        <v>1.3</v>
      </c>
      <c r="F25" s="125" t="s">
        <v>117</v>
      </c>
      <c r="G25" s="126">
        <v>0.55000000000000004</v>
      </c>
      <c r="H25" s="124" t="s">
        <v>143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170</v>
      </c>
      <c r="B26" s="123" t="s">
        <v>171</v>
      </c>
      <c r="C26" s="124">
        <v>0.56000000000000005</v>
      </c>
      <c r="D26" s="124" t="s">
        <v>116</v>
      </c>
      <c r="E26" s="124">
        <v>1.56</v>
      </c>
      <c r="F26" s="125" t="s">
        <v>117</v>
      </c>
      <c r="G26" s="126">
        <v>0.53</v>
      </c>
      <c r="H26" s="124" t="s">
        <v>172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173</v>
      </c>
      <c r="B27" s="123" t="s">
        <v>174</v>
      </c>
      <c r="C27" s="124">
        <v>0.51</v>
      </c>
      <c r="D27" s="124" t="s">
        <v>116</v>
      </c>
      <c r="E27" s="124">
        <v>1.56</v>
      </c>
      <c r="F27" s="125" t="s">
        <v>117</v>
      </c>
      <c r="G27" s="126">
        <v>0.53</v>
      </c>
      <c r="H27" s="124" t="s">
        <v>172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175</v>
      </c>
      <c r="B28" s="123" t="s">
        <v>176</v>
      </c>
      <c r="C28" s="124">
        <v>0.51</v>
      </c>
      <c r="D28" s="124" t="s">
        <v>116</v>
      </c>
      <c r="E28" s="124">
        <v>1.56</v>
      </c>
      <c r="F28" s="125" t="s">
        <v>117</v>
      </c>
      <c r="G28" s="126">
        <v>0.53</v>
      </c>
      <c r="H28" s="124" t="s">
        <v>172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177</v>
      </c>
      <c r="B29" s="123" t="s">
        <v>177</v>
      </c>
      <c r="C29" s="124">
        <v>0.56000000000000005</v>
      </c>
      <c r="D29" s="124" t="s">
        <v>116</v>
      </c>
      <c r="E29" s="124">
        <v>1.56</v>
      </c>
      <c r="F29" s="125" t="s">
        <v>117</v>
      </c>
      <c r="G29" s="126">
        <v>0.53</v>
      </c>
      <c r="H29" s="124" t="s">
        <v>172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178</v>
      </c>
      <c r="B30" s="123" t="s">
        <v>179</v>
      </c>
      <c r="C30" s="124">
        <v>0.55000000000000004</v>
      </c>
      <c r="D30" s="124" t="s">
        <v>116</v>
      </c>
      <c r="E30" s="124">
        <v>1.56</v>
      </c>
      <c r="F30" s="125" t="s">
        <v>117</v>
      </c>
      <c r="G30" s="126">
        <v>0.53</v>
      </c>
      <c r="H30" s="124" t="s">
        <v>143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180</v>
      </c>
      <c r="B31" s="123" t="s">
        <v>181</v>
      </c>
      <c r="C31" s="124">
        <v>0.56000000000000005</v>
      </c>
      <c r="D31" s="124" t="s">
        <v>116</v>
      </c>
      <c r="E31" s="124">
        <v>1.56</v>
      </c>
      <c r="F31" s="125" t="s">
        <v>117</v>
      </c>
      <c r="G31" s="126">
        <v>0.43</v>
      </c>
      <c r="H31" s="124" t="s">
        <v>118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182</v>
      </c>
      <c r="B32" s="123" t="s">
        <v>183</v>
      </c>
      <c r="C32" s="124">
        <v>0.48</v>
      </c>
      <c r="D32" s="124" t="s">
        <v>116</v>
      </c>
      <c r="E32" s="124">
        <v>1.3</v>
      </c>
      <c r="F32" s="125" t="s">
        <v>117</v>
      </c>
      <c r="G32" s="126">
        <v>0.6</v>
      </c>
      <c r="H32" s="124" t="s">
        <v>184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185</v>
      </c>
      <c r="B33" s="123" t="s">
        <v>186</v>
      </c>
      <c r="C33" s="124">
        <v>0.42</v>
      </c>
      <c r="D33" s="124" t="s">
        <v>116</v>
      </c>
      <c r="E33" s="124">
        <v>1.3</v>
      </c>
      <c r="F33" s="125" t="s">
        <v>117</v>
      </c>
      <c r="G33" s="126">
        <v>0.6</v>
      </c>
      <c r="H33" s="124" t="s">
        <v>184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187</v>
      </c>
      <c r="B34" s="123" t="s">
        <v>188</v>
      </c>
      <c r="C34" s="124">
        <v>0.42</v>
      </c>
      <c r="D34" s="124" t="s">
        <v>189</v>
      </c>
      <c r="E34" s="124">
        <v>1.3</v>
      </c>
      <c r="F34" s="125" t="s">
        <v>117</v>
      </c>
      <c r="G34" s="126">
        <v>0.6</v>
      </c>
      <c r="H34" s="123" t="s">
        <v>190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191</v>
      </c>
      <c r="B35" s="123" t="s">
        <v>192</v>
      </c>
      <c r="C35" s="124">
        <v>0.5</v>
      </c>
      <c r="D35" s="124" t="s">
        <v>116</v>
      </c>
      <c r="E35" s="124">
        <v>1.56</v>
      </c>
      <c r="F35" s="125" t="s">
        <v>117</v>
      </c>
      <c r="G35" s="126">
        <v>0.43</v>
      </c>
      <c r="H35" s="124" t="s">
        <v>118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193</v>
      </c>
      <c r="B36" s="123" t="s">
        <v>194</v>
      </c>
      <c r="C36" s="124">
        <v>0.55000000000000004</v>
      </c>
      <c r="D36" s="124" t="s">
        <v>116</v>
      </c>
      <c r="E36" s="124">
        <v>1.56</v>
      </c>
      <c r="F36" s="125" t="s">
        <v>117</v>
      </c>
      <c r="G36" s="126">
        <v>0.53</v>
      </c>
      <c r="H36" s="124" t="s">
        <v>172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195</v>
      </c>
      <c r="B37" s="123" t="s">
        <v>196</v>
      </c>
      <c r="C37" s="124">
        <v>0.52</v>
      </c>
      <c r="D37" s="124" t="s">
        <v>116</v>
      </c>
      <c r="E37" s="124">
        <v>1.56</v>
      </c>
      <c r="F37" s="125" t="s">
        <v>117</v>
      </c>
      <c r="G37" s="126">
        <v>0.53</v>
      </c>
      <c r="H37" s="124" t="s">
        <v>172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197</v>
      </c>
      <c r="B38" s="123" t="s">
        <v>198</v>
      </c>
      <c r="C38" s="124">
        <v>0.52</v>
      </c>
      <c r="D38" s="124" t="s">
        <v>116</v>
      </c>
      <c r="E38" s="124">
        <v>1.56</v>
      </c>
      <c r="F38" s="125" t="s">
        <v>117</v>
      </c>
      <c r="G38" s="126">
        <v>0.43</v>
      </c>
      <c r="H38" s="124" t="s">
        <v>118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199</v>
      </c>
      <c r="B39" s="123" t="s">
        <v>200</v>
      </c>
      <c r="C39" s="124">
        <v>0.313</v>
      </c>
      <c r="D39" s="124" t="s">
        <v>201</v>
      </c>
      <c r="E39" s="124">
        <v>1.56</v>
      </c>
      <c r="F39" s="125" t="s">
        <v>117</v>
      </c>
      <c r="G39" s="126">
        <v>0.6</v>
      </c>
      <c r="H39" s="124" t="s">
        <v>202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203</v>
      </c>
      <c r="B40" s="123" t="s">
        <v>200</v>
      </c>
      <c r="C40" s="124">
        <v>0.35199999999999998</v>
      </c>
      <c r="D40" s="124" t="s">
        <v>201</v>
      </c>
      <c r="E40" s="124">
        <v>1.56</v>
      </c>
      <c r="F40" s="125" t="s">
        <v>117</v>
      </c>
      <c r="G40" s="126">
        <v>0.6</v>
      </c>
      <c r="H40" s="124" t="s">
        <v>202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204</v>
      </c>
      <c r="B41" s="123" t="s">
        <v>200</v>
      </c>
      <c r="C41" s="124">
        <v>0.32200000000000001</v>
      </c>
      <c r="D41" s="124" t="s">
        <v>201</v>
      </c>
      <c r="E41" s="124">
        <v>1.56</v>
      </c>
      <c r="F41" s="125" t="s">
        <v>117</v>
      </c>
      <c r="G41" s="126">
        <v>0.6</v>
      </c>
      <c r="H41" s="124" t="s">
        <v>202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205</v>
      </c>
      <c r="B42" s="123" t="s">
        <v>200</v>
      </c>
      <c r="C42" s="124">
        <v>0.311</v>
      </c>
      <c r="D42" s="124" t="s">
        <v>201</v>
      </c>
      <c r="E42" s="124">
        <v>1.56</v>
      </c>
      <c r="F42" s="125" t="s">
        <v>117</v>
      </c>
      <c r="G42" s="126">
        <v>0.6</v>
      </c>
      <c r="H42" s="124" t="s">
        <v>202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206</v>
      </c>
      <c r="B43" s="123" t="s">
        <v>200</v>
      </c>
      <c r="C43" s="124">
        <v>0.33900000000000002</v>
      </c>
      <c r="D43" s="124" t="s">
        <v>201</v>
      </c>
      <c r="E43" s="124">
        <v>1.56</v>
      </c>
      <c r="F43" s="125" t="s">
        <v>117</v>
      </c>
      <c r="G43" s="126">
        <v>0.6</v>
      </c>
      <c r="H43" s="124" t="s">
        <v>202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207</v>
      </c>
      <c r="B44" s="123" t="s">
        <v>200</v>
      </c>
      <c r="C44" s="124">
        <v>0.33600000000000002</v>
      </c>
      <c r="D44" s="124" t="s">
        <v>201</v>
      </c>
      <c r="E44" s="124">
        <v>1.56</v>
      </c>
      <c r="F44" s="125" t="s">
        <v>117</v>
      </c>
      <c r="G44" s="126">
        <v>0.6</v>
      </c>
      <c r="H44" s="124" t="s">
        <v>202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208</v>
      </c>
      <c r="B45" s="123" t="s">
        <v>200</v>
      </c>
      <c r="C45" s="124">
        <v>0.32900000000000001</v>
      </c>
      <c r="D45" s="124" t="s">
        <v>201</v>
      </c>
      <c r="E45" s="124">
        <v>1.56</v>
      </c>
      <c r="F45" s="125" t="s">
        <v>117</v>
      </c>
      <c r="G45" s="126">
        <v>0.6</v>
      </c>
      <c r="H45" s="124" t="s">
        <v>202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209</v>
      </c>
      <c r="B46" s="123" t="s">
        <v>200</v>
      </c>
      <c r="C46" s="124">
        <v>0.34300000000000003</v>
      </c>
      <c r="D46" s="124" t="s">
        <v>201</v>
      </c>
      <c r="E46" s="124">
        <v>1.56</v>
      </c>
      <c r="F46" s="125" t="s">
        <v>117</v>
      </c>
      <c r="G46" s="126">
        <v>0.6</v>
      </c>
      <c r="H46" s="124" t="s">
        <v>202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210</v>
      </c>
      <c r="B47" s="123" t="s">
        <v>200</v>
      </c>
      <c r="C47" s="124">
        <v>0.32500000000000001</v>
      </c>
      <c r="D47" s="124" t="s">
        <v>201</v>
      </c>
      <c r="E47" s="124">
        <v>1.56</v>
      </c>
      <c r="F47" s="125" t="s">
        <v>117</v>
      </c>
      <c r="G47" s="126">
        <v>0.6</v>
      </c>
      <c r="H47" s="124" t="s">
        <v>202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211</v>
      </c>
      <c r="B48" s="123" t="s">
        <v>200</v>
      </c>
      <c r="C48" s="124">
        <v>0.32</v>
      </c>
      <c r="D48" s="124" t="s">
        <v>201</v>
      </c>
      <c r="E48" s="124">
        <v>1.56</v>
      </c>
      <c r="F48" s="125" t="s">
        <v>117</v>
      </c>
      <c r="G48" s="126">
        <v>0.6</v>
      </c>
      <c r="H48" s="124" t="s">
        <v>202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212</v>
      </c>
      <c r="B49" s="123" t="s">
        <v>200</v>
      </c>
      <c r="C49" s="124">
        <v>0.28199999999999997</v>
      </c>
      <c r="D49" s="124" t="s">
        <v>201</v>
      </c>
      <c r="E49" s="124">
        <v>1.56</v>
      </c>
      <c r="F49" s="125" t="s">
        <v>117</v>
      </c>
      <c r="G49" s="126">
        <v>0.6</v>
      </c>
      <c r="H49" s="124" t="s">
        <v>202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213</v>
      </c>
      <c r="B50" s="123" t="s">
        <v>200</v>
      </c>
      <c r="C50" s="124">
        <v>0.32800000000000001</v>
      </c>
      <c r="D50" s="124" t="s">
        <v>201</v>
      </c>
      <c r="E50" s="124">
        <v>1.56</v>
      </c>
      <c r="F50" s="125" t="s">
        <v>117</v>
      </c>
      <c r="G50" s="126">
        <v>0.6</v>
      </c>
      <c r="H50" s="124" t="s">
        <v>202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214</v>
      </c>
      <c r="B51" s="123" t="s">
        <v>200</v>
      </c>
      <c r="C51" s="124">
        <v>0.32600000000000001</v>
      </c>
      <c r="D51" s="124" t="s">
        <v>201</v>
      </c>
      <c r="E51" s="124">
        <v>1.56</v>
      </c>
      <c r="F51" s="125" t="s">
        <v>117</v>
      </c>
      <c r="G51" s="126">
        <v>0.6</v>
      </c>
      <c r="H51" s="124" t="s">
        <v>202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215</v>
      </c>
      <c r="B52" s="123" t="s">
        <v>200</v>
      </c>
      <c r="C52" s="124">
        <v>0.35899999999999999</v>
      </c>
      <c r="D52" s="124" t="s">
        <v>201</v>
      </c>
      <c r="E52" s="124">
        <v>1.56</v>
      </c>
      <c r="F52" s="125" t="s">
        <v>117</v>
      </c>
      <c r="G52" s="126">
        <v>0.6</v>
      </c>
      <c r="H52" s="124" t="s">
        <v>202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216</v>
      </c>
      <c r="B53" s="123" t="s">
        <v>200</v>
      </c>
      <c r="C53" s="124">
        <v>0.34599999999999997</v>
      </c>
      <c r="D53" s="124" t="s">
        <v>201</v>
      </c>
      <c r="E53" s="124">
        <v>1.56</v>
      </c>
      <c r="F53" s="125" t="s">
        <v>117</v>
      </c>
      <c r="G53" s="126">
        <v>0.6</v>
      </c>
      <c r="H53" s="124" t="s">
        <v>202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217</v>
      </c>
      <c r="B54" s="123" t="s">
        <v>200</v>
      </c>
      <c r="C54" s="124">
        <v>0.32600000000000001</v>
      </c>
      <c r="D54" s="124" t="s">
        <v>201</v>
      </c>
      <c r="E54" s="124">
        <v>1.56</v>
      </c>
      <c r="F54" s="125" t="s">
        <v>117</v>
      </c>
      <c r="G54" s="126">
        <v>0.6</v>
      </c>
      <c r="H54" s="124" t="s">
        <v>202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218</v>
      </c>
      <c r="B55" s="123" t="s">
        <v>200</v>
      </c>
      <c r="C55" s="124">
        <v>0.30499999999999999</v>
      </c>
      <c r="D55" s="124" t="s">
        <v>201</v>
      </c>
      <c r="E55" s="124">
        <v>1.56</v>
      </c>
      <c r="F55" s="125" t="s">
        <v>117</v>
      </c>
      <c r="G55" s="126">
        <v>0.6</v>
      </c>
      <c r="H55" s="124" t="s">
        <v>202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219</v>
      </c>
      <c r="B56" s="123" t="s">
        <v>200</v>
      </c>
      <c r="C56" s="124">
        <v>0.32300000000000001</v>
      </c>
      <c r="D56" s="124" t="s">
        <v>201</v>
      </c>
      <c r="E56" s="124">
        <v>1.56</v>
      </c>
      <c r="F56" s="125" t="s">
        <v>117</v>
      </c>
      <c r="G56" s="126">
        <v>0.6</v>
      </c>
      <c r="H56" s="124" t="s">
        <v>202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220</v>
      </c>
      <c r="B57" s="123" t="s">
        <v>200</v>
      </c>
      <c r="C57" s="124">
        <v>0.36699999999999999</v>
      </c>
      <c r="D57" s="124" t="s">
        <v>201</v>
      </c>
      <c r="E57" s="124">
        <v>1.56</v>
      </c>
      <c r="F57" s="125" t="s">
        <v>117</v>
      </c>
      <c r="G57" s="126">
        <v>0.6</v>
      </c>
      <c r="H57" s="124" t="s">
        <v>202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221</v>
      </c>
      <c r="B58" s="123" t="s">
        <v>200</v>
      </c>
      <c r="C58" s="124">
        <v>0.36</v>
      </c>
      <c r="D58" s="124" t="s">
        <v>201</v>
      </c>
      <c r="E58" s="124">
        <v>1.56</v>
      </c>
      <c r="F58" s="125" t="s">
        <v>117</v>
      </c>
      <c r="G58" s="126">
        <v>0.6</v>
      </c>
      <c r="H58" s="124" t="s">
        <v>202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222</v>
      </c>
      <c r="B59" s="123" t="s">
        <v>200</v>
      </c>
      <c r="C59" s="124">
        <v>0.36799999999999999</v>
      </c>
      <c r="D59" s="124" t="s">
        <v>201</v>
      </c>
      <c r="E59" s="124">
        <v>1.56</v>
      </c>
      <c r="F59" s="125" t="s">
        <v>117</v>
      </c>
      <c r="G59" s="126">
        <v>0.6</v>
      </c>
      <c r="H59" s="124" t="s">
        <v>202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223</v>
      </c>
      <c r="B60" s="123" t="s">
        <v>200</v>
      </c>
      <c r="C60" s="124">
        <v>0.30599999999999999</v>
      </c>
      <c r="D60" s="124" t="s">
        <v>201</v>
      </c>
      <c r="E60" s="124">
        <v>1.56</v>
      </c>
      <c r="F60" s="125" t="s">
        <v>117</v>
      </c>
      <c r="G60" s="126">
        <v>0.6</v>
      </c>
      <c r="H60" s="124" t="s">
        <v>202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224</v>
      </c>
      <c r="B61" s="123" t="s">
        <v>200</v>
      </c>
      <c r="C61" s="124">
        <v>0.313</v>
      </c>
      <c r="D61" s="124" t="s">
        <v>201</v>
      </c>
      <c r="E61" s="124">
        <v>1.56</v>
      </c>
      <c r="F61" s="125" t="s">
        <v>117</v>
      </c>
      <c r="G61" s="126">
        <v>0.6</v>
      </c>
      <c r="H61" s="124" t="s">
        <v>202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225</v>
      </c>
      <c r="B62" s="123" t="s">
        <v>226</v>
      </c>
      <c r="C62" s="124">
        <v>0.37</v>
      </c>
      <c r="D62" s="124" t="s">
        <v>116</v>
      </c>
      <c r="E62" s="124">
        <v>1.56</v>
      </c>
      <c r="F62" s="125" t="s">
        <v>117</v>
      </c>
      <c r="G62" s="126">
        <v>0.6</v>
      </c>
      <c r="H62" s="124" t="s">
        <v>202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227</v>
      </c>
      <c r="B63" s="123" t="s">
        <v>228</v>
      </c>
      <c r="C63" s="124">
        <v>0.45</v>
      </c>
      <c r="D63" s="124" t="s">
        <v>116</v>
      </c>
      <c r="E63" s="124">
        <v>1.3</v>
      </c>
      <c r="F63" s="125" t="s">
        <v>117</v>
      </c>
      <c r="G63" s="126">
        <v>0.45</v>
      </c>
      <c r="H63" s="124" t="s">
        <v>229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230</v>
      </c>
      <c r="B64" s="123" t="s">
        <v>231</v>
      </c>
      <c r="C64" s="124">
        <v>0.39</v>
      </c>
      <c r="D64" s="124" t="s">
        <v>116</v>
      </c>
      <c r="E64" s="124">
        <v>1.3</v>
      </c>
      <c r="F64" s="125" t="s">
        <v>117</v>
      </c>
      <c r="G64" s="126">
        <v>0.45</v>
      </c>
      <c r="H64" s="124" t="s">
        <v>229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232</v>
      </c>
      <c r="B65" s="123" t="s">
        <v>233</v>
      </c>
      <c r="C65" s="124">
        <v>0.44</v>
      </c>
      <c r="D65" s="124" t="s">
        <v>116</v>
      </c>
      <c r="E65" s="124">
        <v>1.3</v>
      </c>
      <c r="F65" s="125" t="s">
        <v>117</v>
      </c>
      <c r="G65" s="126">
        <v>0.45</v>
      </c>
      <c r="H65" s="124" t="s">
        <v>229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23</v>
      </c>
      <c r="B66" s="123" t="s">
        <v>234</v>
      </c>
      <c r="C66" s="124">
        <v>0.46</v>
      </c>
      <c r="D66" s="124" t="s">
        <v>116</v>
      </c>
      <c r="E66" s="124">
        <v>1.3</v>
      </c>
      <c r="F66" s="125" t="s">
        <v>117</v>
      </c>
      <c r="G66" s="126">
        <v>0.45</v>
      </c>
      <c r="H66" s="124" t="s">
        <v>229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19</v>
      </c>
      <c r="B67" s="123" t="s">
        <v>235</v>
      </c>
      <c r="C67" s="124">
        <v>0.46</v>
      </c>
      <c r="D67" s="124" t="s">
        <v>116</v>
      </c>
      <c r="E67" s="124">
        <v>1.3</v>
      </c>
      <c r="F67" s="125" t="s">
        <v>117</v>
      </c>
      <c r="G67" s="126">
        <v>0.45</v>
      </c>
      <c r="H67" s="124" t="s">
        <v>143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236</v>
      </c>
      <c r="B68" s="123" t="s">
        <v>237</v>
      </c>
      <c r="C68" s="124">
        <v>0.44</v>
      </c>
      <c r="D68" s="124" t="s">
        <v>116</v>
      </c>
      <c r="E68" s="124">
        <v>1.3</v>
      </c>
      <c r="F68" s="125" t="s">
        <v>117</v>
      </c>
      <c r="G68" s="126">
        <v>0.45</v>
      </c>
      <c r="H68" s="124" t="s">
        <v>229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238</v>
      </c>
      <c r="B69" s="123" t="s">
        <v>239</v>
      </c>
      <c r="C69" s="124">
        <v>0.46</v>
      </c>
      <c r="D69" s="124" t="s">
        <v>116</v>
      </c>
      <c r="E69" s="124">
        <v>1.3</v>
      </c>
      <c r="F69" s="125" t="s">
        <v>117</v>
      </c>
      <c r="G69" s="126">
        <v>0.45</v>
      </c>
      <c r="H69" s="124" t="s">
        <v>229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240</v>
      </c>
      <c r="B70" s="123" t="s">
        <v>241</v>
      </c>
      <c r="C70" s="124">
        <v>0.48</v>
      </c>
      <c r="D70" s="124" t="s">
        <v>116</v>
      </c>
      <c r="E70" s="124">
        <v>2.4</v>
      </c>
      <c r="F70" s="124" t="s">
        <v>242</v>
      </c>
      <c r="G70" s="126">
        <v>0.45</v>
      </c>
      <c r="H70" s="124" t="s">
        <v>229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243</v>
      </c>
      <c r="B71" s="123" t="s">
        <v>244</v>
      </c>
      <c r="C71" s="124">
        <v>0.46</v>
      </c>
      <c r="D71" s="124" t="s">
        <v>245</v>
      </c>
      <c r="E71" s="124">
        <v>1.3</v>
      </c>
      <c r="F71" s="125" t="s">
        <v>117</v>
      </c>
      <c r="G71" s="126">
        <v>0.45</v>
      </c>
      <c r="H71" s="124" t="s">
        <v>229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246</v>
      </c>
      <c r="B72" s="123" t="s">
        <v>247</v>
      </c>
      <c r="C72" s="124">
        <v>0.44</v>
      </c>
      <c r="D72" s="124" t="s">
        <v>116</v>
      </c>
      <c r="E72" s="124">
        <v>1.3</v>
      </c>
      <c r="F72" s="125" t="s">
        <v>117</v>
      </c>
      <c r="G72" s="126">
        <v>0.45</v>
      </c>
      <c r="H72" s="124" t="s">
        <v>229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248</v>
      </c>
      <c r="B73" s="123" t="s">
        <v>249</v>
      </c>
      <c r="C73" s="124">
        <v>0.46</v>
      </c>
      <c r="D73" s="124" t="s">
        <v>250</v>
      </c>
      <c r="E73" s="124">
        <v>1.3</v>
      </c>
      <c r="F73" s="125" t="s">
        <v>117</v>
      </c>
      <c r="G73" s="126">
        <v>0.45</v>
      </c>
      <c r="H73" s="124" t="s">
        <v>229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251</v>
      </c>
      <c r="B74" s="123" t="s">
        <v>252</v>
      </c>
      <c r="C74" s="124">
        <v>0.34</v>
      </c>
      <c r="D74" s="124" t="s">
        <v>116</v>
      </c>
      <c r="E74" s="124">
        <v>1.3</v>
      </c>
      <c r="F74" s="125" t="s">
        <v>117</v>
      </c>
      <c r="G74" s="126">
        <v>0.45</v>
      </c>
      <c r="H74" s="124" t="s">
        <v>229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253</v>
      </c>
      <c r="B75" s="123" t="s">
        <v>254</v>
      </c>
      <c r="C75" s="124">
        <v>0.5</v>
      </c>
      <c r="D75" s="124" t="s">
        <v>116</v>
      </c>
      <c r="E75" s="124">
        <v>1.56</v>
      </c>
      <c r="F75" s="125" t="s">
        <v>117</v>
      </c>
      <c r="G75" s="126">
        <v>0.53</v>
      </c>
      <c r="H75" s="124" t="s">
        <v>172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255</v>
      </c>
      <c r="B76" s="123" t="s">
        <v>256</v>
      </c>
      <c r="C76" s="124">
        <v>0.57999999999999996</v>
      </c>
      <c r="D76" s="124" t="s">
        <v>116</v>
      </c>
      <c r="E76" s="124">
        <v>1.56</v>
      </c>
      <c r="F76" s="125" t="s">
        <v>117</v>
      </c>
      <c r="G76" s="126">
        <v>0.3</v>
      </c>
      <c r="H76" s="124" t="s">
        <v>257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258</v>
      </c>
      <c r="B77" s="123" t="s">
        <v>259</v>
      </c>
      <c r="C77" s="124">
        <v>0.37</v>
      </c>
      <c r="D77" s="124" t="s">
        <v>116</v>
      </c>
      <c r="E77" s="124">
        <v>1.3</v>
      </c>
      <c r="F77" s="125" t="s">
        <v>117</v>
      </c>
      <c r="G77" s="126">
        <v>0.55000000000000004</v>
      </c>
      <c r="H77" s="124" t="s">
        <v>143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260</v>
      </c>
      <c r="B78" s="123" t="s">
        <v>261</v>
      </c>
      <c r="C78" s="124">
        <v>0.37</v>
      </c>
      <c r="D78" s="124" t="s">
        <v>116</v>
      </c>
      <c r="E78" s="124">
        <v>1.3</v>
      </c>
      <c r="F78" s="125" t="s">
        <v>117</v>
      </c>
      <c r="G78" s="126">
        <v>0.55000000000000004</v>
      </c>
      <c r="H78" s="124" t="s">
        <v>143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262</v>
      </c>
      <c r="B79" s="123" t="s">
        <v>263</v>
      </c>
      <c r="C79" s="124">
        <v>0.38</v>
      </c>
      <c r="D79" s="124" t="s">
        <v>116</v>
      </c>
      <c r="E79" s="124">
        <v>1.3</v>
      </c>
      <c r="F79" s="125" t="s">
        <v>117</v>
      </c>
      <c r="G79" s="126">
        <v>0.55000000000000004</v>
      </c>
      <c r="H79" s="124" t="s">
        <v>133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264</v>
      </c>
      <c r="B80" s="123" t="s">
        <v>265</v>
      </c>
      <c r="C80" s="124">
        <v>0.36</v>
      </c>
      <c r="D80" s="124" t="s">
        <v>116</v>
      </c>
      <c r="E80" s="124">
        <v>1.3</v>
      </c>
      <c r="F80" s="125" t="s">
        <v>117</v>
      </c>
      <c r="G80" s="126">
        <v>0.55000000000000004</v>
      </c>
      <c r="H80" s="124" t="s">
        <v>133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266</v>
      </c>
      <c r="B81" s="123" t="s">
        <v>267</v>
      </c>
      <c r="C81" s="124">
        <v>0.37</v>
      </c>
      <c r="D81" s="124" t="s">
        <v>116</v>
      </c>
      <c r="E81" s="124">
        <v>1.56</v>
      </c>
      <c r="F81" s="125" t="s">
        <v>117</v>
      </c>
      <c r="G81" s="126">
        <v>0.43</v>
      </c>
      <c r="H81" s="124" t="s">
        <v>118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268</v>
      </c>
      <c r="B82" s="123" t="s">
        <v>269</v>
      </c>
      <c r="C82" s="124">
        <v>0.35</v>
      </c>
      <c r="D82" s="124" t="s">
        <v>270</v>
      </c>
      <c r="E82" s="124">
        <v>1.3</v>
      </c>
      <c r="F82" s="125" t="s">
        <v>117</v>
      </c>
      <c r="G82" s="126">
        <v>0.55000000000000004</v>
      </c>
      <c r="H82" s="124" t="s">
        <v>133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271</v>
      </c>
      <c r="B83" s="123" t="s">
        <v>272</v>
      </c>
      <c r="C83" s="124">
        <v>0.34</v>
      </c>
      <c r="D83" s="124" t="s">
        <v>116</v>
      </c>
      <c r="E83" s="124">
        <v>1.3</v>
      </c>
      <c r="F83" s="125" t="s">
        <v>117</v>
      </c>
      <c r="G83" s="126">
        <v>0.55000000000000004</v>
      </c>
      <c r="H83" s="124" t="s">
        <v>133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273</v>
      </c>
      <c r="B84" s="123" t="s">
        <v>274</v>
      </c>
      <c r="C84" s="124">
        <v>0.31</v>
      </c>
      <c r="D84" s="124" t="s">
        <v>116</v>
      </c>
      <c r="E84" s="124">
        <v>1.3</v>
      </c>
      <c r="F84" s="125" t="s">
        <v>117</v>
      </c>
      <c r="G84" s="126">
        <v>0.55000000000000004</v>
      </c>
      <c r="H84" s="124" t="s">
        <v>133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275</v>
      </c>
      <c r="B85" s="123" t="s">
        <v>276</v>
      </c>
      <c r="C85" s="124">
        <v>0.43</v>
      </c>
      <c r="D85" s="124" t="s">
        <v>116</v>
      </c>
      <c r="E85" s="124">
        <v>1.56</v>
      </c>
      <c r="F85" s="125" t="s">
        <v>117</v>
      </c>
      <c r="G85" s="126">
        <v>0.53</v>
      </c>
      <c r="H85" s="124" t="s">
        <v>172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277</v>
      </c>
      <c r="B86" s="123" t="s">
        <v>278</v>
      </c>
      <c r="C86" s="124">
        <v>0.38</v>
      </c>
      <c r="D86" s="124" t="s">
        <v>116</v>
      </c>
      <c r="E86" s="124">
        <v>1.56</v>
      </c>
      <c r="F86" s="125" t="s">
        <v>117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280</v>
      </c>
      <c r="B87" s="252" t="s">
        <v>281</v>
      </c>
      <c r="C87" s="253">
        <v>0.41</v>
      </c>
      <c r="D87" s="253" t="s">
        <v>282</v>
      </c>
      <c r="E87" s="253">
        <v>1.56</v>
      </c>
      <c r="F87" s="254" t="s">
        <v>117</v>
      </c>
      <c r="G87" s="255">
        <v>0.43</v>
      </c>
      <c r="H87" s="253" t="s">
        <v>118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76</v>
      </c>
      <c r="B88" s="130"/>
      <c r="C88" s="124">
        <v>0.42</v>
      </c>
      <c r="D88" s="124" t="s">
        <v>116</v>
      </c>
      <c r="E88" s="124">
        <v>1.3</v>
      </c>
      <c r="F88" s="125" t="s">
        <v>117</v>
      </c>
      <c r="G88" s="131"/>
      <c r="H88" s="130"/>
      <c r="I88" s="132"/>
    </row>
    <row r="89" spans="1:14" ht="15" thickBot="1" x14ac:dyDescent="0.4">
      <c r="A89" s="133" t="s">
        <v>283</v>
      </c>
      <c r="B89" s="134"/>
      <c r="C89" s="135">
        <v>0.56999999999999995</v>
      </c>
      <c r="D89" s="136" t="s">
        <v>116</v>
      </c>
      <c r="E89" s="135">
        <v>1.56</v>
      </c>
      <c r="F89" s="135" t="s">
        <v>117</v>
      </c>
      <c r="G89" s="134"/>
      <c r="H89" s="134"/>
      <c r="I89" s="137"/>
    </row>
    <row r="93" spans="1:14" x14ac:dyDescent="0.35">
      <c r="A93" s="122" t="s">
        <v>77</v>
      </c>
    </row>
    <row r="94" spans="1:14" x14ac:dyDescent="0.35">
      <c r="A94" s="122" t="s">
        <v>78</v>
      </c>
    </row>
    <row r="95" spans="1:14" x14ac:dyDescent="0.35">
      <c r="A95" s="122" t="s">
        <v>79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45" zoomScale="80" zoomScaleNormal="80" workbookViewId="0">
      <selection activeCell="C54" sqref="C54:C60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5429687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284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285</v>
      </c>
      <c r="I4" s="262"/>
      <c r="K4" s="284" t="s">
        <v>286</v>
      </c>
      <c r="L4" s="285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62</v>
      </c>
      <c r="O7" s="247"/>
      <c r="P7" s="248"/>
      <c r="Q7" s="249"/>
      <c r="R7" s="294" t="s">
        <v>287</v>
      </c>
      <c r="S7" s="295"/>
      <c r="T7" s="295"/>
      <c r="U7" s="295"/>
      <c r="V7" s="296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288</v>
      </c>
      <c r="C9" s="23"/>
      <c r="D9" s="23"/>
      <c r="E9" s="23"/>
      <c r="F9" s="230"/>
      <c r="G9" s="93" t="s">
        <v>289</v>
      </c>
      <c r="J9" s="200"/>
      <c r="K9" s="208"/>
      <c r="O9" s="23"/>
      <c r="P9" s="23"/>
      <c r="Q9" s="234"/>
      <c r="R9" s="23"/>
      <c r="S9" s="4"/>
      <c r="T9" s="36" t="s">
        <v>290</v>
      </c>
      <c r="U9" s="176" t="s">
        <v>291</v>
      </c>
      <c r="V9" s="36" t="s">
        <v>292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293</v>
      </c>
      <c r="C10" s="23"/>
      <c r="D10" s="23"/>
      <c r="E10" s="23"/>
      <c r="F10" s="230"/>
      <c r="G10" s="93" t="s">
        <v>294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1257.2419559935415</v>
      </c>
      <c r="U10" s="178">
        <f>'Données projet'!D9</f>
        <v>0.69675324675324668</v>
      </c>
      <c r="V10" s="177">
        <f>U10*T10</f>
        <v>875.98741479290254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295</v>
      </c>
      <c r="B11" s="23"/>
      <c r="C11" s="23"/>
      <c r="D11" s="23"/>
      <c r="E11" s="23"/>
      <c r="F11" s="230"/>
      <c r="G11" s="93" t="s">
        <v>296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maritime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2239.8285583680236</v>
      </c>
      <c r="U11" s="178">
        <f>'Données projet'!D10</f>
        <v>4.8019480519480515</v>
      </c>
      <c r="V11" s="177">
        <f t="shared" ref="V11" si="0">U11*T11</f>
        <v>10755.540382552943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pubescent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134.60255118688039</v>
      </c>
      <c r="U12" s="178">
        <f>'Données projet'!D11</f>
        <v>0.18831168831168829</v>
      </c>
      <c r="V12" s="177">
        <f t="shared" ref="V12:V19" si="1">U12*T12</f>
        <v>25.347233665061889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297</v>
      </c>
      <c r="M13" s="23"/>
      <c r="N13" s="23"/>
      <c r="O13" s="23"/>
      <c r="P13" s="23"/>
      <c r="Q13" s="234"/>
      <c r="R13" s="23"/>
      <c r="S13" s="36" t="str">
        <f>B107</f>
        <v>Pin laricio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1543.6128312437288</v>
      </c>
      <c r="U13" s="178">
        <f>'Données projet'!D12</f>
        <v>3.0129870129870127</v>
      </c>
      <c r="V13" s="177">
        <f t="shared" si="1"/>
        <v>4650.8854136174677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81</v>
      </c>
      <c r="I14" s="36" t="s">
        <v>298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7" t="s">
        <v>299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49</v>
      </c>
      <c r="B16" s="48" t="s">
        <v>300</v>
      </c>
      <c r="C16" s="48" t="s">
        <v>301</v>
      </c>
      <c r="D16" s="36" t="s">
        <v>302</v>
      </c>
      <c r="E16" s="36" t="s">
        <v>303</v>
      </c>
      <c r="F16" s="230"/>
      <c r="G16" s="287"/>
      <c r="H16" s="190"/>
      <c r="I16" s="191"/>
      <c r="J16" s="202"/>
      <c r="K16" s="208"/>
      <c r="L16" s="284" t="s">
        <v>304</v>
      </c>
      <c r="M16" s="285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200</v>
      </c>
      <c r="C17" s="198" t="s">
        <v>200</v>
      </c>
      <c r="D17" s="197" t="s">
        <v>200</v>
      </c>
      <c r="E17" s="193"/>
      <c r="F17" s="230"/>
      <c r="G17" s="287"/>
      <c r="J17" s="202"/>
      <c r="K17" s="208"/>
      <c r="L17" s="259" t="s">
        <v>305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200</v>
      </c>
      <c r="C18" s="198" t="s">
        <v>200</v>
      </c>
      <c r="D18" s="197" t="s">
        <v>200</v>
      </c>
      <c r="E18" s="193"/>
      <c r="F18" s="230"/>
      <c r="G18" s="287"/>
      <c r="J18" s="202"/>
      <c r="K18" s="208"/>
      <c r="L18" s="259" t="s">
        <v>301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200</v>
      </c>
      <c r="C19" s="198" t="s">
        <v>200</v>
      </c>
      <c r="D19" s="197" t="s">
        <v>200</v>
      </c>
      <c r="E19" s="193"/>
      <c r="F19" s="230"/>
      <c r="G19" s="287"/>
      <c r="H19" s="212" t="s">
        <v>81</v>
      </c>
      <c r="I19" s="212" t="s">
        <v>306</v>
      </c>
      <c r="J19" s="93"/>
      <c r="K19" s="173"/>
      <c r="L19" s="284" t="s">
        <v>307</v>
      </c>
      <c r="M19" s="285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200</v>
      </c>
      <c r="C20" s="198" t="s">
        <v>200</v>
      </c>
      <c r="D20" s="197" t="s">
        <v>200</v>
      </c>
      <c r="E20" s="193"/>
      <c r="F20" s="230"/>
      <c r="G20" s="287"/>
      <c r="H20" s="190">
        <v>1</v>
      </c>
      <c r="I20" s="191">
        <v>2500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200</v>
      </c>
      <c r="C21" s="198" t="s">
        <v>200</v>
      </c>
      <c r="D21" s="197" t="s">
        <v>200</v>
      </c>
      <c r="E21" s="193"/>
      <c r="F21" s="230"/>
      <c r="H21" s="190">
        <v>2</v>
      </c>
      <c r="I21" s="191">
        <v>800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200</v>
      </c>
      <c r="C22" s="198" t="s">
        <v>200</v>
      </c>
      <c r="D22" s="197" t="s">
        <v>200</v>
      </c>
      <c r="E22" s="193"/>
      <c r="F22" s="230"/>
      <c r="H22" s="190">
        <v>3</v>
      </c>
      <c r="I22" s="191">
        <v>500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34</v>
      </c>
      <c r="B23" s="181">
        <f>'Données projet'!D36</f>
        <v>36.679999999999978</v>
      </c>
      <c r="C23" s="193">
        <v>12.5</v>
      </c>
      <c r="D23" s="182">
        <f>B23*C23</f>
        <v>458.49999999999972</v>
      </c>
      <c r="E23" s="193">
        <v>60</v>
      </c>
      <c r="F23" s="230"/>
      <c r="H23" s="190">
        <v>5</v>
      </c>
      <c r="I23" s="191">
        <v>500</v>
      </c>
      <c r="K23" s="208"/>
      <c r="L23" s="286" t="s">
        <v>308</v>
      </c>
      <c r="M23" s="286"/>
      <c r="N23" s="286"/>
      <c r="O23" s="23"/>
      <c r="P23" s="23"/>
      <c r="Q23" s="234"/>
      <c r="R23" s="23"/>
      <c r="S23" s="36" t="s">
        <v>309</v>
      </c>
      <c r="T23" s="29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-18181.669425087232</v>
      </c>
      <c r="U23" s="299"/>
      <c r="V23" s="299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42</v>
      </c>
      <c r="B24" s="181">
        <f>'Données projet'!D37</f>
        <v>58.099999999999994</v>
      </c>
      <c r="C24" s="193">
        <v>12.5</v>
      </c>
      <c r="D24" s="182">
        <f t="shared" ref="D24:D42" si="2">B24*C24</f>
        <v>726.24999999999989</v>
      </c>
      <c r="E24" s="193">
        <v>60</v>
      </c>
      <c r="F24" s="233"/>
      <c r="H24" s="190"/>
      <c r="I24" s="191"/>
      <c r="K24" s="208"/>
      <c r="O24" s="23"/>
      <c r="P24" s="23"/>
      <c r="Q24" s="234"/>
      <c r="R24" s="23"/>
      <c r="S24" s="36" t="s">
        <v>310</v>
      </c>
      <c r="T24" s="300">
        <f ca="1">'Scénario référence'!$B$8*$M$30*'Données projet'!$C$5+('Scénario référence'!B9+'Scénario référence'!B10+'Scénario référence'!F8+'Scénario référence'!F9)*$N$19/(1+M4)^N16*'Données projet'!$C$5</f>
        <v>28237.618759858618</v>
      </c>
      <c r="U24" s="300"/>
      <c r="V24" s="300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50</v>
      </c>
      <c r="B25" s="181">
        <f>'Données projet'!D38</f>
        <v>70.730000000000018</v>
      </c>
      <c r="C25" s="193">
        <v>12.5</v>
      </c>
      <c r="D25" s="182">
        <f t="shared" si="2"/>
        <v>884.12500000000023</v>
      </c>
      <c r="E25" s="193">
        <v>60</v>
      </c>
      <c r="F25" s="233"/>
      <c r="H25" s="190"/>
      <c r="I25" s="191"/>
      <c r="K25" s="208"/>
      <c r="L25" s="130" t="s">
        <v>311</v>
      </c>
      <c r="M25" s="130"/>
      <c r="N25" s="130"/>
      <c r="O25" s="130"/>
      <c r="P25" s="192">
        <v>150</v>
      </c>
      <c r="Q25" s="234"/>
      <c r="R25" s="23"/>
      <c r="S25" s="186" t="s">
        <v>312</v>
      </c>
      <c r="T25" s="301">
        <f ca="1">T23-T24</f>
        <v>-46419.28818494585</v>
      </c>
      <c r="U25" s="301"/>
      <c r="V25" s="301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58</v>
      </c>
      <c r="B26" s="181">
        <f>'Données projet'!D39</f>
        <v>65.819999999999993</v>
      </c>
      <c r="C26" s="193">
        <v>45.375</v>
      </c>
      <c r="D26" s="182">
        <f t="shared" si="2"/>
        <v>2986.5824999999995</v>
      </c>
      <c r="E26" s="193">
        <v>60</v>
      </c>
      <c r="F26" s="233"/>
      <c r="G26" s="229"/>
      <c r="H26" s="190"/>
      <c r="I26" s="191"/>
      <c r="K26" s="208"/>
      <c r="L26" s="288" t="s">
        <v>313</v>
      </c>
      <c r="M26" s="289"/>
      <c r="N26" s="289"/>
      <c r="O26" s="289"/>
      <c r="P26" s="290"/>
      <c r="Q26" s="234"/>
      <c r="R26" s="23"/>
      <c r="S26" s="186" t="s">
        <v>314</v>
      </c>
      <c r="T26" s="298" t="str">
        <f ca="1">IF(T25&lt;0,"Votre projet est additionnel","Votre projet n'est pas additionnel")</f>
        <v>Votre projet est additionnel</v>
      </c>
      <c r="U26" s="298"/>
      <c r="V26" s="298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66</v>
      </c>
      <c r="B27" s="181">
        <f>'Données projet'!D40</f>
        <v>76.480000000000018</v>
      </c>
      <c r="C27" s="193">
        <v>45.375</v>
      </c>
      <c r="D27" s="182">
        <f t="shared" si="2"/>
        <v>3470.2800000000007</v>
      </c>
      <c r="E27" s="193">
        <v>60</v>
      </c>
      <c r="F27" s="233"/>
      <c r="G27" s="229"/>
      <c r="H27" s="190"/>
      <c r="I27" s="191"/>
      <c r="K27" s="208"/>
      <c r="L27" s="291"/>
      <c r="M27" s="292"/>
      <c r="N27" s="292"/>
      <c r="O27" s="292"/>
      <c r="P27" s="293"/>
      <c r="Q27" s="234"/>
      <c r="R27" s="23"/>
      <c r="S27" s="297" t="s">
        <v>315</v>
      </c>
      <c r="T27" s="297"/>
      <c r="U27" s="297"/>
      <c r="V27" s="297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74</v>
      </c>
      <c r="B28" s="181">
        <f>'Données projet'!D41</f>
        <v>75.29000000000002</v>
      </c>
      <c r="C28" s="193">
        <v>45.375</v>
      </c>
      <c r="D28" s="182">
        <f t="shared" si="2"/>
        <v>3416.283750000001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82</v>
      </c>
      <c r="B29" s="181">
        <f>'Données projet'!D42</f>
        <v>58.140000000000043</v>
      </c>
      <c r="C29" s="193">
        <v>45.375</v>
      </c>
      <c r="D29" s="182">
        <f t="shared" si="2"/>
        <v>2638.1025000000018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90</v>
      </c>
      <c r="B30" s="181">
        <f>'Données projet'!D43</f>
        <v>68.54000000000002</v>
      </c>
      <c r="C30" s="193">
        <v>45.375</v>
      </c>
      <c r="D30" s="182">
        <f t="shared" si="2"/>
        <v>3110.002500000001</v>
      </c>
      <c r="E30" s="193">
        <v>60</v>
      </c>
      <c r="F30" s="233"/>
      <c r="G30" s="203"/>
      <c r="H30" s="190"/>
      <c r="I30" s="191"/>
      <c r="K30" s="183"/>
      <c r="L30" s="36" t="s">
        <v>316</v>
      </c>
      <c r="M30" s="184">
        <f ca="1">SUM(OFFSET($P$33,0,0,MIN('Données projet'!$E$9:$E$18)+1,1))</f>
        <v>3245.7033057308759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100</v>
      </c>
      <c r="B31" s="181">
        <f>'Données projet'!D44</f>
        <v>93.039999999999964</v>
      </c>
      <c r="C31" s="193">
        <v>45.375</v>
      </c>
      <c r="D31" s="182">
        <f t="shared" si="2"/>
        <v>4221.6899999999987</v>
      </c>
      <c r="E31" s="193">
        <v>60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110</v>
      </c>
      <c r="B32" s="181">
        <f>'Données projet'!D45</f>
        <v>73.299999999999955</v>
      </c>
      <c r="C32" s="193">
        <v>45.375</v>
      </c>
      <c r="D32" s="182">
        <f t="shared" si="2"/>
        <v>3325.9874999999979</v>
      </c>
      <c r="E32" s="193">
        <v>60</v>
      </c>
      <c r="F32" s="233"/>
      <c r="G32" s="203"/>
      <c r="H32" s="190"/>
      <c r="I32" s="191"/>
      <c r="K32" s="173"/>
      <c r="N32" s="4"/>
      <c r="O32" s="85" t="s">
        <v>81</v>
      </c>
      <c r="P32" s="85" t="s">
        <v>302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120</v>
      </c>
      <c r="B33" s="181">
        <f>'Données projet'!D46</f>
        <v>66.050000000000011</v>
      </c>
      <c r="C33" s="193">
        <v>138</v>
      </c>
      <c r="D33" s="182">
        <f t="shared" si="2"/>
        <v>9114.9000000000015</v>
      </c>
      <c r="E33" s="193">
        <v>60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150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130</v>
      </c>
      <c r="B34" s="181">
        <f>'Données projet'!D47</f>
        <v>75.799999999999955</v>
      </c>
      <c r="C34" s="193">
        <v>138</v>
      </c>
      <c r="D34" s="182">
        <f t="shared" si="2"/>
        <v>10460.399999999994</v>
      </c>
      <c r="E34" s="193">
        <v>60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143.54066985645935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140</v>
      </c>
      <c r="B35" s="181">
        <f>'Données projet'!D48</f>
        <v>74.669999999999959</v>
      </c>
      <c r="C35" s="193">
        <v>138</v>
      </c>
      <c r="D35" s="182">
        <f t="shared" si="2"/>
        <v>10304.459999999994</v>
      </c>
      <c r="E35" s="193">
        <v>60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137.35949268560705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150</v>
      </c>
      <c r="B36" s="181">
        <f>'Données projet'!D49</f>
        <v>259.52</v>
      </c>
      <c r="C36" s="193">
        <v>138</v>
      </c>
      <c r="D36" s="182">
        <f t="shared" si="2"/>
        <v>35813.759999999995</v>
      </c>
      <c r="E36" s="193">
        <v>60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131.44449060823641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153</v>
      </c>
      <c r="B37" s="181">
        <f>'Données projet'!D50</f>
        <v>156.29000000000002</v>
      </c>
      <c r="C37" s="193">
        <v>156.375</v>
      </c>
      <c r="D37" s="182">
        <f t="shared" si="2"/>
        <v>24439.848750000005</v>
      </c>
      <c r="E37" s="193">
        <v>60</v>
      </c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125.78420153898223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156</v>
      </c>
      <c r="B38" s="181">
        <f>'Données projet'!D51</f>
        <v>96.65</v>
      </c>
      <c r="C38" s="193">
        <v>156.375</v>
      </c>
      <c r="D38" s="182">
        <f t="shared" si="2"/>
        <v>15113.643750000001</v>
      </c>
      <c r="E38" s="193">
        <v>60</v>
      </c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120.36765697510262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159</v>
      </c>
      <c r="B39" s="181">
        <f>'Données projet'!D52</f>
        <v>201.48</v>
      </c>
      <c r="C39" s="193">
        <v>156.375</v>
      </c>
      <c r="D39" s="182">
        <f t="shared" si="2"/>
        <v>31506.434999999998</v>
      </c>
      <c r="E39" s="193">
        <v>60</v>
      </c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115.18436074172502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110.22426865236844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105.47776904532867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100.93566415820926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96.589152304506499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92.429810817709566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18</v>
      </c>
      <c r="B45" s="174" t="str">
        <f>IF('Données projet'!$B$10="","",'Données projet'!$B$10)</f>
        <v>Pin maritime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88.449579729865633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84.640746152981464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49</v>
      </c>
      <c r="B47" s="48" t="s">
        <v>300</v>
      </c>
      <c r="C47" s="48" t="s">
        <v>301</v>
      </c>
      <c r="D47" s="36" t="s">
        <v>302</v>
      </c>
      <c r="E47" s="36" t="s">
        <v>303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80.995929332996624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200</v>
      </c>
      <c r="C48" s="198" t="s">
        <v>200</v>
      </c>
      <c r="D48" s="197" t="s">
        <v>200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77.508066347365187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200</v>
      </c>
      <c r="C49" s="198" t="s">
        <v>200</v>
      </c>
      <c r="D49" s="197" t="s">
        <v>200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74.170398418531306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200</v>
      </c>
      <c r="C50" s="198" t="s">
        <v>200</v>
      </c>
      <c r="D50" s="197" t="s">
        <v>200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70.976457816776374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200</v>
      </c>
      <c r="C51" s="198" t="s">
        <v>200</v>
      </c>
      <c r="D51" s="197" t="s">
        <v>200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67.920055327058748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200</v>
      </c>
      <c r="C52" s="198" t="s">
        <v>200</v>
      </c>
      <c r="D52" s="197" t="s">
        <v>200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64.995268255558614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200</v>
      </c>
      <c r="C53" s="198" t="s">
        <v>200</v>
      </c>
      <c r="D53" s="197" t="s">
        <v>200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62.196428952687683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17</v>
      </c>
      <c r="B54" s="181">
        <f>'Données projet'!D62</f>
        <v>40.76</v>
      </c>
      <c r="C54" s="191">
        <v>8</v>
      </c>
      <c r="D54" s="179">
        <f>B54*C54</f>
        <v>326.08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59.518113830323131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23</v>
      </c>
      <c r="B55" s="181">
        <f>'Données projet'!D63</f>
        <v>57.75</v>
      </c>
      <c r="C55" s="191">
        <v>10.625</v>
      </c>
      <c r="D55" s="179">
        <f t="shared" ref="D55:D73" si="4">B55*C55</f>
        <v>613.59375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56.955132851983883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29</v>
      </c>
      <c r="B56" s="181">
        <f>'Données projet'!D64</f>
        <v>54.64</v>
      </c>
      <c r="C56" s="191">
        <v>26.75</v>
      </c>
      <c r="D56" s="179">
        <f t="shared" si="4"/>
        <v>1461.6200000000001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54.502519475582659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36</v>
      </c>
      <c r="B57" s="181">
        <f>'Données projet'!D65</f>
        <v>76.069999999999993</v>
      </c>
      <c r="C57" s="191">
        <v>26.75</v>
      </c>
      <c r="D57" s="179">
        <f t="shared" si="4"/>
        <v>2034.8724999999997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52.155521029265714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44</v>
      </c>
      <c r="B58" s="181">
        <f>'Données projet'!D66</f>
        <v>77.91</v>
      </c>
      <c r="C58" s="191">
        <v>26.75</v>
      </c>
      <c r="D58" s="179">
        <f t="shared" si="4"/>
        <v>2084.0924999999997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49.90958950168968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52</v>
      </c>
      <c r="B59" s="181">
        <f>'Données projet'!D67</f>
        <v>75.37</v>
      </c>
      <c r="C59" s="191">
        <v>26.75</v>
      </c>
      <c r="D59" s="179">
        <f t="shared" si="4"/>
        <v>2016.1475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47.760372728889656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60</v>
      </c>
      <c r="B60" s="181">
        <f>'Données projet'!D68</f>
        <v>436.34</v>
      </c>
      <c r="C60" s="191">
        <v>26.75</v>
      </c>
      <c r="D60" s="179">
        <f t="shared" si="4"/>
        <v>11672.094999999999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45.70370596065996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43.735603790105237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41.852252430722707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40.050002326050453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38.325361077560231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36.674986677091148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35.095681030709244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33.584383761444251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32.138166278894019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30.754226104204811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29.429881439430442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28.16256597074684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26.949823895451523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25.789305163111511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24.678760921637814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23.616039159462026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20</v>
      </c>
      <c r="B76" s="174" t="str">
        <f>IF('Données projet'!B11="","",'Données projet'!B11)</f>
        <v>Chêne pubescent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22.599080535370359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21.625914387914221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49</v>
      </c>
      <c r="B78" s="48" t="s">
        <v>300</v>
      </c>
      <c r="C78" s="48" t="s">
        <v>301</v>
      </c>
      <c r="D78" s="36" t="s">
        <v>302</v>
      </c>
      <c r="E78" s="36" t="s">
        <v>303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20.694654916664327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200</v>
      </c>
      <c r="C79" s="198" t="s">
        <v>200</v>
      </c>
      <c r="D79" s="197" t="s">
        <v>200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19.803497527908451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200</v>
      </c>
      <c r="C80" s="198" t="s">
        <v>200</v>
      </c>
      <c r="D80" s="197" t="s">
        <v>200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18.950715337711436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200</v>
      </c>
      <c r="C81" s="198" t="s">
        <v>200</v>
      </c>
      <c r="D81" s="197" t="s">
        <v>200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18.13465582556119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200</v>
      </c>
      <c r="C82" s="198" t="s">
        <v>200</v>
      </c>
      <c r="D82" s="197" t="s">
        <v>200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17.353737632115969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200</v>
      </c>
      <c r="C83" s="198" t="s">
        <v>200</v>
      </c>
      <c r="D83" s="197" t="s">
        <v>200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16.606447494847824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200</v>
      </c>
      <c r="C84" s="198" t="s">
        <v>200</v>
      </c>
      <c r="D84" s="197" t="s">
        <v>200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15.891337315643849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35</v>
      </c>
      <c r="B85" s="181">
        <f>'Données projet'!D88</f>
        <v>9</v>
      </c>
      <c r="C85" s="191">
        <v>16</v>
      </c>
      <c r="D85" s="179">
        <f>B85*C85</f>
        <v>144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15.207021354683112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40</v>
      </c>
      <c r="B86" s="181">
        <f>'Données projet'!D89</f>
        <v>10</v>
      </c>
      <c r="C86" s="191">
        <v>16</v>
      </c>
      <c r="D86" s="179">
        <f t="shared" ref="D86:D104" si="6">B86*C86</f>
        <v>160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14.552173545151303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45</v>
      </c>
      <c r="B87" s="181">
        <f>'Données projet'!D90</f>
        <v>10</v>
      </c>
      <c r="C87" s="191">
        <v>16</v>
      </c>
      <c r="D87" s="179">
        <f t="shared" si="6"/>
        <v>160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13.925524923589769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50</v>
      </c>
      <c r="B88" s="181">
        <f>'Données projet'!D91</f>
        <v>10</v>
      </c>
      <c r="C88" s="191">
        <v>16</v>
      </c>
      <c r="D88" s="179">
        <f t="shared" si="6"/>
        <v>160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13.3258611708993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55</v>
      </c>
      <c r="B89" s="181">
        <f>'Données projet'!D92</f>
        <v>11</v>
      </c>
      <c r="C89" s="191">
        <v>16</v>
      </c>
      <c r="D89" s="179">
        <f t="shared" si="6"/>
        <v>176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12.752020259233783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60</v>
      </c>
      <c r="B90" s="181">
        <f>'Données projet'!D93</f>
        <v>11</v>
      </c>
      <c r="C90" s="191">
        <v>16</v>
      </c>
      <c r="D90" s="179">
        <f t="shared" si="6"/>
        <v>176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12.202890200223717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65</v>
      </c>
      <c r="B91" s="181">
        <f>'Données projet'!D94</f>
        <v>11</v>
      </c>
      <c r="C91" s="191">
        <v>16</v>
      </c>
      <c r="D91" s="179">
        <f t="shared" si="6"/>
        <v>176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11.677406890166239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70</v>
      </c>
      <c r="B92" s="181">
        <f>'Données projet'!D95</f>
        <v>10</v>
      </c>
      <c r="C92" s="191">
        <v>16</v>
      </c>
      <c r="D92" s="179">
        <f t="shared" si="6"/>
        <v>160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11.174552048005971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75</v>
      </c>
      <c r="B93" s="181">
        <f>'Données projet'!D96</f>
        <v>10</v>
      </c>
      <c r="C93" s="191">
        <v>16</v>
      </c>
      <c r="D93" s="179">
        <f t="shared" si="6"/>
        <v>160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10.693351242110978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80</v>
      </c>
      <c r="B94" s="181">
        <f>'Données projet'!D97</f>
        <v>10</v>
      </c>
      <c r="C94" s="191">
        <v>16</v>
      </c>
      <c r="D94" s="179">
        <f t="shared" si="6"/>
        <v>160</v>
      </c>
      <c r="E94" s="193">
        <v>60</v>
      </c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85</v>
      </c>
      <c r="B95" s="181">
        <f>'Données projet'!D98</f>
        <v>10</v>
      </c>
      <c r="C95" s="191">
        <v>24.4375</v>
      </c>
      <c r="D95" s="179">
        <f t="shared" si="6"/>
        <v>244.375</v>
      </c>
      <c r="E95" s="193">
        <v>60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90</v>
      </c>
      <c r="B96" s="181">
        <f>'Données projet'!D99</f>
        <v>10</v>
      </c>
      <c r="C96" s="191">
        <v>24.4375</v>
      </c>
      <c r="D96" s="179">
        <f t="shared" si="6"/>
        <v>244.375</v>
      </c>
      <c r="E96" s="193">
        <v>60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95</v>
      </c>
      <c r="B97" s="181">
        <f>'Données projet'!D100</f>
        <v>9</v>
      </c>
      <c r="C97" s="191">
        <v>24.4375</v>
      </c>
      <c r="D97" s="179">
        <f t="shared" si="6"/>
        <v>219.9375</v>
      </c>
      <c r="E97" s="193">
        <v>60</v>
      </c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100</v>
      </c>
      <c r="B98" s="181">
        <f>'Données projet'!D101</f>
        <v>9</v>
      </c>
      <c r="C98" s="191">
        <v>24.4375</v>
      </c>
      <c r="D98" s="179">
        <f t="shared" si="6"/>
        <v>219.9375</v>
      </c>
      <c r="E98" s="193">
        <v>60</v>
      </c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105</v>
      </c>
      <c r="B99" s="181">
        <f>'Données projet'!D102</f>
        <v>9</v>
      </c>
      <c r="C99" s="191">
        <v>24.4375</v>
      </c>
      <c r="D99" s="179">
        <f t="shared" si="6"/>
        <v>219.9375</v>
      </c>
      <c r="E99" s="193">
        <v>60</v>
      </c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110</v>
      </c>
      <c r="B100" s="181">
        <f>'Données projet'!D103</f>
        <v>8</v>
      </c>
      <c r="C100" s="191">
        <v>24.4375</v>
      </c>
      <c r="D100" s="179">
        <f t="shared" si="6"/>
        <v>195.5</v>
      </c>
      <c r="E100" s="193">
        <v>60</v>
      </c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115</v>
      </c>
      <c r="B101" s="181">
        <f>'Données projet'!D104</f>
        <v>8</v>
      </c>
      <c r="C101" s="191">
        <v>24.4375</v>
      </c>
      <c r="D101" s="179">
        <f t="shared" si="6"/>
        <v>195.5</v>
      </c>
      <c r="E101" s="193">
        <v>60</v>
      </c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120</v>
      </c>
      <c r="B102" s="181">
        <f>'Données projet'!D105</f>
        <v>8</v>
      </c>
      <c r="C102" s="191">
        <v>24.4375</v>
      </c>
      <c r="D102" s="179">
        <f t="shared" si="6"/>
        <v>195.5</v>
      </c>
      <c r="E102" s="193">
        <v>60</v>
      </c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125</v>
      </c>
      <c r="B103" s="181">
        <f>'Données projet'!D106</f>
        <v>8</v>
      </c>
      <c r="C103" s="191">
        <v>24.4375</v>
      </c>
      <c r="D103" s="179">
        <f t="shared" si="6"/>
        <v>195.5</v>
      </c>
      <c r="E103" s="193">
        <v>60</v>
      </c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130</v>
      </c>
      <c r="B104" s="181">
        <f>'Données projet'!D107</f>
        <v>266</v>
      </c>
      <c r="C104" s="191">
        <v>24.4375</v>
      </c>
      <c r="D104" s="179">
        <f t="shared" si="6"/>
        <v>6500.375</v>
      </c>
      <c r="E104" s="193">
        <v>60</v>
      </c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22</v>
      </c>
      <c r="B107" s="174" t="str">
        <f>IF('Données projet'!B12="","",'Données projet'!B12)</f>
        <v>Pin laricio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49</v>
      </c>
      <c r="B109" s="48" t="s">
        <v>300</v>
      </c>
      <c r="C109" s="48" t="s">
        <v>301</v>
      </c>
      <c r="D109" s="36" t="s">
        <v>302</v>
      </c>
      <c r="E109" s="36" t="s">
        <v>303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200</v>
      </c>
      <c r="C110" s="198" t="s">
        <v>200</v>
      </c>
      <c r="D110" s="197" t="s">
        <v>200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200</v>
      </c>
      <c r="C111" s="198" t="s">
        <v>200</v>
      </c>
      <c r="D111" s="197" t="s">
        <v>200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200</v>
      </c>
      <c r="C112" s="198" t="s">
        <v>200</v>
      </c>
      <c r="D112" s="197" t="s">
        <v>200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200</v>
      </c>
      <c r="C113" s="198" t="s">
        <v>200</v>
      </c>
      <c r="D113" s="197" t="s">
        <v>200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200</v>
      </c>
      <c r="C114" s="198" t="s">
        <v>200</v>
      </c>
      <c r="D114" s="197" t="s">
        <v>200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200</v>
      </c>
      <c r="C115" s="198" t="s">
        <v>200</v>
      </c>
      <c r="D115" s="197" t="s">
        <v>200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22</v>
      </c>
      <c r="B116" s="181">
        <f>'Données projet'!D114</f>
        <v>52.620000000000005</v>
      </c>
      <c r="C116" s="191">
        <v>10.9375</v>
      </c>
      <c r="D116" s="179">
        <f>B116*C116</f>
        <v>575.53125</v>
      </c>
      <c r="E116" s="193">
        <v>60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27</v>
      </c>
      <c r="B117" s="181">
        <f>'Données projet'!D115</f>
        <v>37.929999999999993</v>
      </c>
      <c r="C117" s="191">
        <v>10.9375</v>
      </c>
      <c r="D117" s="179">
        <f t="shared" ref="D117:D135" si="8">B117*C117</f>
        <v>414.85937499999994</v>
      </c>
      <c r="E117" s="193">
        <v>60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33</v>
      </c>
      <c r="B118" s="181">
        <f>'Données projet'!D116</f>
        <v>50.460000000000008</v>
      </c>
      <c r="C118" s="191">
        <v>10.9375</v>
      </c>
      <c r="D118" s="179">
        <f t="shared" si="8"/>
        <v>551.90625000000011</v>
      </c>
      <c r="E118" s="193">
        <v>60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41</v>
      </c>
      <c r="B119" s="181">
        <f>'Données projet'!D117</f>
        <v>72.16</v>
      </c>
      <c r="C119" s="191">
        <v>24</v>
      </c>
      <c r="D119" s="179">
        <f t="shared" si="8"/>
        <v>1731.84</v>
      </c>
      <c r="E119" s="193">
        <v>60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50</v>
      </c>
      <c r="B120" s="181">
        <f>'Données projet'!D118</f>
        <v>70.20999999999998</v>
      </c>
      <c r="C120" s="191">
        <v>24</v>
      </c>
      <c r="D120" s="179">
        <f t="shared" si="8"/>
        <v>1685.0399999999995</v>
      </c>
      <c r="E120" s="193">
        <v>60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60</v>
      </c>
      <c r="B121" s="181">
        <f>'Données projet'!D119</f>
        <v>69.839999999999975</v>
      </c>
      <c r="C121" s="191">
        <v>24</v>
      </c>
      <c r="D121" s="179">
        <f t="shared" si="8"/>
        <v>1676.1599999999994</v>
      </c>
      <c r="E121" s="193">
        <v>60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70</v>
      </c>
      <c r="B122" s="181">
        <f>'Données projet'!D120</f>
        <v>67.88</v>
      </c>
      <c r="C122" s="191">
        <v>24</v>
      </c>
      <c r="D122" s="179">
        <f t="shared" si="8"/>
        <v>1629.12</v>
      </c>
      <c r="E122" s="193">
        <v>60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80</v>
      </c>
      <c r="B123" s="181">
        <f>'Données projet'!D121</f>
        <v>520.03</v>
      </c>
      <c r="C123" s="191">
        <v>31.5</v>
      </c>
      <c r="D123" s="179">
        <f t="shared" si="8"/>
        <v>16380.945</v>
      </c>
      <c r="E123" s="193">
        <v>60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24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49</v>
      </c>
      <c r="B140" s="48" t="s">
        <v>300</v>
      </c>
      <c r="C140" s="48" t="s">
        <v>301</v>
      </c>
      <c r="D140" s="36" t="s">
        <v>302</v>
      </c>
      <c r="E140" s="36" t="s">
        <v>303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200</v>
      </c>
      <c r="C141" s="198" t="s">
        <v>200</v>
      </c>
      <c r="D141" s="197" t="s">
        <v>200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200</v>
      </c>
      <c r="C142" s="198" t="s">
        <v>200</v>
      </c>
      <c r="D142" s="197" t="s">
        <v>200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200</v>
      </c>
      <c r="C143" s="198" t="s">
        <v>200</v>
      </c>
      <c r="D143" s="197" t="s">
        <v>200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200</v>
      </c>
      <c r="C144" s="198" t="s">
        <v>200</v>
      </c>
      <c r="D144" s="197" t="s">
        <v>200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200</v>
      </c>
      <c r="C145" s="198" t="s">
        <v>200</v>
      </c>
      <c r="D145" s="197" t="s">
        <v>200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200</v>
      </c>
      <c r="C146" s="198" t="s">
        <v>200</v>
      </c>
      <c r="D146" s="197" t="s">
        <v>200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25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49</v>
      </c>
      <c r="B171" s="48" t="s">
        <v>300</v>
      </c>
      <c r="C171" s="48" t="s">
        <v>301</v>
      </c>
      <c r="D171" s="36" t="s">
        <v>302</v>
      </c>
      <c r="E171" s="36" t="s">
        <v>303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200</v>
      </c>
      <c r="C172" s="198" t="s">
        <v>200</v>
      </c>
      <c r="D172" s="197" t="s">
        <v>200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200</v>
      </c>
      <c r="C173" s="198" t="s">
        <v>200</v>
      </c>
      <c r="D173" s="197" t="s">
        <v>200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200</v>
      </c>
      <c r="C174" s="198" t="s">
        <v>200</v>
      </c>
      <c r="D174" s="197" t="s">
        <v>200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200</v>
      </c>
      <c r="C175" s="198" t="s">
        <v>200</v>
      </c>
      <c r="D175" s="197" t="s">
        <v>200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200</v>
      </c>
      <c r="C176" s="198" t="s">
        <v>200</v>
      </c>
      <c r="D176" s="197" t="s">
        <v>200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200</v>
      </c>
      <c r="C177" s="198" t="s">
        <v>200</v>
      </c>
      <c r="D177" s="197" t="s">
        <v>200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26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49</v>
      </c>
      <c r="B202" s="48" t="s">
        <v>300</v>
      </c>
      <c r="C202" s="48" t="s">
        <v>301</v>
      </c>
      <c r="D202" s="36" t="s">
        <v>302</v>
      </c>
      <c r="E202" s="36" t="s">
        <v>303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200</v>
      </c>
      <c r="C203" s="198" t="s">
        <v>200</v>
      </c>
      <c r="D203" s="197" t="s">
        <v>200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200</v>
      </c>
      <c r="C204" s="198" t="s">
        <v>200</v>
      </c>
      <c r="D204" s="197" t="s">
        <v>200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200</v>
      </c>
      <c r="C205" s="198" t="s">
        <v>200</v>
      </c>
      <c r="D205" s="197" t="s">
        <v>200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200</v>
      </c>
      <c r="C206" s="198" t="s">
        <v>200</v>
      </c>
      <c r="D206" s="197" t="s">
        <v>200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200</v>
      </c>
      <c r="C207" s="198" t="s">
        <v>200</v>
      </c>
      <c r="D207" s="197" t="s">
        <v>200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200</v>
      </c>
      <c r="C208" s="198" t="s">
        <v>200</v>
      </c>
      <c r="D208" s="197" t="s">
        <v>200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27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49</v>
      </c>
      <c r="B233" s="48" t="s">
        <v>300</v>
      </c>
      <c r="C233" s="48" t="s">
        <v>301</v>
      </c>
      <c r="D233" s="36" t="s">
        <v>302</v>
      </c>
      <c r="E233" s="36" t="s">
        <v>303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200</v>
      </c>
      <c r="C234" s="198" t="s">
        <v>200</v>
      </c>
      <c r="D234" s="197" t="s">
        <v>200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200</v>
      </c>
      <c r="C235" s="198" t="s">
        <v>200</v>
      </c>
      <c r="D235" s="197" t="s">
        <v>200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200</v>
      </c>
      <c r="C236" s="198" t="s">
        <v>200</v>
      </c>
      <c r="D236" s="197" t="s">
        <v>200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200</v>
      </c>
      <c r="C237" s="198" t="s">
        <v>200</v>
      </c>
      <c r="D237" s="197" t="s">
        <v>200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200</v>
      </c>
      <c r="C238" s="198" t="s">
        <v>200</v>
      </c>
      <c r="D238" s="197" t="s">
        <v>200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200</v>
      </c>
      <c r="C239" s="198" t="s">
        <v>200</v>
      </c>
      <c r="D239" s="197" t="s">
        <v>200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28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49</v>
      </c>
      <c r="B264" s="48" t="s">
        <v>300</v>
      </c>
      <c r="C264" s="48" t="s">
        <v>301</v>
      </c>
      <c r="D264" s="36" t="s">
        <v>302</v>
      </c>
      <c r="E264" s="36" t="s">
        <v>303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200</v>
      </c>
      <c r="C265" s="198" t="s">
        <v>200</v>
      </c>
      <c r="D265" s="197" t="s">
        <v>200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200</v>
      </c>
      <c r="C266" s="198" t="s">
        <v>200</v>
      </c>
      <c r="D266" s="197" t="s">
        <v>200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200</v>
      </c>
      <c r="C267" s="198" t="s">
        <v>200</v>
      </c>
      <c r="D267" s="197" t="s">
        <v>200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200</v>
      </c>
      <c r="C268" s="198" t="s">
        <v>200</v>
      </c>
      <c r="D268" s="197" t="s">
        <v>200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200</v>
      </c>
      <c r="C269" s="198" t="s">
        <v>200</v>
      </c>
      <c r="D269" s="197" t="s">
        <v>200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200</v>
      </c>
      <c r="C270" s="198" t="s">
        <v>200</v>
      </c>
      <c r="D270" s="197" t="s">
        <v>200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29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49</v>
      </c>
      <c r="B295" s="48" t="s">
        <v>300</v>
      </c>
      <c r="C295" s="48" t="s">
        <v>301</v>
      </c>
      <c r="D295" s="36" t="s">
        <v>302</v>
      </c>
      <c r="E295" s="36" t="s">
        <v>303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200</v>
      </c>
      <c r="C296" s="198" t="s">
        <v>200</v>
      </c>
      <c r="D296" s="197" t="s">
        <v>200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200</v>
      </c>
      <c r="C297" s="198" t="s">
        <v>200</v>
      </c>
      <c r="D297" s="197" t="s">
        <v>200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200</v>
      </c>
      <c r="C298" s="198" t="s">
        <v>200</v>
      </c>
      <c r="D298" s="197" t="s">
        <v>200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200</v>
      </c>
      <c r="C299" s="198" t="s">
        <v>200</v>
      </c>
      <c r="D299" s="197" t="s">
        <v>200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200</v>
      </c>
      <c r="C300" s="198" t="s">
        <v>200</v>
      </c>
      <c r="D300" s="197" t="s">
        <v>200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200</v>
      </c>
      <c r="C301" s="198" t="s">
        <v>200</v>
      </c>
      <c r="D301" s="197" t="s">
        <v>200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G1" zoomScale="90" zoomScaleNormal="90" workbookViewId="0">
      <selection activeCell="C7" sqref="C7:D7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317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318</v>
      </c>
      <c r="B5" s="139" t="s">
        <v>319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320</v>
      </c>
      <c r="F5" s="140" t="s">
        <v>321</v>
      </c>
      <c r="G5" s="140" t="s">
        <v>322</v>
      </c>
      <c r="H5" s="141" t="s">
        <v>323</v>
      </c>
      <c r="I5" s="142" t="s">
        <v>324</v>
      </c>
      <c r="J5" s="143" t="s">
        <v>325</v>
      </c>
      <c r="K5" s="144" t="s">
        <v>326</v>
      </c>
      <c r="L5" s="84" t="s">
        <v>327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Chêne sessile</v>
      </c>
      <c r="B6" s="146">
        <f>'Données projet'!D9</f>
        <v>0.69675324675324668</v>
      </c>
      <c r="C6" s="147">
        <f ca="1">IF(OR('Données projet'!B9="",'Données projet'!C9="",'Données projet'!C9=0%),0,Calculateur!S3)</f>
        <v>737.40414421611001</v>
      </c>
      <c r="D6" s="147">
        <f>IF(OR('Données projet'!B9="",'Données projet'!C9="",'Données projet'!C9=0%),0,Calculateur!T3)</f>
        <v>245.32893490531674</v>
      </c>
      <c r="E6" s="147">
        <f ca="1">MIN(C6,D6)</f>
        <v>245.32893490531674</v>
      </c>
      <c r="F6" s="147">
        <f ca="1">E6*B6</f>
        <v>170.93373191779534</v>
      </c>
      <c r="G6" s="147">
        <f ca="1">F6*(100%-'Données projet'!$C$24)*(100%-'Données projet'!$C$25)*(100%-'Données projet'!$C$26)*(100%-'Données projet'!$C$27)</f>
        <v>138.45632285341424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138.45632285341424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Pin maritime</v>
      </c>
      <c r="B7" s="154">
        <f>'Données projet'!D10</f>
        <v>4.8019480519480515</v>
      </c>
      <c r="C7" s="147">
        <f ca="1">IF(OR('Données projet'!B10="",'Données projet'!C10="",'Données projet'!C10=0%),0,Calculateur!AN3)</f>
        <v>318.6615972007902</v>
      </c>
      <c r="D7" s="147">
        <f>IF(OR('Données projet'!B10="",'Données projet'!C10="",'Données projet'!C10=0%),0,Calculateur!AO3)</f>
        <v>326.82168950869504</v>
      </c>
      <c r="E7" s="147">
        <f t="shared" ref="E7:E15" ca="1" si="0">MIN(C7,D7)</f>
        <v>318.6615972007902</v>
      </c>
      <c r="F7" s="147">
        <f t="shared" ref="F7:F15" ca="1" si="1">E7*B7</f>
        <v>1530.1964359089891</v>
      </c>
      <c r="G7" s="147">
        <f ca="1">F7*(100%-'Données projet'!$C$24)*(100%-'Données projet'!$C$25)*(100%-'Données projet'!$C$26)*(100%-'Données projet'!$C$27)</f>
        <v>1239.4591130862814</v>
      </c>
      <c r="H7" s="155">
        <f>IF(OR('Données projet'!B10="",'Données projet'!C10="",'Données projet'!C10=0%),0,AVERAGE(Calculateur!$AX$3:$AX$33)*B7)</f>
        <v>49.074217468850946</v>
      </c>
      <c r="I7" s="149">
        <f>H7*(100%-'Données projet'!$C$24)*(100%-'Données projet'!$C$25)*(100%-'Données projet'!$C$26)*(100%-'Données projet'!$C$27)</f>
        <v>39.750116149769269</v>
      </c>
      <c r="J7" s="150">
        <f>IF(OR('Données projet'!B10="",'Données projet'!C10="",'Données projet'!C10=0%),0,SUM(Calculateur!$AQ$3:$AQ$33)*VLOOKUP('Données projet'!$B$10,Paramètres!$A$1:$I$89,9,0)*B7)</f>
        <v>433.89682305194793</v>
      </c>
      <c r="K7" s="151">
        <f>J7*(100%-'Données projet'!$C$24)*(100%-'Données projet'!$C$25)*(100%-'Données projet'!$C$26)*(100%-'Données projet'!$C$27)</f>
        <v>351.45642667207784</v>
      </c>
      <c r="L7" s="152">
        <f t="shared" ref="L7:L15" ca="1" si="2">G7+I7+K7</f>
        <v>1630.6656559081287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Chêne pubescent</v>
      </c>
      <c r="B8" s="154">
        <f>'Données projet'!D11</f>
        <v>0.18831168831168829</v>
      </c>
      <c r="C8" s="147">
        <f ca="1">IF(OR('Données projet'!B11="",'Données projet'!C11="",'Données projet'!C11=0%),0,Calculateur!BI3)</f>
        <v>402.96916953216805</v>
      </c>
      <c r="D8" s="147">
        <f>IF(OR('Données projet'!B11="",'Données projet'!C11="",'Données projet'!C11=0%),0,Calculateur!BJ3)</f>
        <v>164.89273051331318</v>
      </c>
      <c r="E8" s="147">
        <f t="shared" ca="1" si="0"/>
        <v>164.89273051331318</v>
      </c>
      <c r="F8" s="147">
        <f t="shared" ca="1" si="1"/>
        <v>31.051228473286244</v>
      </c>
      <c r="G8" s="147">
        <f ca="1">F8*(100%-'Données projet'!$C$24)*(100%-'Données projet'!$C$25)*(100%-'Données projet'!$C$26)*(100%-'Données projet'!$C$27)</f>
        <v>25.15149506336186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25.15149506336186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>Pin laricio</v>
      </c>
      <c r="B9" s="154">
        <f>'Données projet'!D12</f>
        <v>3.0129870129870127</v>
      </c>
      <c r="C9" s="147">
        <f ca="1">IF(OR('Données projet'!B12="",'Données projet'!C12="",'Données projet'!C12=0%),0,Calculateur!CD3)</f>
        <v>373.61861223558259</v>
      </c>
      <c r="D9" s="147">
        <f>IF(OR('Données projet'!B12="",'Données projet'!C12="",'Données projet'!C12=0%),0,Calculateur!CE3)</f>
        <v>277.62293009761049</v>
      </c>
      <c r="E9" s="147">
        <f t="shared" ca="1" si="0"/>
        <v>277.62293009761049</v>
      </c>
      <c r="F9" s="147">
        <f t="shared" ca="1" si="1"/>
        <v>836.47428289150162</v>
      </c>
      <c r="G9" s="147">
        <f ca="1">F9*(100%-'Données projet'!$C$24)*(100%-'Données projet'!$C$25)*(100%-'Données projet'!$C$26)*(100%-'Données projet'!$C$27)</f>
        <v>677.54416914211629</v>
      </c>
      <c r="H9" s="155">
        <f>IF(OR('Données projet'!B12="",'Données projet'!C12="",'Données projet'!C12=0%),0,AVERAGE(Calculateur!$CN$3:$CN$33)*B9)</f>
        <v>19.096314703942632</v>
      </c>
      <c r="I9" s="149">
        <f>H9*(100%-'Données projet'!$C$24)*(100%-'Données projet'!$C$25)*(100%-'Données projet'!$C$26)*(100%-'Données projet'!$C$27)</f>
        <v>15.468014910193531</v>
      </c>
      <c r="J9" s="150">
        <f>IF(OR('Données projet'!B12="",'Données projet'!C12="",'Données projet'!C12=0%),0,SUM(Calculateur!$CG$3:$CG$33)*VLOOKUP('Données projet'!$B$12,Paramètres!$A$1:$I$89,9,0)*B9)</f>
        <v>117.3151688311688</v>
      </c>
      <c r="K9" s="151">
        <f>J9*(100%-'Données projet'!$C$24)*(100%-'Données projet'!$C$25)*(100%-'Données projet'!$C$26)*(100%-'Données projet'!$C$27)</f>
        <v>95.025286753246732</v>
      </c>
      <c r="L9" s="152">
        <f t="shared" ca="1" si="2"/>
        <v>788.03747080555661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2568.6556791915723</v>
      </c>
      <c r="G16" s="166">
        <f t="shared" ca="1" si="3"/>
        <v>2080.6111001451736</v>
      </c>
      <c r="H16" s="167">
        <f t="shared" si="3"/>
        <v>68.170532172793571</v>
      </c>
      <c r="I16" s="167">
        <f t="shared" si="3"/>
        <v>55.218131059962801</v>
      </c>
      <c r="J16" s="168">
        <f t="shared" si="3"/>
        <v>551.21199188311675</v>
      </c>
      <c r="K16" s="168">
        <f t="shared" si="3"/>
        <v>446.48171342532459</v>
      </c>
      <c r="L16" s="169">
        <f t="shared" ca="1" si="3"/>
        <v>2582.3109446304611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302" t="s">
        <v>328</v>
      </c>
      <c r="G17" s="303"/>
      <c r="H17" s="303"/>
      <c r="I17" s="303"/>
      <c r="J17" s="303"/>
      <c r="K17" s="303"/>
      <c r="L17" s="303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Pin maritime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Chêne pubescent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>Pin laricio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5" ma:contentTypeDescription="Crée un document." ma:contentTypeScope="" ma:versionID="815afb03b190113bd63396625979bef8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d715d5bd9e14750da756c1a7014307ff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Props1.xml><?xml version="1.0" encoding="utf-8"?>
<ds:datastoreItem xmlns:ds="http://schemas.openxmlformats.org/officeDocument/2006/customXml" ds:itemID="{42646C25-A79E-4C48-84C5-17AC18681CD0}"/>
</file>

<file path=customXml/itemProps2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VAN</vt:lpstr>
      <vt:lpstr>REE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Ellens Lucas</cp:lastModifiedBy>
  <cp:revision/>
  <dcterms:created xsi:type="dcterms:W3CDTF">2021-02-01T08:22:39Z</dcterms:created>
  <dcterms:modified xsi:type="dcterms:W3CDTF">2023-07-28T18:37:26Z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